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975" windowWidth="9705" windowHeight="11055" tabRatio="804" activeTab="0"/>
  </bookViews>
  <sheets>
    <sheet name="Dec' 09 - 15 '11 (week 50)" sheetId="1" r:id="rId1"/>
    <sheet name="Dec' 31-Dec' 15 Annual" sheetId="2" r:id="rId2"/>
    <sheet name="Exyears Releases of 2011" sheetId="3" r:id="rId3"/>
    <sheet name="(TOP 20)" sheetId="4" r:id="rId4"/>
  </sheets>
  <definedNames>
    <definedName name="_xlnm.Print_Area" localSheetId="0">'Dec' 09 - 15 '11 (week 50)'!$A$1:$AM$92</definedName>
  </definedNames>
  <calcPr fullCalcOnLoad="1"/>
</workbook>
</file>

<file path=xl/sharedStrings.xml><?xml version="1.0" encoding="utf-8"?>
<sst xmlns="http://schemas.openxmlformats.org/spreadsheetml/2006/main" count="2847" uniqueCount="831">
  <si>
    <t>Last Weekend</t>
  </si>
  <si>
    <t>Distributor</t>
  </si>
  <si>
    <t>Friday</t>
  </si>
  <si>
    <t>Saturday</t>
  </si>
  <si>
    <t>Sunday</t>
  </si>
  <si>
    <t>Change</t>
  </si>
  <si>
    <t>Adm.</t>
  </si>
  <si>
    <t>G.B.O.</t>
  </si>
  <si>
    <t>PİNEMA</t>
  </si>
  <si>
    <t>Title</t>
  </si>
  <si>
    <t>WARNER BROS. TÜRKİYE</t>
  </si>
  <si>
    <t>Weekend Total</t>
  </si>
  <si>
    <t>YOGI BEAR</t>
  </si>
  <si>
    <t>İNCİR REÇELİ</t>
  </si>
  <si>
    <t>127 HOURS</t>
  </si>
  <si>
    <t>YA SONRA</t>
  </si>
  <si>
    <t>BLACK SWAN</t>
  </si>
  <si>
    <t>SAKLI HAYATLAR</t>
  </si>
  <si>
    <t>LIMITLESS</t>
  </si>
  <si>
    <t>PRESS</t>
  </si>
  <si>
    <t>ÇINAR AĞACI</t>
  </si>
  <si>
    <t>MEDYAVİZYON</t>
  </si>
  <si>
    <t>AŞK TESADÜFLERİ SEVER</t>
  </si>
  <si>
    <t>UIP TÜRKİYE</t>
  </si>
  <si>
    <t>EYYVAH EYVAH 2</t>
  </si>
  <si>
    <t>KAYBEDENLER KULÜBÜ</t>
  </si>
  <si>
    <t>72. KOĞUŞ</t>
  </si>
  <si>
    <t>RED RIDING HOOD</t>
  </si>
  <si>
    <t>ÖZEN FİLM</t>
  </si>
  <si>
    <t>RIO</t>
  </si>
  <si>
    <t>TİGLON</t>
  </si>
  <si>
    <t>SOURCE CODE</t>
  </si>
  <si>
    <t>LAST NIGHT</t>
  </si>
  <si>
    <t>SCREAM 4</t>
  </si>
  <si>
    <t>WATER FOR ELEPHANTS</t>
  </si>
  <si>
    <t>SUCKER PUNCH</t>
  </si>
  <si>
    <t>WINNIE THE POOH</t>
  </si>
  <si>
    <t>LONDON BOULEVARD</t>
  </si>
  <si>
    <t>BİZİM BÜYÜK ÇARESİZLİĞİMİZ</t>
  </si>
  <si>
    <t>ALPHA AND OMEGA</t>
  </si>
  <si>
    <t>UNKNOWN</t>
  </si>
  <si>
    <t>RABBIT HOLE</t>
  </si>
  <si>
    <t>FRITT WILT 3</t>
  </si>
  <si>
    <t>MFP-CINEGROUP</t>
  </si>
  <si>
    <t>ÇOK MU KOMİK?</t>
  </si>
  <si>
    <t>FOUR LIONS</t>
  </si>
  <si>
    <t>KOLPAÇİNO: BOMBA</t>
  </si>
  <si>
    <t>THE PRODIGY</t>
  </si>
  <si>
    <t>INCENDIES</t>
  </si>
  <si>
    <t>NEVER LET ME GO</t>
  </si>
  <si>
    <t>FAST FIVE</t>
  </si>
  <si>
    <t>DEVRİMDEN SONRA</t>
  </si>
  <si>
    <t>HENRY'S CRIME</t>
  </si>
  <si>
    <t>GİŞE MEMURU</t>
  </si>
  <si>
    <t>AĞIR ABİ</t>
  </si>
  <si>
    <t>KÜÇÜK GÜNAHLAR</t>
  </si>
  <si>
    <t>PRIEST</t>
  </si>
  <si>
    <t>HOP</t>
  </si>
  <si>
    <t>VANISHING ON 7TH STREET</t>
  </si>
  <si>
    <t>M3 FILM</t>
  </si>
  <si>
    <t>KAR BEYAZ</t>
  </si>
  <si>
    <t>TÜRKAN</t>
  </si>
  <si>
    <t>ŞOV BİZINIS</t>
  </si>
  <si>
    <t>BEASTLY</t>
  </si>
  <si>
    <t>MİSAFİR</t>
  </si>
  <si>
    <t>POTICHE</t>
  </si>
  <si>
    <t>PARTIR</t>
  </si>
  <si>
    <t>DUKA FİLM</t>
  </si>
  <si>
    <t>SOMEWHERE</t>
  </si>
  <si>
    <t>KAYIP ÖZGÜRLÜK</t>
  </si>
  <si>
    <t>JAN MEDYA</t>
  </si>
  <si>
    <t>HOP DEDİK: DELİ DUMRUL</t>
  </si>
  <si>
    <t xml:space="preserve">İÇİMDEKİ SESSİZ NEHİR </t>
  </si>
  <si>
    <t>ERÖZ FİLM</t>
  </si>
  <si>
    <t>UMUT SANAT</t>
  </si>
  <si>
    <t>THE FIGHTER</t>
  </si>
  <si>
    <t>Weekly Admissions &amp; Box Office Report / Türkiye Haftalık Seyirci ve Hasılat Raporu</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</si>
  <si>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</si>
  <si>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</si>
  <si>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</si>
  <si>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</si>
  <si>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</si>
  <si>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</si>
  <si>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</si>
  <si>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</si>
  <si>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</si>
  <si>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</si>
  <si>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</si>
  <si>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</si>
  <si>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</si>
  <si>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</si>
  <si>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</si>
  <si>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</si>
  <si>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</si>
  <si>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</si>
  <si>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</si>
  <si>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</si>
  <si>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</si>
  <si>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</si>
  <si>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</si>
  <si>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</si>
  <si>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</si>
  <si>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</si>
  <si>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</si>
  <si>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</si>
  <si>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</si>
  <si>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</si>
  <si>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Weekend admissions and box office datas - </t>
    </r>
    <r>
      <rPr>
        <b/>
        <sz val="11"/>
        <color indexed="10"/>
        <rFont val="Corbel"/>
        <family val="2"/>
      </rPr>
      <t>Haftasonu seyirci ve hasılat verileri</t>
    </r>
  </si>
  <si>
    <r>
      <t xml:space="preserve">Rest of the week - </t>
    </r>
    <r>
      <rPr>
        <b/>
        <sz val="11"/>
        <color indexed="10"/>
        <rFont val="Corbel"/>
        <family val="2"/>
      </rPr>
      <t>Haftaiçi</t>
    </r>
  </si>
  <si>
    <r>
      <t xml:space="preserve">Cumulative datas - </t>
    </r>
    <r>
      <rPr>
        <b/>
        <sz val="11"/>
        <color indexed="10"/>
        <rFont val="Corbel"/>
        <family val="2"/>
      </rPr>
      <t>Toplam veriler</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</si>
  <si>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</si>
  <si>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</si>
  <si>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</si>
  <si>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</si>
  <si>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</si>
  <si>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</si>
  <si>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</si>
  <si>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</si>
  <si>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</si>
  <si>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</si>
  <si>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GÖLGELER VE SURETLER</t>
  </si>
  <si>
    <t>GULLIVER'S TRAVELS</t>
  </si>
  <si>
    <t>BIG MOMMAS: LIKE FATHER, LIKE SON</t>
  </si>
  <si>
    <t>WINTER'S BONE</t>
  </si>
  <si>
    <t>KUTSAL DAMACANA: DRACOOLA</t>
  </si>
  <si>
    <t>THE KIDS ARE ALL RIGHT</t>
  </si>
  <si>
    <t>THE NEXT THREE DAYS</t>
  </si>
  <si>
    <t>THE KING'S SPEECH</t>
  </si>
  <si>
    <t>http://www.antraktsinema.com</t>
  </si>
  <si>
    <t>http://www.antraktsinema.com/boxoffice-rapor.php</t>
  </si>
  <si>
    <t>TIGLON</t>
  </si>
  <si>
    <t>AŞKIN İKİNCİ YARISI</t>
  </si>
  <si>
    <t>AV MEVSİMİ</t>
  </si>
  <si>
    <t>CHANTIER FILMS</t>
  </si>
  <si>
    <t>CINE FILM</t>
  </si>
  <si>
    <t>THE CHRONICLES OF NARNIA: THE VOVAYE OF THE DAWN TREADER</t>
  </si>
  <si>
    <t>VAY ARKADAŞ</t>
  </si>
  <si>
    <t xml:space="preserve">AŞK GELİYORUM DEMEZ </t>
  </si>
  <si>
    <t xml:space="preserve">AŞKIN İKİNCİ YARISI </t>
  </si>
  <si>
    <t xml:space="preserve">AV MEVSİMİ </t>
  </si>
  <si>
    <t xml:space="preserve">AY LAV YU </t>
  </si>
  <si>
    <t xml:space="preserve">CEHENNEM 3D </t>
  </si>
  <si>
    <t xml:space="preserve">ÇAKAL </t>
  </si>
  <si>
    <t xml:space="preserve">ÇAKALLARLA DANS </t>
  </si>
  <si>
    <t xml:space="preserve">ÇOĞUNLUK </t>
  </si>
  <si>
    <t xml:space="preserve">DERSİMİZ: ATATÜRK </t>
  </si>
  <si>
    <t xml:space="preserve">GİTMEK </t>
  </si>
  <si>
    <t xml:space="preserve">HAYAT VAR </t>
  </si>
  <si>
    <t xml:space="preserve">KAVŞAK </t>
  </si>
  <si>
    <t xml:space="preserve">KOSMOS </t>
  </si>
  <si>
    <t xml:space="preserve">KUBİLAY </t>
  </si>
  <si>
    <t xml:space="preserve">MEMLEKETTE DEMOKRASİ VAR </t>
  </si>
  <si>
    <t xml:space="preserve">NENE HATUN </t>
  </si>
  <si>
    <t xml:space="preserve">NEW YORK'TA BEŞ MİNARE </t>
  </si>
  <si>
    <t xml:space="preserve">NOKTA </t>
  </si>
  <si>
    <t xml:space="preserve">O KUL </t>
  </si>
  <si>
    <t xml:space="preserve">PAK PANTER </t>
  </si>
  <si>
    <t xml:space="preserve">POLİS </t>
  </si>
  <si>
    <t xml:space="preserve">PRENSESİN UYKUSU </t>
  </si>
  <si>
    <t xml:space="preserve">SULTANIN SIRRI </t>
  </si>
  <si>
    <t xml:space="preserve">ŞENLİKNAME: BİR İSTANBUL MASALI </t>
  </si>
  <si>
    <t xml:space="preserve">TESLİMİYET </t>
  </si>
  <si>
    <t xml:space="preserve">UÇAN MELEKLER </t>
  </si>
  <si>
    <t xml:space="preserve">ÜÇ HARFLİLER: MARİD </t>
  </si>
  <si>
    <t xml:space="preserve">VAY ARKADAŞ </t>
  </si>
  <si>
    <t xml:space="preserve">VEDA </t>
  </si>
  <si>
    <t>Exyears releases of 2011</t>
  </si>
  <si>
    <r>
      <t>Weekly Admissions &amp; Box Office Report /</t>
    </r>
    <r>
      <rPr>
        <b/>
        <i/>
        <sz val="10"/>
        <color indexed="16"/>
        <rFont val="Calibri"/>
        <family val="2"/>
      </rPr>
      <t xml:space="preserve"> Türkiye Haftalık Seyirci ve Hasılat Raporu</t>
    </r>
  </si>
  <si>
    <t>ANNUAL - 2011 NEW RELEASES - ALL WEEKS</t>
  </si>
  <si>
    <t>2011'de ilk kez vizyona çıkan filmlerin yıl içerisindeki toplam seyirci ve hasılat verileri</t>
  </si>
  <si>
    <t>2011 yılında vizyona çıkan ilk gösterimini 2011'den önce yapan filmlerin seyirci ve hasılat verileri</t>
  </si>
  <si>
    <r>
      <t xml:space="preserve">TOP 20 - </t>
    </r>
    <r>
      <rPr>
        <b/>
        <sz val="20"/>
        <color indexed="16"/>
        <rFont val="Arial Black"/>
        <family val="2"/>
      </rPr>
      <t>İLK 20</t>
    </r>
  </si>
  <si>
    <t>HÜR ADAM</t>
  </si>
  <si>
    <t>TRON: LEGACY</t>
  </si>
  <si>
    <t>SANCTUM</t>
  </si>
  <si>
    <t>SEASON OF THE WITCH</t>
  </si>
  <si>
    <t>THE RITE</t>
  </si>
  <si>
    <t>MEGAMIND</t>
  </si>
  <si>
    <t>LOVE&amp;OTHER DRUGS</t>
  </si>
  <si>
    <t>BİR AVUÇ DENİZ</t>
  </si>
  <si>
    <t>BIUTIFUL</t>
  </si>
  <si>
    <t>I AM NUMBER FOUR</t>
  </si>
  <si>
    <t xml:space="preserve">ÇALGI ÇENGİ </t>
  </si>
  <si>
    <t>TRUE GRIT</t>
  </si>
  <si>
    <t>SPREAD</t>
  </si>
  <si>
    <t>23</t>
  </si>
  <si>
    <t>19</t>
  </si>
  <si>
    <t xml:space="preserve">KAĞIT </t>
  </si>
  <si>
    <t>ATLIKARINCA</t>
  </si>
  <si>
    <t>SİNYORA ENRICA İLE İTALYAN OLMAK</t>
  </si>
  <si>
    <t>PINA</t>
  </si>
  <si>
    <t>CHERKESS</t>
  </si>
  <si>
    <t>ONAY FİLM</t>
  </si>
  <si>
    <t>I AM LOVE</t>
  </si>
  <si>
    <t>THE EXPERIMENT</t>
  </si>
  <si>
    <t>GET LOW</t>
  </si>
  <si>
    <t>BARNEY'S VERSION</t>
  </si>
  <si>
    <t>SECRETARIAT</t>
  </si>
  <si>
    <t>MEŞ</t>
  </si>
  <si>
    <t>NAR FİLM</t>
  </si>
  <si>
    <t>KITES</t>
  </si>
  <si>
    <t>CHERRYBOMB</t>
  </si>
  <si>
    <t>CIRKUS COLUMBIA</t>
  </si>
  <si>
    <t>ZEFİR</t>
  </si>
  <si>
    <t>THE TREE</t>
  </si>
  <si>
    <t>7 AVLU</t>
  </si>
  <si>
    <t>SOMETHING BORROWED</t>
  </si>
  <si>
    <t>THERE BE DRAGONS</t>
  </si>
  <si>
    <r>
      <t xml:space="preserve">Weeks Adm. - </t>
    </r>
    <r>
      <rPr>
        <b/>
        <sz val="11"/>
        <color indexed="10"/>
        <rFont val="Corbel"/>
        <family val="2"/>
      </rPr>
      <t>Haftalık seyirci</t>
    </r>
  </si>
  <si>
    <t>X-MEN: FIRST CLASS</t>
  </si>
  <si>
    <t>GNOMEO &amp; JULIET</t>
  </si>
  <si>
    <t>THE WARD</t>
  </si>
  <si>
    <t>KALEDEKİ YALNIZLIK</t>
  </si>
  <si>
    <t>WRECKED</t>
  </si>
  <si>
    <t>GÜNAH KEÇİSİ</t>
  </si>
  <si>
    <t>THE ADJUSTMENT BREAU</t>
  </si>
  <si>
    <t>KUNG FU PANDA 2</t>
  </si>
  <si>
    <t>HANNA</t>
  </si>
  <si>
    <t>ANOTHER YEAR</t>
  </si>
  <si>
    <t>ADALET OYUNU</t>
  </si>
  <si>
    <t>SUPER 8</t>
  </si>
  <si>
    <t>ST TRINIAN'S 2: THE LEGEND OF FRITTON'S GOLD</t>
  </si>
  <si>
    <t>HAPPY THANK YOU MORE PLEASE</t>
  </si>
  <si>
    <t>IRON DOORS</t>
  </si>
  <si>
    <t>ROUTE IRISH</t>
  </si>
  <si>
    <t>ÖFKELİ ÇILGINLIK KARAMSAR ÇİLE</t>
  </si>
  <si>
    <t>HAPPY FEW</t>
  </si>
  <si>
    <t>INSIDIOUS</t>
  </si>
  <si>
    <t>THE EAGLE</t>
  </si>
  <si>
    <t>THE WAY BACK</t>
  </si>
  <si>
    <t>BABAM VE OĞLUM</t>
  </si>
  <si>
    <t>YÜREĞİNE SOR</t>
  </si>
  <si>
    <t>EŞREFPAŞALILAR</t>
  </si>
  <si>
    <t>BATTLE: LOS ANGELES</t>
  </si>
  <si>
    <t>CHERRY</t>
  </si>
  <si>
    <t>THE GREEN HORNET</t>
  </si>
  <si>
    <t>THE HANGOVER PART II</t>
  </si>
  <si>
    <t xml:space="preserve">KİR - QUREJ </t>
  </si>
  <si>
    <t>LINCOLN LAWYER</t>
  </si>
  <si>
    <t>JUST GO WITH IT</t>
  </si>
  <si>
    <t>SENNA</t>
  </si>
  <si>
    <t>RANGO</t>
  </si>
  <si>
    <t>ZWART WATER</t>
  </si>
  <si>
    <t>J'AI TUE MA MERE</t>
  </si>
  <si>
    <t>ADRENAL FİLM</t>
  </si>
  <si>
    <t>NEW YORK'TA BEŞ MİNARE</t>
  </si>
  <si>
    <t>ÇAKALLARLA DANS</t>
  </si>
  <si>
    <t>(500) DAYS OF SUMMER</t>
  </si>
  <si>
    <t>AFTER.LIFE</t>
  </si>
  <si>
    <t>ALVIN &amp; THE CHIPMUNKS: THE SQUEAKQUEL</t>
  </si>
  <si>
    <t>AN EDUCATION</t>
  </si>
  <si>
    <t>AVATAR</t>
  </si>
  <si>
    <t>AYLA</t>
  </si>
  <si>
    <t>BLACK HEAVEN</t>
  </si>
  <si>
    <t>M3 FİLM</t>
  </si>
  <si>
    <t>BRIGHT STAR</t>
  </si>
  <si>
    <t>CARAMEL</t>
  </si>
  <si>
    <t>CENTURION</t>
  </si>
  <si>
    <t>CHUGYEOGJA</t>
  </si>
  <si>
    <t>COCO AVANT CHANEL</t>
  </si>
  <si>
    <t>COCO CHANEL &amp; IGOR STRAVINSKY</t>
  </si>
  <si>
    <t>DESPICABLE ME</t>
  </si>
  <si>
    <t>DETOUR</t>
  </si>
  <si>
    <t>DIARY OF A WIMPY KID</t>
  </si>
  <si>
    <t>DIE FREMDE (AYRILIK)</t>
  </si>
  <si>
    <t>DUE DATE</t>
  </si>
  <si>
    <t>EAT PRAY LOVE</t>
  </si>
  <si>
    <t>EDEN IS WEST</t>
  </si>
  <si>
    <t>GARFIELD'S PET FORCE</t>
  </si>
  <si>
    <t>GNOMES AND TROLLS: THE SECRET CHAMBER</t>
  </si>
  <si>
    <t>HARRY POTTER 7a</t>
  </si>
  <si>
    <t>HUNGER</t>
  </si>
  <si>
    <t>HUSH</t>
  </si>
  <si>
    <t>ICE AGE 3: DAWN OF THE DINOSAURS</t>
  </si>
  <si>
    <t>IMPY'S WONDERLAND</t>
  </si>
  <si>
    <t>INCEPTION</t>
  </si>
  <si>
    <t>INHALE</t>
  </si>
  <si>
    <t>IT'S A FREE WORLD</t>
  </si>
  <si>
    <t>I'VE LOVED YOU SO LONG</t>
  </si>
  <si>
    <t>JOHN RABE</t>
  </si>
  <si>
    <t>JOURNEY TO THE CENTER OF THE EARTH</t>
  </si>
  <si>
    <t>KNIGHT AND DAY</t>
  </si>
  <si>
    <t>KNIGHT&amp;DAY</t>
  </si>
  <si>
    <t>LA VERITABLE HISTOIRE DU CHAT BOTTE</t>
  </si>
  <si>
    <t>L'AGE DE RAISON</t>
  </si>
  <si>
    <t>LE CONCERT</t>
  </si>
  <si>
    <t>LEMON TREE</t>
  </si>
  <si>
    <t>LIFE AS WE KNOW IT</t>
  </si>
  <si>
    <t>L'ILLUSIONNIST</t>
  </si>
  <si>
    <t>CHANTEIR FILMS</t>
  </si>
  <si>
    <t>LITTLE FOCKERS</t>
  </si>
  <si>
    <t>LITTLE NICHOLAS</t>
  </si>
  <si>
    <t>LOOKING FOR ERIC</t>
  </si>
  <si>
    <t>MOTHER AND CHILD</t>
  </si>
  <si>
    <t>MY SOUL TO TAKE</t>
  </si>
  <si>
    <t>OCEAN WORLD 3D</t>
  </si>
  <si>
    <t>OPEN SEASON 3</t>
  </si>
  <si>
    <t>PARANORMAL ACTIVITY 2</t>
  </si>
  <si>
    <t>PERCY JACKSON &amp; THE OLYMPIANS: THE LIGHTNING THIEF</t>
  </si>
  <si>
    <t>PLANET 51</t>
  </si>
  <si>
    <t>PONYO ON THE CLIFF BY THE SEA</t>
  </si>
  <si>
    <t>R.E.D.</t>
  </si>
  <si>
    <t>RED</t>
  </si>
  <si>
    <t>RESIDENT EVIL: AFTERLIFE</t>
  </si>
  <si>
    <t>RICKY</t>
  </si>
  <si>
    <t>SAMMY'S ADVENTURES</t>
  </si>
  <si>
    <t>SAW 3D</t>
  </si>
  <si>
    <t>SKYLINE</t>
  </si>
  <si>
    <t>STONE</t>
  </si>
  <si>
    <t>SUNSHINE CLEANING</t>
  </si>
  <si>
    <t>TALE 52</t>
  </si>
  <si>
    <t>TANGLED</t>
  </si>
  <si>
    <t>TENGRI: BLUE HEAVENS</t>
  </si>
  <si>
    <t>THE A TEAM</t>
  </si>
  <si>
    <t>THE CHOKE</t>
  </si>
  <si>
    <t>THE DUST OF TIME</t>
  </si>
  <si>
    <t>THE GIRL WHO PLAYED WITH FIRE</t>
  </si>
  <si>
    <t>THE KARATE KID</t>
  </si>
  <si>
    <t>THE LAST EXORCISM</t>
  </si>
  <si>
    <t>THE LAST EXORCİSM</t>
  </si>
  <si>
    <t>THE SECRET OF MOONACRE</t>
  </si>
  <si>
    <t>THE SOCIAL NETWORK</t>
  </si>
  <si>
    <t>THE STONING OF SORAYA M.</t>
  </si>
  <si>
    <t>THE TOURIST</t>
  </si>
  <si>
    <t>THE TOWN</t>
  </si>
  <si>
    <t>THE WAVE</t>
  </si>
  <si>
    <t>TWILIGHT SAGA: NEW MOON</t>
  </si>
  <si>
    <t>UNCLE BOONMEE WHO CAN RECALL HIS PAST LIVES</t>
  </si>
  <si>
    <t>UNSTOPPABLE</t>
  </si>
  <si>
    <t>VAMPIRES SUCK</t>
  </si>
  <si>
    <t>WINX CLUB 3D: MAGICAL ADVENTURE</t>
  </si>
  <si>
    <t>YOU AGAIN</t>
  </si>
  <si>
    <t>YOUNG VICTORIA</t>
  </si>
  <si>
    <t>LARRY CROWN</t>
  </si>
  <si>
    <t>THE RESIDENT</t>
  </si>
  <si>
    <t>CHATROOM</t>
  </si>
  <si>
    <t>OPEN SEASON 2</t>
  </si>
  <si>
    <t>NEDS</t>
  </si>
  <si>
    <t>ÇOK FİLİM HAREKETLER BUNLAR</t>
  </si>
  <si>
    <t>KOSMOS</t>
  </si>
  <si>
    <t>KUKURİKU: KADIN KRALLIĞI</t>
  </si>
  <si>
    <t>ANIMALS UNITED - KONFERENZ DER TIERRE</t>
  </si>
  <si>
    <t>WE ARE THE NIGHT - WIR SIND DIE NACHT</t>
  </si>
  <si>
    <t>JULIA'S EYES - LOS OJOS DE JULIA</t>
  </si>
  <si>
    <t>IN A BETTER WORLD - HEAVNEN</t>
  </si>
  <si>
    <t>SECOND CHANCE - LA CHANCE DE MA VIE</t>
  </si>
  <si>
    <t>I SAW THE DEVIL - AKMAREUL BOATDA</t>
  </si>
  <si>
    <t>WE ARE WHAT WE ARE - SOMOS LO QUE HAY</t>
  </si>
  <si>
    <t>A SEPARATION - JODAEIYE NADER AZ SIMIN</t>
  </si>
  <si>
    <t>WE WANT SEX - MADE IN DAGENHAM</t>
  </si>
  <si>
    <t>THE MISFORTUNATES - DE HELAASHAID DER DINGEN</t>
  </si>
  <si>
    <t>HEARTBEATS - LES AMOURS IMAGINAIRES</t>
  </si>
  <si>
    <t>THE SILENT ARMY - WIT LICHT</t>
  </si>
  <si>
    <t>EVERYTHING WILL BE FINE - ALTING BLIVER GODT IGEN</t>
  </si>
  <si>
    <r>
      <t xml:space="preserve">Cumulative data - </t>
    </r>
    <r>
      <rPr>
        <b/>
        <sz val="11"/>
        <color indexed="10"/>
        <rFont val="Corbel"/>
        <family val="2"/>
      </rPr>
      <t>Toplam veriler</t>
    </r>
  </si>
  <si>
    <r>
      <t xml:space="preserve">Weekend admissions and box office data - </t>
    </r>
    <r>
      <rPr>
        <b/>
        <sz val="11"/>
        <color indexed="10"/>
        <rFont val="Corbel"/>
        <family val="2"/>
      </rPr>
      <t>Haftasonu seyirci ve hasılat verileri</t>
    </r>
  </si>
  <si>
    <t>LOFT</t>
  </si>
  <si>
    <r>
      <t>TÜRKİYE</t>
    </r>
    <r>
      <rPr>
        <b/>
        <sz val="40"/>
        <rFont val="Calibri"/>
        <family val="2"/>
      </rPr>
      <t xml:space="preserve">'S </t>
    </r>
    <r>
      <rPr>
        <b/>
        <u val="single"/>
        <sz val="40"/>
        <rFont val="Calibri"/>
        <family val="2"/>
      </rPr>
      <t>WEEKLY</t>
    </r>
    <r>
      <rPr>
        <b/>
        <sz val="40"/>
        <rFont val="Calibri"/>
        <family val="2"/>
      </rPr>
      <t xml:space="preserve"> MARKET DATA</t>
    </r>
  </si>
  <si>
    <t>TOY STORY 3</t>
  </si>
  <si>
    <r>
      <t>TÜRKİYE</t>
    </r>
    <r>
      <rPr>
        <b/>
        <sz val="28"/>
        <rFont val="Calibri"/>
        <family val="2"/>
      </rPr>
      <t xml:space="preserve">'S </t>
    </r>
    <r>
      <rPr>
        <b/>
        <u val="single"/>
        <sz val="28"/>
        <rFont val="Calibri"/>
        <family val="2"/>
      </rPr>
      <t>WEEKLY</t>
    </r>
    <r>
      <rPr>
        <b/>
        <sz val="28"/>
        <rFont val="Calibri"/>
        <family val="2"/>
      </rPr>
      <t xml:space="preserve"> MARKET DATA</t>
    </r>
  </si>
  <si>
    <t>POINT BLANK - A BOUT PORTANT</t>
  </si>
  <si>
    <t>LOVE, WEDDING, MARRIAGE</t>
  </si>
  <si>
    <t>LET ME IN</t>
  </si>
  <si>
    <t>WIN WIN</t>
  </si>
  <si>
    <t>TOURIST</t>
  </si>
  <si>
    <t>THOR</t>
  </si>
  <si>
    <t>THE HEDGEHOG</t>
  </si>
  <si>
    <t>NEEDLE</t>
  </si>
  <si>
    <t>SOUND OF NOISE</t>
  </si>
  <si>
    <t>MONSTER</t>
  </si>
  <si>
    <t>RECEP İVEDİK</t>
  </si>
  <si>
    <t>MEMLEKET MESELESİ</t>
  </si>
  <si>
    <t>SMURFS</t>
  </si>
  <si>
    <r>
      <t>If you move the arrow at the right bottom of the page to the left, you can see more columns and you can switch to other pages on the left bottom to see related tables.</t>
    </r>
    <r>
      <rPr>
        <i/>
        <sz val="6.5"/>
        <color indexed="23"/>
        <rFont val="Courier New"/>
        <family val="3"/>
      </rPr>
      <t xml:space="preserve"> </t>
    </r>
    <r>
      <rPr>
        <i/>
        <sz val="6.5"/>
        <color indexed="10"/>
        <rFont val="Courier New"/>
        <family val="3"/>
      </rPr>
      <t>Sayfanın sağ altındaki oku sola doğru hareket ettirdiğinizde diğer sütunlardaki bilgileri görebilir, gene sayfanın sol altındaki diğer sayfalara geçerek ilgili tabloları inceleyebilirsiniz.</t>
    </r>
  </si>
  <si>
    <t>RISE OF THE PLANET OF THE APES</t>
  </si>
  <si>
    <t>UNTHINKABLE</t>
  </si>
  <si>
    <t>RECEP İVEDİK 2</t>
  </si>
  <si>
    <t>SULTANIN SIRRI</t>
  </si>
  <si>
    <t>THE SHOCK LABYRINTH: EXTREME</t>
  </si>
  <si>
    <t>NORWEGIAN WOOD</t>
  </si>
  <si>
    <t>BLINDNESS</t>
  </si>
  <si>
    <t>HORRIBLE BOSES</t>
  </si>
  <si>
    <t>HIDDEN</t>
  </si>
  <si>
    <t>UMUT</t>
  </si>
  <si>
    <t>RECEP İVEDİK 3</t>
  </si>
  <si>
    <t>NEFES: VATAN SAĞOLSUN</t>
  </si>
  <si>
    <t>SONBAHAR</t>
  </si>
  <si>
    <t>MAHPEYKER</t>
  </si>
  <si>
    <t>NO STRINGS ATTACHED</t>
  </si>
  <si>
    <t>CARS 2</t>
  </si>
  <si>
    <t>THE AGES OF LOVE</t>
  </si>
  <si>
    <t>THE CONSPIRATOR</t>
  </si>
  <si>
    <t>STAKE LAND</t>
  </si>
  <si>
    <t>THE İMAM</t>
  </si>
  <si>
    <t>BAŞKA DİLDE AŞK</t>
  </si>
  <si>
    <t>WALTZ WITH BASHIR</t>
  </si>
  <si>
    <t xml:space="preserve">TRANSFORMERS: DARK OF THE MOON </t>
  </si>
  <si>
    <t>GREEN LANTERN</t>
  </si>
  <si>
    <t>COLOMBIANA</t>
  </si>
  <si>
    <t>PERFECT SENSE</t>
  </si>
  <si>
    <t>ATTACK THE BLOCK</t>
  </si>
  <si>
    <t>Last Week</t>
  </si>
  <si>
    <t>Geçen hafta</t>
  </si>
  <si>
    <t>ZOOKEPER</t>
  </si>
  <si>
    <t>MOTHERS DAY</t>
  </si>
  <si>
    <t>GRIFF THE INVISIBLE</t>
  </si>
  <si>
    <t>Geçen hafta  %</t>
  </si>
  <si>
    <t>CAPTAIN AMERICA: FIRST AVANGER</t>
  </si>
  <si>
    <t>BRIDESMAIDS</t>
  </si>
  <si>
    <t>ESSENTIAL KILLING</t>
  </si>
  <si>
    <t>BAD TEACHER</t>
  </si>
  <si>
    <r>
      <t>Basic data of the movies -</t>
    </r>
    <r>
      <rPr>
        <b/>
        <sz val="11"/>
        <color indexed="10"/>
        <rFont val="Corbel"/>
        <family val="2"/>
      </rPr>
      <t xml:space="preserve"> Filmin genel bilgileri</t>
    </r>
  </si>
  <si>
    <t>Rest of the week</t>
  </si>
  <si>
    <t>Haftaiçi</t>
  </si>
  <si>
    <t>N</t>
  </si>
  <si>
    <t>FINAL DESTINATION 5</t>
  </si>
  <si>
    <t>A</t>
  </si>
  <si>
    <t>A LITTLE BIT HEAVEN</t>
  </si>
  <si>
    <t>L</t>
  </si>
  <si>
    <t>SAÇ</t>
  </si>
  <si>
    <t>THE CONCERT</t>
  </si>
  <si>
    <t>COWBOYS AND ALIENS</t>
  </si>
  <si>
    <t>KARADEDELER OLAYI</t>
  </si>
  <si>
    <t>FRIENDS WITH BENEFITS</t>
  </si>
  <si>
    <t>GOETHE!</t>
  </si>
  <si>
    <t>KURTLAR VADİSİ FİLİSTİN</t>
  </si>
  <si>
    <t>ÇOĞUNLUK</t>
  </si>
  <si>
    <t>MFP-CINE GROUP</t>
  </si>
  <si>
    <t>KILLER ELITE</t>
  </si>
  <si>
    <t>BİR ZAMANLAR ANADOLU'DA</t>
  </si>
  <si>
    <t>FRIGHT NIGHT</t>
  </si>
  <si>
    <t>I DONT KNOW HOW SHE DOES IT</t>
  </si>
  <si>
    <t>BEYAZ MELEK</t>
  </si>
  <si>
    <t>WHATEVER WORKS</t>
  </si>
  <si>
    <t>ASLAN KRAL</t>
  </si>
  <si>
    <t>MIDNIGHT IN PARIS</t>
  </si>
  <si>
    <t>PARİS'TE GECE YARISI</t>
  </si>
  <si>
    <t>ARKADAŞTAN ÖTE</t>
  </si>
  <si>
    <t>SON DURAK 5</t>
  </si>
  <si>
    <t>DREAM HOUSE</t>
  </si>
  <si>
    <t>KORKU EVİ</t>
  </si>
  <si>
    <t>KORKU GECESİ</t>
  </si>
  <si>
    <t>ARABALAR 2</t>
  </si>
  <si>
    <t>KOVBOYLAR VE UZAYLILAR</t>
  </si>
  <si>
    <t>MUCİZEYİ KADINLAR YARATIR</t>
  </si>
  <si>
    <t>ŞİRİNLER</t>
  </si>
  <si>
    <t>BABAMIN PENGUENLERİ</t>
  </si>
  <si>
    <t>RED STATE</t>
  </si>
  <si>
    <t>ŞEYTANIN İNİ</t>
  </si>
  <si>
    <t>KÖTÜ ÖĞRETMEN</t>
  </si>
  <si>
    <t>MÜHÜRLÜ KÖŞK</t>
  </si>
  <si>
    <t>İLK YENİLMEZ: KAPTAN AMERİKA</t>
  </si>
  <si>
    <t>BİR TUTAM CENNET</t>
  </si>
  <si>
    <t>HER YERDE AŞK</t>
  </si>
  <si>
    <t>ÇILGIN ÇOCUKLAR 4</t>
  </si>
  <si>
    <t>MAYMUNLAR CEHENNEMİ: BAŞLANGIÇ</t>
  </si>
  <si>
    <t>EYLÜL</t>
  </si>
  <si>
    <t>GOETHE'NİN İLK AŞKI</t>
  </si>
  <si>
    <t>RUHLAR KASABASI</t>
  </si>
  <si>
    <t>HAYVAN BAKICISI</t>
  </si>
  <si>
    <t>VAMPİR CEHENNEMİ</t>
  </si>
  <si>
    <t>PATRONDAN KURTULMA SANATI</t>
  </si>
  <si>
    <t>KOLOMBİYALI: İNTİKAM MELEĞİ</t>
  </si>
  <si>
    <t>İYİ GÜNDE KÖTÜ GÜNDE</t>
  </si>
  <si>
    <t>SUİKAST</t>
  </si>
  <si>
    <t>NEDİMELER</t>
  </si>
  <si>
    <t>İMKANSIZIN ŞARKISI</t>
  </si>
  <si>
    <t>AŞKIN SESSİZLİĞİ</t>
  </si>
  <si>
    <t>ÜÇ</t>
  </si>
  <si>
    <t>AKILAMAZ</t>
  </si>
  <si>
    <t>ANNELER GÜNÜ</t>
  </si>
  <si>
    <t>KANIMA GİR</t>
  </si>
  <si>
    <t>KRAL HENRY</t>
  </si>
  <si>
    <t>ÖLÜM ODASI</t>
  </si>
  <si>
    <t>TRANSFORMERS: AY'IN KARANLIK YÜZÜ</t>
  </si>
  <si>
    <t>RUHLAR BÖLGESİ</t>
  </si>
  <si>
    <t>KARS ÖYKÜLERİ</t>
  </si>
  <si>
    <t>AŞKA ŞANS VER</t>
  </si>
  <si>
    <t>YEŞİL FENER</t>
  </si>
  <si>
    <t>BLUE VALENTINE</t>
  </si>
  <si>
    <t>AŞK VE KÜLLER</t>
  </si>
  <si>
    <t>DEHŞET EVİ</t>
  </si>
  <si>
    <t>ÇATI KATI</t>
  </si>
  <si>
    <t>KİRACI</t>
  </si>
  <si>
    <t>BİR AYRILIK</t>
  </si>
  <si>
    <t>KARAYİP KORSANLARI: GİZEMLİ DENİZLERDE</t>
  </si>
  <si>
    <t>KAZANANLAR KULÜBÜ</t>
  </si>
  <si>
    <t>BAŞKA BİR YERDE</t>
  </si>
  <si>
    <t>UZAYLILARIN ŞAFAĞI</t>
  </si>
  <si>
    <t>YAĞMURU BİLE</t>
  </si>
  <si>
    <t>ÖZGÜRLÜK YOLU</t>
  </si>
  <si>
    <t>DÖRT ASLAN</t>
  </si>
  <si>
    <t>ŞEYTANI GÖRDÜM</t>
  </si>
  <si>
    <t>TROLL AVCISI</t>
  </si>
  <si>
    <t>KIYAMET GECESİ</t>
  </si>
  <si>
    <t>GÖRDÜĞÜM EN GÜZEL KADIN</t>
  </si>
  <si>
    <t>ÖLÜMÜNE KAÇIŞ</t>
  </si>
  <si>
    <t>GECELER BİZİM</t>
  </si>
  <si>
    <t>KIRMIZI BAŞLIKLI KIZ KÖTÜLERE KARŞI</t>
  </si>
  <si>
    <t>ÇÖMEZ</t>
  </si>
  <si>
    <t>TEHLİKELİ AŞK</t>
  </si>
  <si>
    <t>UZAK IHTIMAL</t>
  </si>
  <si>
    <t>SES</t>
  </si>
  <si>
    <t>KARA BÜYÜ</t>
  </si>
  <si>
    <t>KARTAL</t>
  </si>
  <si>
    <t>DEHŞETİN GÖZLERİ</t>
  </si>
  <si>
    <t>İBLİS</t>
  </si>
  <si>
    <t>Turkish working title</t>
  </si>
  <si>
    <t>Filmin Türkçe adı</t>
  </si>
  <si>
    <t>THE SMURFS</t>
  </si>
  <si>
    <t>AYI YOGİ</t>
  </si>
  <si>
    <t>FELEKTEN BİR GECE DAHA</t>
  </si>
  <si>
    <t>TRON EFSANESİ</t>
  </si>
  <si>
    <t>CADILAR ZAMANI</t>
  </si>
  <si>
    <t>SİYAH KUĞU</t>
  </si>
  <si>
    <t>X-MEN BİRİNCİ SINIF</t>
  </si>
  <si>
    <t>ZORAKİ KRAL</t>
  </si>
  <si>
    <t>YAŞAMIN ŞİFRESİ</t>
  </si>
  <si>
    <t>ÇIĞLIK 4</t>
  </si>
  <si>
    <t>HAYATIM YALAN!</t>
  </si>
  <si>
    <t>AYİN</t>
  </si>
  <si>
    <t>DRIVE ANGRY 3D</t>
  </si>
  <si>
    <t>İNTİKAM YOLU</t>
  </si>
  <si>
    <t>GULLIVER'İN GEZİLERİ</t>
  </si>
  <si>
    <t>MEGA ZEKA</t>
  </si>
  <si>
    <t>SEVİMLİ HAYVANLAR</t>
  </si>
  <si>
    <t>AŞK SARHOŞU</t>
  </si>
  <si>
    <t>KADER AJANLARI</t>
  </si>
  <si>
    <t>KİMLİKSİZ</t>
  </si>
  <si>
    <t>DÜNYA İSTİLASI: LOS ANGELES SAVAŞI</t>
  </si>
  <si>
    <t>KUTSAL SAVAŞÇI</t>
  </si>
  <si>
    <t>AŞKIN BÜYÜSÜ</t>
  </si>
  <si>
    <t>BAĞLANMAK YOK</t>
  </si>
  <si>
    <t>LİMİT YOK</t>
  </si>
  <si>
    <t>ÖDÜNÇ SEVGİLİ</t>
  </si>
  <si>
    <t>BEN DÖRT NUMARA</t>
  </si>
  <si>
    <t>KIZ VE JURT</t>
  </si>
  <si>
    <t>KAÇIŞ PLANI</t>
  </si>
  <si>
    <t>YEŞİL YABAN ARISI</t>
  </si>
  <si>
    <t>VAY ANAM VAY: BABASININ OĞLU</t>
  </si>
  <si>
    <t>127 SAAT</t>
  </si>
  <si>
    <t>HOODWINKED TOO! HOOD VS. EVIL</t>
  </si>
  <si>
    <t>GÜNEŞİN KARANLIĞINDA</t>
  </si>
  <si>
    <t>KOĞUŞ</t>
  </si>
  <si>
    <t>TUZAK</t>
  </si>
  <si>
    <t>BENİ ASLA BIRAKMA</t>
  </si>
  <si>
    <t>DÖVÜŞÇÜ</t>
  </si>
  <si>
    <t>STEP UP 3D</t>
  </si>
  <si>
    <t>SOKAK DANSI</t>
  </si>
  <si>
    <t>MUTLULUĞUN PEŞİNDE</t>
  </si>
  <si>
    <t>SPY KIDS: ALL THE TIME IN THE WORLD IN 4D</t>
  </si>
  <si>
    <t>SON GECE</t>
  </si>
  <si>
    <t>İZ PEŞİNDE</t>
  </si>
  <si>
    <t>ŞEYTANIN OTELİ 3</t>
  </si>
  <si>
    <t>ÇAPKIN</t>
  </si>
  <si>
    <t>PANDA: SİHİRLİ YOL</t>
  </si>
  <si>
    <t>THE PACK - LA MEUTE</t>
  </si>
  <si>
    <t>ÖLÜM ÇİFTLİĞİ</t>
  </si>
  <si>
    <t>HEARTBREAKER - L'ARNACOEUR</t>
  </si>
  <si>
    <t>GÖNÜL AVCISI</t>
  </si>
  <si>
    <t>KIDNAPPED - SECUESTRADOS</t>
  </si>
  <si>
    <t>THE NAMES OF LOVE - LE NOM DES GENS</t>
  </si>
  <si>
    <t>SUÇLU KİM?</t>
  </si>
  <si>
    <t>İKİ KADIN BİR ERKEK</t>
  </si>
  <si>
    <t>İSTİLA</t>
  </si>
  <si>
    <t>JULIA'NIN GÖZLERİ</t>
  </si>
  <si>
    <t>LONDRA BULVARI</t>
  </si>
  <si>
    <t>DEVLERİN GÜNAHI</t>
  </si>
  <si>
    <t>HENRY OF NAVARRE - HENRI 4</t>
  </si>
  <si>
    <t>THE VALDEMAR LEGACY - LA HERENCIA VALDEMAR</t>
  </si>
  <si>
    <t>LANETLİ MİRAS</t>
  </si>
  <si>
    <t>ÇERKEZ</t>
  </si>
  <si>
    <t>LITTLE WHITE LIES - LES PETITS MOUCHOIRS</t>
  </si>
  <si>
    <t>KÜÇÜK BEYAZ YALANLAR</t>
  </si>
  <si>
    <t>MUTLUYUM DEVAM ET</t>
  </si>
  <si>
    <t>BENİM ADIM AŞK</t>
  </si>
  <si>
    <t>İHANET</t>
  </si>
  <si>
    <t>BENİM HAYATIM</t>
  </si>
  <si>
    <t>KAYIP HAZİNE</t>
  </si>
  <si>
    <t>DAHA İYİ BİR DÜNYADA</t>
  </si>
  <si>
    <t>SILENCE OF LOVE - TUS LES SOLEILS</t>
  </si>
  <si>
    <t>BÜYÜK SIR</t>
  </si>
  <si>
    <t>ZOR HEDEF</t>
  </si>
  <si>
    <t>KADIN İSTERSE</t>
  </si>
  <si>
    <t>GERÇEĞİN PARÇALARI</t>
  </si>
  <si>
    <t>HAYDE BRE</t>
  </si>
  <si>
    <t>CERTIFIED COPY - COPY CONFORME</t>
  </si>
  <si>
    <t>ASLI GİBİDİR</t>
  </si>
  <si>
    <t>ŞAMPİYON</t>
  </si>
  <si>
    <t>TEHLİKELİ TUTKULAR</t>
  </si>
  <si>
    <t>COPACABANA</t>
  </si>
  <si>
    <t>DÜĞÜN HEDİYESİ</t>
  </si>
  <si>
    <t>ÖMRÜMÜZDEN BİR SENE</t>
  </si>
  <si>
    <t>YÜRÜYÜŞ</t>
  </si>
  <si>
    <t>THE GIRL WHO KICKED THE HORNETS' NEST - LUFSLOTTET SOM SPRANGDES</t>
  </si>
  <si>
    <t>ARI KOVANINA ÇOMAK SOKAN KIZ</t>
  </si>
  <si>
    <t>EVEN THE RAIN - TAMBIEN LA ILUVIA</t>
  </si>
  <si>
    <t>HER ŞEY GÜZEL OLACAK</t>
  </si>
  <si>
    <t>İÇİMDEKİ YANGIN</t>
  </si>
  <si>
    <t>KİR</t>
  </si>
  <si>
    <t>KAN KOKUSU</t>
  </si>
  <si>
    <t>THE FIRST BEAUTIFUL THING - LA PRIMA COSA BELLA</t>
  </si>
  <si>
    <t>KADININ FENDİ</t>
  </si>
  <si>
    <t>MUTLU AZINLIK</t>
  </si>
  <si>
    <t>OF GODS AND MEN - DES HOMMES ET DES DIEUX</t>
  </si>
  <si>
    <t>TANRILAR VE İNSANLAR</t>
  </si>
  <si>
    <t>GÜZEL BİR HAYAT DÜŞLERKEN</t>
  </si>
  <si>
    <t>ROOM IN ROME - HABITACION EN ROMA</t>
  </si>
  <si>
    <t>ATEŞLİ ODA</t>
  </si>
  <si>
    <t>DEMİR KAPILAR</t>
  </si>
  <si>
    <t>YAŞAMIN RİTMİ</t>
  </si>
  <si>
    <t>AĞAÇ</t>
  </si>
  <si>
    <t>YÜRÜGARİ İBRAM</t>
  </si>
  <si>
    <t>ÇÖLDE KUTUP AYISI</t>
  </si>
  <si>
    <t>HAYALİ AŞKLAR</t>
  </si>
  <si>
    <t>ULTRA MEGA SÜPER KAHRAMAN</t>
  </si>
  <si>
    <t>VAHŞETİN ÇOCUKLARI</t>
  </si>
  <si>
    <t>ARRIETY - KARI-GURASHI NO ARIETTI</t>
  </si>
  <si>
    <t>AŞIRICILAR</t>
  </si>
  <si>
    <t>SERSERİLER</t>
  </si>
  <si>
    <t>TEHLİKELİ YOL</t>
  </si>
  <si>
    <t>REAL STEEL</t>
  </si>
  <si>
    <t>ÇELİK YUMRUKLAR</t>
  </si>
  <si>
    <t>ÇILGIN, APTAL AŞK</t>
  </si>
  <si>
    <t>SEÇKİN TETİKÇİLER</t>
  </si>
  <si>
    <t>SHANGAI</t>
  </si>
  <si>
    <t>ŞANGAY</t>
  </si>
  <si>
    <t>SÜPER 8</t>
  </si>
  <si>
    <t>SEVİMLİ CÜCELER CİNO VE JÜLYET</t>
  </si>
  <si>
    <t>THE LION KING</t>
  </si>
  <si>
    <t>TROLL HUNTER - TROLLEGEREN</t>
  </si>
  <si>
    <t>THE THREE MUSKETEERS</t>
  </si>
  <si>
    <t>ÜÇ SİLAHŞÖRLER</t>
  </si>
  <si>
    <t>ONE DAY</t>
  </si>
  <si>
    <t>BİR GÜN</t>
  </si>
  <si>
    <t>CHANGE UP</t>
  </si>
  <si>
    <t>HAYAT SANA GÜZEL</t>
  </si>
  <si>
    <t>BENDEYAR</t>
  </si>
  <si>
    <t>THE THING</t>
  </si>
  <si>
    <t>ŞEY</t>
  </si>
  <si>
    <t>ŞEYTANIN İKİZİ</t>
  </si>
  <si>
    <t>OĞUL</t>
  </si>
  <si>
    <t>THE VILLAGE OF SHADOWS - LE VILLAGE DES OMBRES</t>
  </si>
  <si>
    <t>3 - DREI - THREE</t>
  </si>
  <si>
    <t>AFACAN VE KURBAĞA SURAT</t>
  </si>
  <si>
    <t>PARANORMAL ACTIVITY 3</t>
  </si>
  <si>
    <t>THE CONTAGION</t>
  </si>
  <si>
    <t>SALGIN</t>
  </si>
  <si>
    <t>CONAN THE BARBARIAN</t>
  </si>
  <si>
    <t>CONAN</t>
  </si>
  <si>
    <t>HORRID HENRY</t>
  </si>
  <si>
    <t>TURKISH PASSAPORT</t>
  </si>
  <si>
    <t>TÜRK PASAPORTU</t>
  </si>
  <si>
    <t>INTERFILM</t>
  </si>
  <si>
    <t>ISZTANBUL</t>
  </si>
  <si>
    <t>İSTANBUL</t>
  </si>
  <si>
    <t>SENRITSU MEIKYU 3D</t>
  </si>
  <si>
    <t>THE GOOD HEART</t>
  </si>
  <si>
    <t>FREDDIE FROGFACE - ORLA FROSNAPPER</t>
  </si>
  <si>
    <t>ALFA VE OMEGA: EVE DÖNÜŞ MACERASI</t>
  </si>
  <si>
    <t>PIRATES OF THE CARIBBEAN: ON STRANGER TIDES</t>
  </si>
  <si>
    <t>BEHZAT Ç. SENİ KALBİME GÖMDÜM</t>
  </si>
  <si>
    <t>ANADOLU KARTALLARI</t>
  </si>
  <si>
    <t>IN TIME</t>
  </si>
  <si>
    <t>ZAMANA KARŞI</t>
  </si>
  <si>
    <t>JOHNNY ENGLISH REBORNE</t>
  </si>
  <si>
    <t>JOHNNY ENGLISH'İN DÖNÜŞÜ</t>
  </si>
  <si>
    <t>THE DOUBLE</t>
  </si>
  <si>
    <t>İKİLİ OYUN</t>
  </si>
  <si>
    <t>ADVENTURES OF TINTIN</t>
  </si>
  <si>
    <t>TENTEN'İN MACERALARI</t>
  </si>
  <si>
    <t>MOON</t>
  </si>
  <si>
    <t>EXORCISMUS - LE POSESION DE EMMA EVANS</t>
  </si>
  <si>
    <t>KULE SOYGUNU</t>
  </si>
  <si>
    <t>TOWER HEIST</t>
  </si>
  <si>
    <t>WILLKOMMEN IN DEUTSCHLAND</t>
  </si>
  <si>
    <t>ALMANYA'YA HOGELDİNİZ</t>
  </si>
  <si>
    <t>FELAKET HENRY</t>
  </si>
  <si>
    <t>HIZLI VE ÖFKELİ 5: RIO SOYGUNU</t>
  </si>
  <si>
    <t>IMMORTALS</t>
  </si>
  <si>
    <t>ÖLÜMSÜZ</t>
  </si>
  <si>
    <t>BENİ UNUTMA</t>
  </si>
  <si>
    <t>GELECEK UZUN SÜRER</t>
  </si>
  <si>
    <t>GÖRÜNMEYEN</t>
  </si>
  <si>
    <t>SOUL KITCHEN</t>
  </si>
  <si>
    <t>PANDORA'NIN KUTUSU</t>
  </si>
  <si>
    <t>SAKLI RUH</t>
  </si>
  <si>
    <t>ALLAH'IN SADIK KULU</t>
  </si>
  <si>
    <t>HARRY POTTER AND THE DEATHLY HALLOWS: PART 2</t>
  </si>
  <si>
    <t>TWILIGHT SAGA: BREAKING DAWN - PART 1</t>
  </si>
  <si>
    <t>Imprint Entertainment</t>
  </si>
  <si>
    <t>Fida Film</t>
  </si>
  <si>
    <t>ALACAKARANLIK EFSANESİ ŞAFAK VAKTİ: BÖLÜM 1</t>
  </si>
  <si>
    <t>Ser Film</t>
  </si>
  <si>
    <t>Universal</t>
  </si>
  <si>
    <t>Pinema</t>
  </si>
  <si>
    <t>Columbia</t>
  </si>
  <si>
    <t>Warner Bros. Türkiye</t>
  </si>
  <si>
    <t>Afs Film</t>
  </si>
  <si>
    <t>Adam Film</t>
  </si>
  <si>
    <t>CELAL TAN VE AİLESİNİN AŞIRI ACIKLI HİKAYESİ</t>
  </si>
  <si>
    <t>Eflatun</t>
  </si>
  <si>
    <t>MARGIN CALLS</t>
  </si>
  <si>
    <t>Before The Door Pictures</t>
  </si>
  <si>
    <t>D Production</t>
  </si>
  <si>
    <t>YOLUN SONU</t>
  </si>
  <si>
    <t>UIP Türkiye</t>
  </si>
  <si>
    <t>Nar Film</t>
  </si>
  <si>
    <t>New Regency Pictures</t>
  </si>
  <si>
    <t>Tiglon</t>
  </si>
  <si>
    <t>Paramount</t>
  </si>
  <si>
    <t>Color Force</t>
  </si>
  <si>
    <t>Mars Production</t>
  </si>
  <si>
    <t>Walt Disney</t>
  </si>
  <si>
    <t>Imagina</t>
  </si>
  <si>
    <t>Chantier Films</t>
  </si>
  <si>
    <t>Memfis Film</t>
  </si>
  <si>
    <t>Umut Sanat</t>
  </si>
  <si>
    <t>Interfilm</t>
  </si>
  <si>
    <t>Jellystone Films</t>
  </si>
  <si>
    <t>Kalinos</t>
  </si>
  <si>
    <t>Glas Eye Pix.</t>
  </si>
  <si>
    <t>Warner Bros. Pictures</t>
  </si>
  <si>
    <t>The Harvey Boys</t>
  </si>
  <si>
    <t>Nu Image Films</t>
  </si>
  <si>
    <t>Sinetel</t>
  </si>
  <si>
    <t>Maya Film</t>
  </si>
  <si>
    <t>Gözyaşı Film</t>
  </si>
  <si>
    <t>Roxy Film</t>
  </si>
  <si>
    <t>Beta Cinema</t>
  </si>
  <si>
    <t>Cliffjack Motion Pictures</t>
  </si>
  <si>
    <t>Skopia Film</t>
  </si>
  <si>
    <t>Asya Film</t>
  </si>
  <si>
    <t>English or original title</t>
  </si>
  <si>
    <t>Production company</t>
  </si>
  <si>
    <t>Import</t>
  </si>
  <si>
    <t>Filmin ingilizce ya da orijinal adı</t>
  </si>
  <si>
    <t>Yapım</t>
  </si>
  <si>
    <t>İthalat</t>
  </si>
  <si>
    <t>PİNA</t>
  </si>
  <si>
    <t>Bir Film</t>
  </si>
  <si>
    <t>Filmik</t>
  </si>
  <si>
    <t>Bulut Film</t>
  </si>
  <si>
    <t>Toledo</t>
  </si>
  <si>
    <t>Neue Road Movies</t>
  </si>
  <si>
    <t>Blue Light</t>
  </si>
  <si>
    <t>Crest Animation Productions</t>
  </si>
  <si>
    <t>Asmik Ace Entertainment</t>
  </si>
  <si>
    <t>X-Filme Creative Pool</t>
  </si>
  <si>
    <t>DEDEMİN İNSANLARI</t>
  </si>
  <si>
    <t>Ay Yapım - Most Production</t>
  </si>
  <si>
    <t>THE IDES OF MARCH</t>
  </si>
  <si>
    <t>Cross Creek Pictures</t>
  </si>
  <si>
    <t>ZİRVEYE GİDEN YOL</t>
  </si>
  <si>
    <t>A DANGEROUS METHOD</t>
  </si>
  <si>
    <t>Recorded Picture</t>
  </si>
  <si>
    <t>TEHLİKELİ İLİŞKİ</t>
  </si>
  <si>
    <t>THE HOLE</t>
  </si>
  <si>
    <t>Bold Films</t>
  </si>
  <si>
    <t>Medyavizyon</t>
  </si>
  <si>
    <t>MAHZEN</t>
  </si>
  <si>
    <t>THE TREE OF LIFE</t>
  </si>
  <si>
    <t>Cottonwood Pictures</t>
  </si>
  <si>
    <t>HAYAT AĞACI</t>
  </si>
  <si>
    <t>Hyde Park</t>
  </si>
  <si>
    <t>ENTELKÖY EFEKÖY'E KARŞI</t>
  </si>
  <si>
    <t>ARTHUR CHRISTMAS</t>
  </si>
  <si>
    <t>HEDİYE OPERASYONU</t>
  </si>
  <si>
    <t>HUGO CABRET</t>
  </si>
  <si>
    <t>HUGO</t>
  </si>
  <si>
    <t>SEEKING JUSTICE</t>
  </si>
  <si>
    <t>İNTİKAMIN BEDELİ</t>
  </si>
  <si>
    <t>MAVİ PANSİYON</t>
  </si>
  <si>
    <t>HARRY POTTER 7B</t>
  </si>
  <si>
    <t>HARRY POTTER VE ÖLÜM YADİGARLARI BÖLÜM 2</t>
  </si>
  <si>
    <t>THE DEVILS DOUBLE</t>
  </si>
  <si>
    <t>CRAZY, STUPID LOVE.</t>
  </si>
  <si>
    <t>MR POPPER'S PENGUINS</t>
  </si>
  <si>
    <t>AŞKIN HALLERİ</t>
  </si>
  <si>
    <t>YERYÜZÜNDEKİ SON AŞK</t>
  </si>
  <si>
    <t>MUSALLAT 2</t>
  </si>
  <si>
    <r>
      <t xml:space="preserve">Week: 50 / </t>
    </r>
    <r>
      <rPr>
        <b/>
        <u val="single"/>
        <sz val="18"/>
        <rFont val="Candara"/>
        <family val="2"/>
      </rPr>
      <t>December' 09 - 15, 2011</t>
    </r>
  </si>
  <si>
    <r>
      <t xml:space="preserve">Hafta: 50 / </t>
    </r>
    <r>
      <rPr>
        <b/>
        <u val="single"/>
        <sz val="18"/>
        <color indexed="10"/>
        <rFont val="Candara"/>
        <family val="2"/>
      </rPr>
      <t>09 - 15 Aralık 2011</t>
    </r>
  </si>
  <si>
    <t>31 Aralık 2010 - 15 Aralık 2011</t>
  </si>
  <si>
    <r>
      <t xml:space="preserve"> Dec' 31, 2010 - December' 15, 2011</t>
    </r>
  </si>
  <si>
    <r>
      <t xml:space="preserve">Week: 50 / </t>
    </r>
    <r>
      <rPr>
        <b/>
        <u val="single"/>
        <sz val="14"/>
        <rFont val="Candara"/>
        <family val="2"/>
      </rPr>
      <t>December' 09 - 15 , 2011</t>
    </r>
  </si>
  <si>
    <r>
      <t xml:space="preserve">Hafta: 50 / </t>
    </r>
    <r>
      <rPr>
        <b/>
        <u val="single"/>
        <sz val="14"/>
        <color indexed="10"/>
        <rFont val="Candara"/>
        <family val="2"/>
      </rPr>
      <t>09 -15 Aralık 2011</t>
    </r>
  </si>
  <si>
    <t>Mia Yapım</t>
  </si>
  <si>
    <t>Galata Film</t>
  </si>
  <si>
    <t>Aardman</t>
  </si>
  <si>
    <t>Gk Films</t>
  </si>
  <si>
    <t>YANGIN VAR</t>
  </si>
  <si>
    <t>Yol Film</t>
  </si>
  <si>
    <t>AY BÜYÜRKEN UYUYAMAM</t>
  </si>
  <si>
    <t>MG Production</t>
  </si>
  <si>
    <t>MONEYBALL</t>
  </si>
  <si>
    <t>Michael De Luca Productions</t>
  </si>
  <si>
    <t>KAZANMA SANATI</t>
  </si>
  <si>
    <t>Endgame</t>
  </si>
  <si>
    <t>Tmc  Film</t>
  </si>
  <si>
    <t>Dfi</t>
  </si>
  <si>
    <t>JANE EYRE</t>
  </si>
  <si>
    <t>Focus</t>
  </si>
  <si>
    <t>İZ</t>
  </si>
  <si>
    <t>Arti Film</t>
  </si>
  <si>
    <t>SIMPLE SIMON</t>
  </si>
  <si>
    <t>Naive</t>
  </si>
  <si>
    <t>AŞKIN FORMÜLÜ YOK</t>
  </si>
  <si>
    <t>Ber Ay Yapım</t>
  </si>
  <si>
    <t>Moviebox</t>
  </si>
  <si>
    <t>Sierre Affinity</t>
  </si>
  <si>
    <t>Marathon</t>
  </si>
  <si>
    <t>Exclusive</t>
  </si>
  <si>
    <t>ALVIN &amp; THE CHIPMUNKS 2</t>
  </si>
  <si>
    <t>IKI DIL BIR BAVUL</t>
  </si>
  <si>
    <t>3 (THREE)</t>
  </si>
  <si>
    <t>ISTANBUL</t>
  </si>
  <si>
    <t>FREDDY FROGFACE (3D)</t>
  </si>
  <si>
    <t>ALVİN VE SİNCAPLAR 2</t>
  </si>
  <si>
    <t>İKİ DİL BİR BAVUL</t>
  </si>
  <si>
    <t>A TAKIMI</t>
  </si>
  <si>
    <t>WINX CLUB: SHİRLİ MACERA</t>
  </si>
  <si>
    <t>Fox</t>
  </si>
  <si>
    <t>Filmartı</t>
  </si>
  <si>
    <t>Kuzey Film</t>
  </si>
  <si>
    <t>Perisan Film</t>
  </si>
  <si>
    <t>Nbc - Zeyno Film - Fida Film</t>
  </si>
  <si>
    <t>Filma</t>
  </si>
  <si>
    <t>Filmfabrik</t>
  </si>
  <si>
    <t>THE SILENT ARMY</t>
  </si>
  <si>
    <t>THE NAMES OF LOVE</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</si>
</sst>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dd/mm/yy"/>
    <numFmt numFmtId="165" formatCode="0\ %\ "/>
    <numFmt numFmtId="166" formatCode="0.00\ "/>
    <numFmt numFmtId="167" formatCode="[$-F400]h:mm:ss\ AM/PM"/>
  </numFmts>
  <fonts count="143">
    <font>
      <sz val="10"/>
      <name val="Arial"/>
      <family val="0"/>
    </font>
    <font>
      <sz val="11"/>
      <color indexed="8"/>
      <name val="Calibri"/>
      <family val="2"/>
    </font>
    <font>
      <sz val="8"/>
      <name val="Arial"/>
      <family val="2"/>
    </font>
    <font>
      <u val="single"/>
      <sz val="10"/>
      <color indexed="12"/>
      <name val="Arial"/>
      <family val="0"/>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9"/>
      <name val="Calibri"/>
      <family val="2"/>
    </font>
    <font>
      <b/>
      <i/>
      <sz val="10"/>
      <name val="Calibri"/>
      <family val="2"/>
    </font>
    <font>
      <b/>
      <sz val="20"/>
      <name val="Calibri"/>
      <family val="2"/>
    </font>
    <font>
      <b/>
      <sz val="7"/>
      <name val="Arial"/>
      <family val="2"/>
    </font>
    <font>
      <b/>
      <sz val="8"/>
      <name val="Arial"/>
      <family val="2"/>
    </font>
    <font>
      <i/>
      <sz val="7"/>
      <color indexed="23"/>
      <name val="Arial"/>
      <family val="0"/>
    </font>
    <font>
      <i/>
      <sz val="8"/>
      <color indexed="23"/>
      <name val="Wingdings 3"/>
      <family val="1"/>
    </font>
    <font>
      <b/>
      <i/>
      <sz val="25"/>
      <color indexed="10"/>
      <name val="Wingdings 3"/>
      <family val="1"/>
    </font>
    <font>
      <b/>
      <i/>
      <sz val="25"/>
      <color indexed="12"/>
      <name val="Wingdings 3"/>
      <family val="1"/>
    </font>
    <font>
      <b/>
      <sz val="14"/>
      <name val="Calibri"/>
      <family val="2"/>
    </font>
    <font>
      <i/>
      <sz val="7"/>
      <name val="Courier New"/>
      <family val="3"/>
    </font>
    <font>
      <u val="single"/>
      <sz val="12"/>
      <color indexed="12"/>
      <name val="Corbel"/>
      <family val="2"/>
    </font>
    <font>
      <sz val="12"/>
      <name val="Corbel"/>
      <family val="2"/>
    </font>
    <font>
      <b/>
      <sz val="28"/>
      <name val="Calibri"/>
      <family val="2"/>
    </font>
    <font>
      <sz val="28"/>
      <name val="Arial"/>
      <family val="0"/>
    </font>
    <font>
      <b/>
      <u val="single"/>
      <sz val="18"/>
      <color indexed="10"/>
      <name val="Candara"/>
      <family val="2"/>
    </font>
    <font>
      <sz val="18"/>
      <name val="Candara"/>
      <family val="2"/>
    </font>
    <font>
      <sz val="20"/>
      <name val="Corbel"/>
      <family val="2"/>
    </font>
    <font>
      <u val="single"/>
      <sz val="20"/>
      <name val="Corbel"/>
      <family val="2"/>
    </font>
    <font>
      <sz val="20"/>
      <name val="Arial"/>
      <family val="0"/>
    </font>
    <font>
      <sz val="10"/>
      <name val="Arial Tur"/>
      <family val="0"/>
    </font>
    <font>
      <b/>
      <u val="single"/>
      <sz val="18"/>
      <name val="Candara"/>
      <family val="2"/>
    </font>
    <font>
      <b/>
      <i/>
      <sz val="10"/>
      <color indexed="16"/>
      <name val="Calibri"/>
      <family val="2"/>
    </font>
    <font>
      <sz val="10"/>
      <color indexed="16"/>
      <name val="Arial"/>
      <family val="0"/>
    </font>
    <font>
      <b/>
      <sz val="20"/>
      <name val="Arial Black"/>
      <family val="2"/>
    </font>
    <font>
      <b/>
      <sz val="20"/>
      <color indexed="16"/>
      <name val="Arial Black"/>
      <family val="2"/>
    </font>
    <font>
      <sz val="10"/>
      <name val="Verdana"/>
      <family val="2"/>
    </font>
    <font>
      <sz val="10"/>
      <color indexed="8"/>
      <name val="Calibri"/>
      <family val="2"/>
    </font>
    <font>
      <sz val="14"/>
      <color indexed="9"/>
      <name val="Garamond"/>
      <family val="1"/>
    </font>
    <font>
      <b/>
      <sz val="11"/>
      <color indexed="9"/>
      <name val="Corbel"/>
      <family val="2"/>
    </font>
    <font>
      <sz val="10"/>
      <color indexed="9"/>
      <name val="Corbel"/>
      <family val="2"/>
    </font>
    <font>
      <sz val="10"/>
      <color indexed="9"/>
      <name val="Trebuchet MS"/>
      <family val="2"/>
    </font>
    <font>
      <sz val="10"/>
      <color indexed="9"/>
      <name val="Arial"/>
      <family val="0"/>
    </font>
    <font>
      <sz val="14"/>
      <color indexed="9"/>
      <name val="Arial"/>
      <family val="2"/>
    </font>
    <font>
      <b/>
      <sz val="40"/>
      <color indexed="10"/>
      <name val="Calibri"/>
      <family val="2"/>
    </font>
    <font>
      <b/>
      <u val="single"/>
      <sz val="40"/>
      <name val="Calibri"/>
      <family val="2"/>
    </font>
    <font>
      <b/>
      <sz val="28"/>
      <color indexed="10"/>
      <name val="Calibri"/>
      <family val="2"/>
    </font>
    <font>
      <b/>
      <u val="single"/>
      <sz val="28"/>
      <name val="Calibri"/>
      <family val="2"/>
    </font>
    <font>
      <i/>
      <sz val="6.5"/>
      <name val="Courier New"/>
      <family val="3"/>
    </font>
    <font>
      <i/>
      <sz val="6.5"/>
      <color indexed="23"/>
      <name val="Courier New"/>
      <family val="3"/>
    </font>
    <font>
      <i/>
      <sz val="6.5"/>
      <color indexed="10"/>
      <name val="Courier New"/>
      <family val="3"/>
    </font>
    <font>
      <sz val="6.5"/>
      <name val="Arial"/>
      <family val="0"/>
    </font>
    <font>
      <b/>
      <sz val="18"/>
      <name val="Candara"/>
      <family val="2"/>
    </font>
    <font>
      <b/>
      <sz val="14"/>
      <name val="Candara"/>
      <family val="2"/>
    </font>
    <font>
      <b/>
      <u val="single"/>
      <sz val="14"/>
      <name val="Candara"/>
      <family val="2"/>
    </font>
    <font>
      <sz val="14"/>
      <name val="Candara"/>
      <family val="2"/>
    </font>
    <font>
      <b/>
      <u val="single"/>
      <sz val="14"/>
      <color indexed="10"/>
      <name val="Candara"/>
      <family val="2"/>
    </font>
    <font>
      <sz val="11"/>
      <color indexed="10"/>
      <name val="Corbel"/>
      <family val="2"/>
    </font>
    <font>
      <b/>
      <sz val="11"/>
      <name val="Calibri"/>
      <family val="2"/>
    </font>
    <font>
      <sz val="8"/>
      <color indexed="9"/>
      <name val="Calibri"/>
      <family val="2"/>
    </font>
    <font>
      <sz val="10"/>
      <color indexed="9"/>
      <name val="Calibri"/>
      <family val="2"/>
    </font>
    <font>
      <b/>
      <sz val="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12"/>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65"/>
        <bgColor indexed="64"/>
      </patternFill>
    </fill>
    <fill>
      <patternFill patternType="solid">
        <fgColor indexed="17"/>
        <bgColor indexed="64"/>
      </patternFill>
    </fill>
    <fill>
      <patternFill patternType="solid">
        <fgColor theme="0"/>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bottom style="thin"/>
    </border>
    <border>
      <left style="hair"/>
      <right style="hair"/>
      <top style="hair"/>
      <bottom style="hair"/>
    </border>
    <border>
      <left/>
      <right/>
      <top/>
      <bottom style="medium"/>
    </border>
    <border>
      <left style="thin"/>
      <right style="thin"/>
      <top/>
      <bottom style="medium"/>
    </border>
    <border>
      <left style="thin"/>
      <right style="thin"/>
      <top style="thin"/>
      <bottom style="medium"/>
    </border>
    <border>
      <left style="medium"/>
      <right/>
      <top/>
      <bottom style="hair"/>
    </border>
    <border>
      <left style="medium"/>
      <right style="hair"/>
      <top style="medium"/>
      <bottom style="hair"/>
    </border>
    <border>
      <left style="hair"/>
      <right/>
      <top style="medium"/>
      <bottom style="hair"/>
    </border>
    <border>
      <left style="medium"/>
      <right/>
      <top style="hair"/>
      <bottom style="hair"/>
    </border>
    <border>
      <left style="medium"/>
      <right style="hair"/>
      <top style="hair"/>
      <bottom style="hair"/>
    </border>
    <border>
      <left style="hair"/>
      <right/>
      <top style="hair"/>
      <bottom style="hair"/>
    </border>
    <border>
      <left style="hair"/>
      <right style="medium"/>
      <top style="hair"/>
      <bottom style="hair"/>
    </border>
    <border>
      <left style="medium"/>
      <right/>
      <top style="hair"/>
      <bottom style="medium"/>
    </border>
    <border>
      <left style="hair"/>
      <right/>
      <top style="hair"/>
      <bottom style="medium"/>
    </border>
    <border>
      <left style="medium"/>
      <right style="hair"/>
      <top style="hair"/>
      <bottom style="medium"/>
    </border>
    <border>
      <left style="thin"/>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medium"/>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medium"/>
      <bottom style="hair"/>
    </border>
    <border>
      <left/>
      <right style="medium"/>
      <top style="hair"/>
      <bottom style="hair"/>
    </border>
    <border>
      <left/>
      <right style="medium"/>
      <top/>
      <bottom style="hair"/>
    </border>
    <border>
      <left style="medium"/>
      <right style="medium"/>
      <top style="medium"/>
      <bottom style="hair"/>
    </border>
    <border>
      <left style="medium"/>
      <right style="medium"/>
      <top style="hair"/>
      <bottom style="hair"/>
    </border>
    <border>
      <left style="medium"/>
      <right style="medium"/>
      <top/>
      <bottom style="hair"/>
    </border>
    <border>
      <left style="thin"/>
      <right style="medium"/>
      <top style="thin"/>
      <bottom/>
    </border>
    <border>
      <left style="medium"/>
      <right/>
      <top style="medium"/>
      <bottom style="hair"/>
    </border>
    <border>
      <left style="medium"/>
      <right style="medium"/>
      <top style="hair"/>
      <bottom style="medium"/>
    </border>
    <border>
      <left style="hair"/>
      <right style="hair"/>
      <top style="medium"/>
      <bottom style="hair"/>
    </border>
    <border>
      <left style="hair"/>
      <right style="medium"/>
      <top style="medium"/>
      <bottom style="hair"/>
    </border>
    <border>
      <left style="hair"/>
      <right style="hair"/>
      <top style="hair"/>
      <bottom style="medium"/>
    </border>
    <border>
      <left style="hair"/>
      <right style="medium"/>
      <top style="hair"/>
      <bottom style="medium"/>
    </border>
    <border>
      <left style="medium"/>
      <right style="hair"/>
      <top style="hair"/>
      <bottom/>
    </border>
    <border>
      <left style="hair"/>
      <right/>
      <top style="hair"/>
      <bottom/>
    </border>
    <border>
      <left style="medium"/>
      <right style="medium"/>
      <top/>
      <bottom style="medium"/>
    </border>
    <border>
      <left style="hair"/>
      <right style="hair"/>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style="medium"/>
      <bottom style="thin"/>
    </border>
    <border>
      <left/>
      <right style="thin"/>
      <top style="medium"/>
      <bottom style="thin"/>
    </border>
    <border>
      <left style="thin"/>
      <right style="medium"/>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6" fillId="2" borderId="0" applyNumberFormat="0" applyBorder="0" applyAlignment="0" applyProtection="0"/>
    <xf numFmtId="0" fontId="126" fillId="3" borderId="0" applyNumberFormat="0" applyBorder="0" applyAlignment="0" applyProtection="0"/>
    <xf numFmtId="0" fontId="126" fillId="4" borderId="0" applyNumberFormat="0" applyBorder="0" applyAlignment="0" applyProtection="0"/>
    <xf numFmtId="0" fontId="126" fillId="5" borderId="0" applyNumberFormat="0" applyBorder="0" applyAlignment="0" applyProtection="0"/>
    <xf numFmtId="0" fontId="126" fillId="6" borderId="0" applyNumberFormat="0" applyBorder="0" applyAlignment="0" applyProtection="0"/>
    <xf numFmtId="0" fontId="126" fillId="7" borderId="0" applyNumberFormat="0" applyBorder="0" applyAlignment="0" applyProtection="0"/>
    <xf numFmtId="0" fontId="126" fillId="8" borderId="0" applyNumberFormat="0" applyBorder="0" applyAlignment="0" applyProtection="0"/>
    <xf numFmtId="0" fontId="126" fillId="9" borderId="0" applyNumberFormat="0" applyBorder="0" applyAlignment="0" applyProtection="0"/>
    <xf numFmtId="0" fontId="126" fillId="10" borderId="0" applyNumberFormat="0" applyBorder="0" applyAlignment="0" applyProtection="0"/>
    <xf numFmtId="0" fontId="126" fillId="11"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0" borderId="1" applyNumberFormat="0" applyFill="0" applyAlignment="0" applyProtection="0"/>
    <xf numFmtId="0" fontId="131" fillId="0" borderId="2" applyNumberFormat="0" applyFill="0" applyAlignment="0" applyProtection="0"/>
    <xf numFmtId="0" fontId="132" fillId="0" borderId="3" applyNumberFormat="0" applyFill="0" applyAlignment="0" applyProtection="0"/>
    <xf numFmtId="0" fontId="133" fillId="0" borderId="4" applyNumberFormat="0" applyFill="0" applyAlignment="0" applyProtection="0"/>
    <xf numFmtId="0" fontId="1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4" fillId="20" borderId="5" applyNumberFormat="0" applyAlignment="0" applyProtection="0"/>
    <xf numFmtId="0" fontId="135" fillId="21" borderId="6" applyNumberFormat="0" applyAlignment="0" applyProtection="0"/>
    <xf numFmtId="0" fontId="136" fillId="20" borderId="6" applyNumberFormat="0" applyAlignment="0" applyProtection="0"/>
    <xf numFmtId="0" fontId="137" fillId="22" borderId="7" applyNumberFormat="0" applyAlignment="0" applyProtection="0"/>
    <xf numFmtId="0" fontId="138" fillId="23" borderId="0" applyNumberFormat="0" applyBorder="0" applyAlignment="0" applyProtection="0"/>
    <xf numFmtId="0" fontId="3" fillId="0" borderId="0" applyNumberFormat="0" applyFill="0" applyBorder="0" applyAlignment="0" applyProtection="0"/>
    <xf numFmtId="0" fontId="13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1" fillId="0" borderId="0">
      <alignment/>
      <protection/>
    </xf>
    <xf numFmtId="0" fontId="0" fillId="25" borderId="8" applyNumberFormat="0" applyFont="0" applyAlignment="0" applyProtection="0"/>
    <xf numFmtId="0" fontId="14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1" fillId="0" borderId="9" applyNumberFormat="0" applyFill="0" applyAlignment="0" applyProtection="0"/>
    <xf numFmtId="0" fontId="142" fillId="0" borderId="0" applyNumberFormat="0" applyFill="0" applyBorder="0" applyAlignment="0" applyProtection="0"/>
    <xf numFmtId="0" fontId="127" fillId="27" borderId="0" applyNumberFormat="0" applyBorder="0" applyAlignment="0" applyProtection="0"/>
    <xf numFmtId="0" fontId="127" fillId="28" borderId="0" applyNumberFormat="0" applyBorder="0" applyAlignment="0" applyProtection="0"/>
    <xf numFmtId="0" fontId="127" fillId="29" borderId="0" applyNumberFormat="0" applyBorder="0" applyAlignment="0" applyProtection="0"/>
    <xf numFmtId="0" fontId="127" fillId="30" borderId="0" applyNumberFormat="0" applyBorder="0" applyAlignment="0" applyProtection="0"/>
    <xf numFmtId="0" fontId="127" fillId="31" borderId="0" applyNumberFormat="0" applyBorder="0" applyAlignment="0" applyProtection="0"/>
    <xf numFmtId="0" fontId="127"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795">
    <xf numFmtId="0" fontId="0" fillId="0" borderId="0" xfId="0" applyAlignment="1">
      <alignment/>
    </xf>
    <xf numFmtId="0" fontId="17" fillId="33" borderId="10" xfId="0" applyFont="1" applyFill="1" applyBorder="1" applyAlignment="1" applyProtection="1">
      <alignment horizontal="center"/>
      <protection/>
    </xf>
    <xf numFmtId="164" fontId="12" fillId="0" borderId="11" xfId="0" applyNumberFormat="1" applyFont="1" applyFill="1" applyBorder="1" applyAlignment="1" applyProtection="1">
      <alignment horizontal="center" vertical="center"/>
      <protection locked="0"/>
    </xf>
    <xf numFmtId="0" fontId="12" fillId="0" borderId="11" xfId="0" applyFont="1" applyFill="1" applyBorder="1" applyAlignment="1" applyProtection="1">
      <alignment horizontal="right" vertical="center"/>
      <protection locked="0"/>
    </xf>
    <xf numFmtId="0" fontId="12" fillId="0" borderId="11" xfId="0" applyNumberFormat="1" applyFont="1" applyFill="1" applyBorder="1" applyAlignment="1" applyProtection="1">
      <alignment horizontal="right" vertical="center"/>
      <protection locked="0"/>
    </xf>
    <xf numFmtId="4" fontId="12" fillId="0" borderId="11" xfId="40" applyNumberFormat="1" applyFont="1" applyFill="1" applyBorder="1" applyAlignment="1" applyProtection="1">
      <alignment horizontal="right" vertical="center"/>
      <protection locked="0"/>
    </xf>
    <xf numFmtId="3" fontId="12" fillId="0" borderId="11" xfId="40" applyNumberFormat="1" applyFont="1" applyFill="1" applyBorder="1" applyAlignment="1" applyProtection="1">
      <alignment horizontal="right" vertical="center"/>
      <protection locked="0"/>
    </xf>
    <xf numFmtId="3" fontId="12" fillId="0" borderId="11" xfId="43" applyNumberFormat="1" applyFont="1" applyFill="1" applyBorder="1" applyAlignment="1" applyProtection="1">
      <alignment horizontal="right" vertical="center"/>
      <protection locked="0"/>
    </xf>
    <xf numFmtId="4" fontId="12" fillId="0" borderId="11" xfId="43" applyNumberFormat="1" applyFont="1" applyFill="1" applyBorder="1" applyAlignment="1" applyProtection="1">
      <alignment horizontal="right" vertical="center"/>
      <protection locked="0"/>
    </xf>
    <xf numFmtId="0" fontId="12" fillId="0" borderId="11" xfId="0" applyFont="1" applyFill="1" applyBorder="1" applyAlignment="1" applyProtection="1">
      <alignment horizontal="left" vertical="center"/>
      <protection locked="0"/>
    </xf>
    <xf numFmtId="0" fontId="12" fillId="0" borderId="11" xfId="0" applyNumberFormat="1" applyFont="1" applyFill="1" applyBorder="1" applyAlignment="1" applyProtection="1">
      <alignment horizontal="left" vertical="center"/>
      <protection locked="0"/>
    </xf>
    <xf numFmtId="49" fontId="12" fillId="0" borderId="11" xfId="0" applyNumberFormat="1" applyFont="1" applyFill="1" applyBorder="1" applyAlignment="1" applyProtection="1">
      <alignment horizontal="left" vertical="center"/>
      <protection locked="0"/>
    </xf>
    <xf numFmtId="0" fontId="12" fillId="0" borderId="11" xfId="0" applyFont="1" applyFill="1" applyBorder="1" applyAlignment="1" applyProtection="1">
      <alignment vertical="center"/>
      <protection locked="0"/>
    </xf>
    <xf numFmtId="4" fontId="12" fillId="0" borderId="11" xfId="40" applyNumberFormat="1" applyFont="1" applyFill="1" applyBorder="1" applyAlignment="1" applyProtection="1">
      <alignment vertical="center"/>
      <protection locked="0"/>
    </xf>
    <xf numFmtId="0" fontId="12" fillId="0" borderId="11" xfId="0" applyNumberFormat="1" applyFont="1" applyFill="1" applyBorder="1" applyAlignment="1" applyProtection="1">
      <alignment vertical="center"/>
      <protection locked="0"/>
    </xf>
    <xf numFmtId="49" fontId="12" fillId="0" borderId="11" xfId="0" applyNumberFormat="1" applyFont="1" applyFill="1" applyBorder="1" applyAlignment="1" applyProtection="1">
      <alignment vertical="center"/>
      <protection locked="0"/>
    </xf>
    <xf numFmtId="4" fontId="12" fillId="0" borderId="11" xfId="43" applyNumberFormat="1" applyFont="1" applyFill="1" applyBorder="1" applyAlignment="1" applyProtection="1">
      <alignment vertical="center"/>
      <protection locked="0"/>
    </xf>
    <xf numFmtId="3" fontId="12" fillId="0" borderId="11" xfId="43" applyNumberFormat="1" applyFont="1" applyFill="1" applyBorder="1" applyAlignment="1" applyProtection="1">
      <alignment vertical="center"/>
      <protection locked="0"/>
    </xf>
    <xf numFmtId="4" fontId="12" fillId="0" borderId="11" xfId="0" applyNumberFormat="1" applyFont="1" applyFill="1" applyBorder="1" applyAlignment="1">
      <alignment vertical="center"/>
    </xf>
    <xf numFmtId="3" fontId="12" fillId="0" borderId="11" xfId="0" applyNumberFormat="1" applyFont="1" applyFill="1" applyBorder="1" applyAlignment="1">
      <alignment vertical="center"/>
    </xf>
    <xf numFmtId="0" fontId="12" fillId="0" borderId="11" xfId="0" applyFont="1" applyFill="1" applyBorder="1" applyAlignment="1">
      <alignment horizontal="left" vertical="center"/>
    </xf>
    <xf numFmtId="0" fontId="12" fillId="0" borderId="11" xfId="0" applyFont="1" applyFill="1" applyBorder="1" applyAlignment="1">
      <alignment vertical="center"/>
    </xf>
    <xf numFmtId="164" fontId="12" fillId="0" borderId="11" xfId="0" applyNumberFormat="1" applyFont="1" applyFill="1" applyBorder="1" applyAlignment="1">
      <alignment horizontal="center" vertical="center"/>
    </xf>
    <xf numFmtId="0" fontId="12" fillId="0" borderId="11" xfId="0" applyFont="1" applyFill="1" applyBorder="1" applyAlignment="1">
      <alignment horizontal="right" vertical="center"/>
    </xf>
    <xf numFmtId="4" fontId="12" fillId="0" borderId="11" xfId="40" applyNumberFormat="1" applyFont="1" applyFill="1" applyBorder="1" applyAlignment="1" applyProtection="1">
      <alignment vertical="center"/>
      <protection/>
    </xf>
    <xf numFmtId="4" fontId="12" fillId="0" borderId="11" xfId="40" applyNumberFormat="1" applyFont="1" applyFill="1" applyBorder="1" applyAlignment="1" applyProtection="1">
      <alignment horizontal="right" vertical="center"/>
      <protection/>
    </xf>
    <xf numFmtId="4" fontId="12" fillId="0" borderId="11" xfId="0" applyNumberFormat="1" applyFont="1" applyFill="1" applyBorder="1" applyAlignment="1">
      <alignment horizontal="right" vertical="center"/>
    </xf>
    <xf numFmtId="3" fontId="12" fillId="0" borderId="11" xfId="40" applyNumberFormat="1" applyFont="1" applyFill="1" applyBorder="1" applyAlignment="1" applyProtection="1">
      <alignment horizontal="right" vertical="center"/>
      <protection/>
    </xf>
    <xf numFmtId="3" fontId="12" fillId="0" borderId="11" xfId="0" applyNumberFormat="1" applyFont="1" applyFill="1" applyBorder="1" applyAlignment="1">
      <alignment horizontal="right" vertical="center"/>
    </xf>
    <xf numFmtId="3" fontId="12" fillId="0" borderId="11" xfId="42" applyNumberFormat="1" applyFont="1" applyFill="1" applyBorder="1" applyAlignment="1" applyProtection="1">
      <alignment horizontal="right" vertical="center"/>
      <protection locked="0"/>
    </xf>
    <xf numFmtId="4" fontId="12" fillId="0" borderId="11" xfId="42" applyNumberFormat="1" applyFont="1" applyFill="1" applyBorder="1" applyAlignment="1" applyProtection="1">
      <alignment horizontal="right" vertical="center"/>
      <protection locked="0"/>
    </xf>
    <xf numFmtId="0" fontId="12"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 fontId="18" fillId="33" borderId="13" xfId="0" applyNumberFormat="1" applyFont="1" applyFill="1" applyBorder="1" applyAlignment="1" applyProtection="1">
      <alignment horizontal="center" vertical="center" wrapText="1"/>
      <protection/>
    </xf>
    <xf numFmtId="0" fontId="18" fillId="33" borderId="13"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xf>
    <xf numFmtId="1" fontId="17" fillId="33" borderId="10" xfId="0" applyNumberFormat="1"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164" fontId="17" fillId="33" borderId="10" xfId="0" applyNumberFormat="1" applyFont="1" applyFill="1" applyBorder="1" applyAlignment="1" applyProtection="1">
      <alignment horizontal="center"/>
      <protection/>
    </xf>
    <xf numFmtId="0" fontId="17" fillId="33" borderId="0" xfId="0" applyFont="1" applyFill="1" applyBorder="1" applyAlignment="1" applyProtection="1">
      <alignment horizontal="center" vertical="center" wrapText="1"/>
      <protection/>
    </xf>
    <xf numFmtId="1" fontId="17" fillId="33" borderId="14" xfId="0" applyNumberFormat="1" applyFont="1" applyFill="1" applyBorder="1" applyAlignment="1" applyProtection="1">
      <alignment horizontal="center" vertical="center" wrapText="1"/>
      <protection/>
    </xf>
    <xf numFmtId="0" fontId="17" fillId="33" borderId="14" xfId="0" applyFont="1" applyFill="1" applyBorder="1" applyAlignment="1" applyProtection="1">
      <alignment horizontal="center" vertical="center" wrapText="1"/>
      <protection/>
    </xf>
    <xf numFmtId="43" fontId="17" fillId="33" borderId="14" xfId="40" applyFont="1" applyFill="1" applyBorder="1" applyAlignment="1" applyProtection="1">
      <alignment horizontal="center"/>
      <protection/>
    </xf>
    <xf numFmtId="164" fontId="17" fillId="33" borderId="14" xfId="0" applyNumberFormat="1" applyFont="1" applyFill="1" applyBorder="1" applyAlignment="1" applyProtection="1">
      <alignment horizontal="center"/>
      <protection/>
    </xf>
    <xf numFmtId="0" fontId="17" fillId="33" borderId="14" xfId="0" applyFont="1" applyFill="1" applyBorder="1" applyAlignment="1" applyProtection="1">
      <alignment horizontal="center"/>
      <protection/>
    </xf>
    <xf numFmtId="0" fontId="30" fillId="33" borderId="14" xfId="0" applyFont="1" applyFill="1" applyBorder="1" applyAlignment="1" applyProtection="1">
      <alignment horizontal="center" vertical="center" wrapText="1"/>
      <protection/>
    </xf>
    <xf numFmtId="3" fontId="17" fillId="33" borderId="14" xfId="0" applyNumberFormat="1" applyFont="1" applyFill="1" applyBorder="1" applyAlignment="1" applyProtection="1">
      <alignment horizontal="center" vertical="center" wrapText="1"/>
      <protection/>
    </xf>
    <xf numFmtId="2" fontId="17" fillId="33" borderId="14" xfId="0" applyNumberFormat="1" applyFont="1" applyFill="1" applyBorder="1" applyAlignment="1" applyProtection="1">
      <alignment horizontal="center" vertical="center" wrapText="1"/>
      <protection/>
    </xf>
    <xf numFmtId="0" fontId="19" fillId="33" borderId="10" xfId="0" applyFont="1" applyFill="1" applyBorder="1" applyAlignment="1" applyProtection="1">
      <alignment horizontal="center"/>
      <protection/>
    </xf>
    <xf numFmtId="164" fontId="19" fillId="33" borderId="10" xfId="0" applyNumberFormat="1" applyFont="1" applyFill="1" applyBorder="1" applyAlignment="1" applyProtection="1">
      <alignment horizontal="center"/>
      <protection/>
    </xf>
    <xf numFmtId="0" fontId="19" fillId="33" borderId="10" xfId="0" applyFont="1" applyFill="1" applyBorder="1" applyAlignment="1" applyProtection="1">
      <alignment horizontal="center" vertical="center" wrapText="1"/>
      <protection/>
    </xf>
    <xf numFmtId="0" fontId="31" fillId="33" borderId="10" xfId="0" applyFont="1" applyFill="1" applyBorder="1" applyAlignment="1" applyProtection="1">
      <alignment horizontal="center"/>
      <protection/>
    </xf>
    <xf numFmtId="2" fontId="19" fillId="33" borderId="10" xfId="0" applyNumberFormat="1"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19" fillId="33" borderId="14" xfId="0" applyFont="1" applyFill="1" applyBorder="1" applyAlignment="1" applyProtection="1">
      <alignment horizontal="center"/>
      <protection/>
    </xf>
    <xf numFmtId="43" fontId="19" fillId="33" borderId="14" xfId="40" applyFont="1" applyFill="1" applyBorder="1" applyAlignment="1" applyProtection="1">
      <alignment horizontal="center"/>
      <protection/>
    </xf>
    <xf numFmtId="164" fontId="19" fillId="33" borderId="14" xfId="0" applyNumberFormat="1" applyFont="1" applyFill="1" applyBorder="1" applyAlignment="1" applyProtection="1">
      <alignment horizontal="center"/>
      <protection/>
    </xf>
    <xf numFmtId="0" fontId="19" fillId="33" borderId="14" xfId="0" applyFont="1" applyFill="1" applyBorder="1" applyAlignment="1" applyProtection="1">
      <alignment horizontal="center" vertical="center" wrapText="1"/>
      <protection/>
    </xf>
    <xf numFmtId="0" fontId="31" fillId="33" borderId="14" xfId="0" applyFont="1" applyFill="1" applyBorder="1" applyAlignment="1" applyProtection="1">
      <alignment horizontal="center" vertical="center" wrapText="1"/>
      <protection/>
    </xf>
    <xf numFmtId="3" fontId="19" fillId="33" borderId="14" xfId="0" applyNumberFormat="1" applyFont="1" applyFill="1" applyBorder="1" applyAlignment="1" applyProtection="1">
      <alignment horizontal="center" vertical="center" wrapText="1"/>
      <protection/>
    </xf>
    <xf numFmtId="2" fontId="19" fillId="33" borderId="14" xfId="0" applyNumberFormat="1" applyFont="1" applyFill="1" applyBorder="1" applyAlignment="1" applyProtection="1">
      <alignment horizontal="center" vertical="center" wrapText="1"/>
      <protection/>
    </xf>
    <xf numFmtId="0" fontId="21" fillId="34" borderId="15" xfId="0" applyFont="1" applyFill="1" applyBorder="1" applyAlignment="1" applyProtection="1">
      <alignment vertical="center"/>
      <protection/>
    </xf>
    <xf numFmtId="0" fontId="24" fillId="35" borderId="16" xfId="0" applyFont="1" applyFill="1" applyBorder="1" applyAlignment="1" applyProtection="1">
      <alignment horizontal="center" vertical="center"/>
      <protection/>
    </xf>
    <xf numFmtId="0" fontId="23" fillId="33" borderId="17" xfId="0" applyFont="1" applyFill="1" applyBorder="1" applyAlignment="1" applyProtection="1">
      <alignment horizontal="left" vertical="center"/>
      <protection/>
    </xf>
    <xf numFmtId="0" fontId="9" fillId="33" borderId="0" xfId="0" applyFont="1" applyFill="1" applyBorder="1" applyAlignment="1" applyProtection="1">
      <alignment horizontal="left" vertical="center"/>
      <protection/>
    </xf>
    <xf numFmtId="0" fontId="21" fillId="34" borderId="18" xfId="0" applyFont="1" applyFill="1" applyBorder="1" applyAlignment="1" applyProtection="1">
      <alignment vertical="center"/>
      <protection/>
    </xf>
    <xf numFmtId="0" fontId="23" fillId="33" borderId="19" xfId="0" applyNumberFormat="1" applyFont="1" applyFill="1" applyBorder="1" applyAlignment="1" applyProtection="1">
      <alignment horizontal="right" vertical="center"/>
      <protection/>
    </xf>
    <xf numFmtId="0" fontId="23" fillId="33" borderId="20" xfId="0" applyFont="1" applyFill="1" applyBorder="1" applyAlignment="1" applyProtection="1">
      <alignment horizontal="left" vertical="center"/>
      <protection/>
    </xf>
    <xf numFmtId="3" fontId="12" fillId="0" borderId="11" xfId="72" applyNumberFormat="1" applyFont="1" applyFill="1" applyBorder="1" applyAlignment="1" applyProtection="1">
      <alignment horizontal="right" vertical="center"/>
      <protection/>
    </xf>
    <xf numFmtId="4" fontId="12" fillId="0" borderId="11" xfId="72" applyNumberFormat="1" applyFont="1" applyFill="1" applyBorder="1" applyAlignment="1" applyProtection="1">
      <alignment horizontal="right" vertical="center"/>
      <protection/>
    </xf>
    <xf numFmtId="4" fontId="12" fillId="0" borderId="21" xfId="72" applyNumberFormat="1" applyFont="1" applyFill="1" applyBorder="1" applyAlignment="1" applyProtection="1">
      <alignment horizontal="right" vertical="center"/>
      <protection/>
    </xf>
    <xf numFmtId="0" fontId="23" fillId="33" borderId="19" xfId="0" applyFont="1" applyFill="1" applyBorder="1" applyAlignment="1" applyProtection="1">
      <alignment horizontal="right" vertical="center"/>
      <protection/>
    </xf>
    <xf numFmtId="4" fontId="12" fillId="0" borderId="21" xfId="0" applyNumberFormat="1" applyFont="1" applyFill="1" applyBorder="1" applyAlignment="1" applyProtection="1">
      <alignment horizontal="right" vertical="center"/>
      <protection/>
    </xf>
    <xf numFmtId="0" fontId="24" fillId="35" borderId="19" xfId="0" applyFont="1" applyFill="1" applyBorder="1" applyAlignment="1" applyProtection="1">
      <alignment horizontal="center" vertical="center"/>
      <protection/>
    </xf>
    <xf numFmtId="0" fontId="24" fillId="36" borderId="20" xfId="0" applyFont="1" applyFill="1" applyBorder="1" applyAlignment="1" applyProtection="1">
      <alignment horizontal="center" vertical="center"/>
      <protection/>
    </xf>
    <xf numFmtId="167" fontId="23" fillId="33" borderId="19" xfId="0" applyNumberFormat="1" applyFont="1" applyFill="1" applyBorder="1" applyAlignment="1" applyProtection="1">
      <alignment horizontal="right" vertical="center"/>
      <protection/>
    </xf>
    <xf numFmtId="3" fontId="12" fillId="0" borderId="11" xfId="42" applyNumberFormat="1" applyFont="1" applyFill="1" applyBorder="1" applyAlignment="1" applyProtection="1">
      <alignment horizontal="right" vertical="center"/>
      <protection/>
    </xf>
    <xf numFmtId="3" fontId="12" fillId="0" borderId="11" xfId="43" applyNumberFormat="1" applyFont="1" applyFill="1" applyBorder="1" applyAlignment="1" applyProtection="1">
      <alignment horizontal="right" vertical="center"/>
      <protection/>
    </xf>
    <xf numFmtId="4" fontId="12" fillId="0" borderId="11" xfId="43" applyNumberFormat="1" applyFont="1" applyFill="1" applyBorder="1" applyAlignment="1" applyProtection="1">
      <alignment horizontal="right" vertical="center"/>
      <protection/>
    </xf>
    <xf numFmtId="3" fontId="12" fillId="0" borderId="11" xfId="0" applyNumberFormat="1" applyFont="1" applyFill="1" applyBorder="1" applyAlignment="1" applyProtection="1">
      <alignment horizontal="right" vertical="center"/>
      <protection/>
    </xf>
    <xf numFmtId="164" fontId="12" fillId="0" borderId="11" xfId="0" applyNumberFormat="1" applyFont="1" applyFill="1" applyBorder="1" applyAlignment="1" applyProtection="1">
      <alignment horizontal="center" vertical="center"/>
      <protection/>
    </xf>
    <xf numFmtId="0" fontId="12" fillId="0" borderId="11" xfId="0" applyFont="1" applyFill="1" applyBorder="1" applyAlignment="1" applyProtection="1">
      <alignment horizontal="left" vertical="center"/>
      <protection/>
    </xf>
    <xf numFmtId="0" fontId="12" fillId="0" borderId="11" xfId="0" applyFont="1" applyFill="1" applyBorder="1" applyAlignment="1" applyProtection="1">
      <alignment horizontal="right" vertical="center"/>
      <protection/>
    </xf>
    <xf numFmtId="49" fontId="12" fillId="0" borderId="11" xfId="0" applyNumberFormat="1" applyFont="1" applyFill="1" applyBorder="1" applyAlignment="1" applyProtection="1">
      <alignment horizontal="left" vertical="center"/>
      <protection/>
    </xf>
    <xf numFmtId="0" fontId="12" fillId="0" borderId="11" xfId="0" applyNumberFormat="1" applyFont="1" applyFill="1" applyBorder="1" applyAlignment="1" applyProtection="1">
      <alignment horizontal="right" vertical="center"/>
      <protection/>
    </xf>
    <xf numFmtId="0" fontId="21" fillId="34" borderId="22" xfId="0" applyFont="1" applyFill="1" applyBorder="1" applyAlignment="1" applyProtection="1">
      <alignment vertical="center"/>
      <protection/>
    </xf>
    <xf numFmtId="0" fontId="24" fillId="36" borderId="23" xfId="0" applyFont="1" applyFill="1" applyBorder="1" applyAlignment="1" applyProtection="1">
      <alignment horizontal="center" vertical="center"/>
      <protection/>
    </xf>
    <xf numFmtId="0" fontId="10" fillId="33" borderId="0" xfId="0" applyFont="1" applyFill="1" applyBorder="1" applyAlignment="1" applyProtection="1">
      <alignment vertical="center"/>
      <protection/>
    </xf>
    <xf numFmtId="0" fontId="9" fillId="33" borderId="0" xfId="0" applyFont="1" applyFill="1" applyBorder="1" applyAlignment="1" applyProtection="1">
      <alignment horizontal="right" vertical="center"/>
      <protection/>
    </xf>
    <xf numFmtId="164" fontId="9" fillId="33" borderId="0" xfId="0" applyNumberFormat="1" applyFont="1" applyFill="1" applyBorder="1" applyAlignment="1" applyProtection="1">
      <alignment horizontal="center" vertical="center"/>
      <protection/>
    </xf>
    <xf numFmtId="4" fontId="9" fillId="33" borderId="0" xfId="40" applyNumberFormat="1" applyFont="1" applyFill="1" applyBorder="1" applyAlignment="1" applyProtection="1">
      <alignment horizontal="right" vertical="center"/>
      <protection/>
    </xf>
    <xf numFmtId="3" fontId="9" fillId="33" borderId="0" xfId="40" applyNumberFormat="1" applyFont="1" applyFill="1" applyBorder="1" applyAlignment="1" applyProtection="1">
      <alignment horizontal="right" vertical="center"/>
      <protection/>
    </xf>
    <xf numFmtId="4" fontId="10" fillId="33" borderId="0" xfId="40" applyNumberFormat="1" applyFont="1" applyFill="1" applyBorder="1" applyAlignment="1" applyProtection="1">
      <alignment horizontal="right" vertical="center"/>
      <protection/>
    </xf>
    <xf numFmtId="3" fontId="10" fillId="33" borderId="0" xfId="40" applyNumberFormat="1" applyFont="1" applyFill="1" applyBorder="1" applyAlignment="1" applyProtection="1">
      <alignment horizontal="right" vertical="center"/>
      <protection/>
    </xf>
    <xf numFmtId="2" fontId="9" fillId="33" borderId="0" xfId="40" applyNumberFormat="1" applyFont="1" applyFill="1" applyBorder="1" applyAlignment="1" applyProtection="1">
      <alignment horizontal="right" vertical="center"/>
      <protection/>
    </xf>
    <xf numFmtId="165" fontId="9" fillId="33" borderId="0" xfId="72" applyNumberFormat="1" applyFont="1" applyFill="1" applyBorder="1" applyAlignment="1" applyProtection="1">
      <alignment horizontal="right" vertical="center"/>
      <protection/>
    </xf>
    <xf numFmtId="0" fontId="10" fillId="33" borderId="0" xfId="0" applyFont="1" applyFill="1" applyBorder="1" applyAlignment="1" applyProtection="1">
      <alignment horizontal="left" vertical="center"/>
      <protection/>
    </xf>
    <xf numFmtId="3" fontId="9" fillId="33" borderId="0" xfId="0" applyNumberFormat="1" applyFont="1" applyFill="1" applyBorder="1" applyAlignment="1" applyProtection="1">
      <alignment horizontal="left" vertical="center"/>
      <protection/>
    </xf>
    <xf numFmtId="2" fontId="9" fillId="33" borderId="0" xfId="0" applyNumberFormat="1" applyFont="1" applyFill="1" applyBorder="1" applyAlignment="1" applyProtection="1">
      <alignment horizontal="left" vertical="center"/>
      <protection/>
    </xf>
    <xf numFmtId="3" fontId="9" fillId="33" borderId="0" xfId="0" applyNumberFormat="1" applyFont="1" applyFill="1" applyBorder="1" applyAlignment="1" applyProtection="1">
      <alignment horizontal="right" vertical="center"/>
      <protection/>
    </xf>
    <xf numFmtId="0" fontId="0" fillId="33" borderId="0" xfId="0" applyFill="1" applyAlignment="1" applyProtection="1">
      <alignmen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64"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65" fontId="7" fillId="33" borderId="0" xfId="0" applyNumberFormat="1"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3" fontId="4" fillId="33" borderId="0" xfId="0" applyNumberFormat="1" applyFont="1" applyFill="1" applyBorder="1" applyAlignment="1" applyProtection="1">
      <alignment vertical="center"/>
      <protection/>
    </xf>
    <xf numFmtId="2" fontId="4" fillId="33" borderId="0" xfId="0" applyNumberFormat="1" applyFont="1" applyFill="1" applyBorder="1" applyAlignment="1" applyProtection="1">
      <alignment vertical="center"/>
      <protection/>
    </xf>
    <xf numFmtId="167" fontId="23" fillId="33" borderId="24" xfId="0" applyNumberFormat="1" applyFont="1" applyFill="1" applyBorder="1" applyAlignment="1" applyProtection="1">
      <alignment horizontal="right" vertical="center"/>
      <protection/>
    </xf>
    <xf numFmtId="0" fontId="32" fillId="33" borderId="0" xfId="0" applyFont="1" applyFill="1" applyBorder="1" applyAlignment="1" applyProtection="1">
      <alignment horizontal="center" vertical="center" wrapText="1"/>
      <protection/>
    </xf>
    <xf numFmtId="4" fontId="35" fillId="33" borderId="0" xfId="0" applyNumberFormat="1" applyFont="1" applyFill="1" applyBorder="1" applyAlignment="1" applyProtection="1">
      <alignment horizontal="center" vertical="center"/>
      <protection/>
    </xf>
    <xf numFmtId="3" fontId="35" fillId="33" borderId="0" xfId="0" applyNumberFormat="1" applyFont="1" applyFill="1" applyBorder="1" applyAlignment="1" applyProtection="1">
      <alignment horizontal="center" vertical="center"/>
      <protection/>
    </xf>
    <xf numFmtId="0" fontId="35" fillId="33" borderId="0" xfId="0" applyFont="1" applyFill="1" applyBorder="1" applyAlignment="1" applyProtection="1">
      <alignment horizontal="center" vertical="center"/>
      <protection/>
    </xf>
    <xf numFmtId="4" fontId="35" fillId="33" borderId="0" xfId="0" applyNumberFormat="1" applyFont="1" applyFill="1" applyBorder="1" applyAlignment="1" applyProtection="1">
      <alignment horizontal="center" vertical="center" wrapText="1"/>
      <protection/>
    </xf>
    <xf numFmtId="3" fontId="35" fillId="33" borderId="0" xfId="0" applyNumberFormat="1" applyFont="1" applyFill="1" applyBorder="1" applyAlignment="1" applyProtection="1">
      <alignment horizontal="center" vertical="center" wrapText="1"/>
      <protection/>
    </xf>
    <xf numFmtId="0" fontId="3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center" vertical="center" wrapText="1"/>
      <protection/>
    </xf>
    <xf numFmtId="0" fontId="40"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center" vertical="center" wrapText="1"/>
      <protection/>
    </xf>
    <xf numFmtId="0" fontId="12" fillId="0" borderId="19" xfId="0" applyFont="1" applyFill="1" applyBorder="1" applyAlignment="1">
      <alignment horizontal="left" vertical="center"/>
    </xf>
    <xf numFmtId="2" fontId="12" fillId="0" borderId="11" xfId="43" applyNumberFormat="1" applyFont="1" applyFill="1" applyBorder="1" applyAlignment="1" applyProtection="1">
      <alignment horizontal="right" vertical="center"/>
      <protection/>
    </xf>
    <xf numFmtId="2" fontId="12" fillId="0" borderId="21" xfId="43" applyNumberFormat="1" applyFont="1" applyFill="1" applyBorder="1" applyAlignment="1" applyProtection="1">
      <alignment horizontal="right" vertical="center"/>
      <protection/>
    </xf>
    <xf numFmtId="0" fontId="12" fillId="0" borderId="19" xfId="0" applyFont="1" applyFill="1" applyBorder="1" applyAlignment="1">
      <alignment vertical="center"/>
    </xf>
    <xf numFmtId="0" fontId="12" fillId="0" borderId="11" xfId="0" applyNumberFormat="1" applyFont="1" applyFill="1" applyBorder="1" applyAlignment="1">
      <alignment horizontal="left" vertical="center"/>
    </xf>
    <xf numFmtId="2" fontId="12" fillId="0" borderId="11" xfId="43" applyNumberFormat="1" applyFont="1" applyFill="1" applyBorder="1" applyAlignment="1" applyProtection="1">
      <alignment vertical="center"/>
      <protection/>
    </xf>
    <xf numFmtId="0" fontId="12" fillId="0" borderId="11" xfId="0" applyNumberFormat="1" applyFont="1" applyFill="1" applyBorder="1" applyAlignment="1">
      <alignment horizontal="right" vertical="center"/>
    </xf>
    <xf numFmtId="3" fontId="12" fillId="0" borderId="11" xfId="43" applyNumberFormat="1" applyFont="1" applyFill="1" applyBorder="1" applyAlignment="1" applyProtection="1">
      <alignment vertical="center"/>
      <protection/>
    </xf>
    <xf numFmtId="2" fontId="12" fillId="0" borderId="11" xfId="42" applyNumberFormat="1" applyFont="1" applyFill="1" applyBorder="1" applyAlignment="1" applyProtection="1">
      <alignment horizontal="right" vertical="center"/>
      <protection/>
    </xf>
    <xf numFmtId="0" fontId="12" fillId="0" borderId="19" xfId="0" applyFont="1" applyFill="1" applyBorder="1" applyAlignment="1">
      <alignment horizontal="left" vertical="center" shrinkToFit="1"/>
    </xf>
    <xf numFmtId="164" fontId="12" fillId="0" borderId="11" xfId="0" applyNumberFormat="1" applyFont="1" applyFill="1" applyBorder="1" applyAlignment="1">
      <alignment horizontal="center" vertical="center" shrinkToFit="1"/>
    </xf>
    <xf numFmtId="0" fontId="12" fillId="0" borderId="11" xfId="0" applyFont="1" applyFill="1" applyBorder="1" applyAlignment="1">
      <alignment horizontal="right" vertical="center" shrinkToFit="1"/>
    </xf>
    <xf numFmtId="3" fontId="12" fillId="0" borderId="11" xfId="43" applyNumberFormat="1" applyFont="1" applyFill="1" applyBorder="1" applyAlignment="1" applyProtection="1">
      <alignment horizontal="right" vertical="center" shrinkToFit="1"/>
      <protection/>
    </xf>
    <xf numFmtId="2" fontId="12" fillId="0" borderId="11" xfId="43" applyNumberFormat="1" applyFont="1" applyFill="1" applyBorder="1" applyAlignment="1" applyProtection="1">
      <alignment horizontal="right" vertical="center" shrinkToFit="1"/>
      <protection/>
    </xf>
    <xf numFmtId="4" fontId="12" fillId="0" borderId="11" xfId="43" applyNumberFormat="1" applyFont="1" applyFill="1" applyBorder="1" applyAlignment="1" applyProtection="1">
      <alignment horizontal="right" vertical="center" shrinkToFit="1"/>
      <protection locked="0"/>
    </xf>
    <xf numFmtId="3" fontId="12" fillId="0" borderId="11" xfId="43" applyNumberFormat="1" applyFont="1" applyFill="1" applyBorder="1" applyAlignment="1" applyProtection="1">
      <alignment horizontal="right" vertical="center" shrinkToFit="1"/>
      <protection locked="0"/>
    </xf>
    <xf numFmtId="2" fontId="12" fillId="0" borderId="21" xfId="43" applyNumberFormat="1" applyFont="1" applyFill="1" applyBorder="1" applyAlignment="1" applyProtection="1">
      <alignment horizontal="right" vertical="center" shrinkToFit="1"/>
      <protection/>
    </xf>
    <xf numFmtId="0" fontId="12" fillId="0" borderId="19" xfId="0" applyNumberFormat="1" applyFont="1" applyFill="1" applyBorder="1" applyAlignment="1">
      <alignment horizontal="left" vertical="center"/>
    </xf>
    <xf numFmtId="166" fontId="12" fillId="0" borderId="11" xfId="43" applyNumberFormat="1" applyFont="1" applyFill="1" applyBorder="1" applyAlignment="1" applyProtection="1">
      <alignment horizontal="right" vertical="center"/>
      <protection/>
    </xf>
    <xf numFmtId="0" fontId="12" fillId="0" borderId="19" xfId="0" applyFont="1" applyFill="1" applyBorder="1" applyAlignment="1" applyProtection="1">
      <alignment horizontal="left" vertical="center"/>
      <protection locked="0"/>
    </xf>
    <xf numFmtId="2" fontId="12" fillId="0" borderId="21" xfId="42" applyNumberFormat="1" applyFont="1" applyFill="1" applyBorder="1" applyAlignment="1" applyProtection="1">
      <alignment horizontal="right" vertical="center"/>
      <protection/>
    </xf>
    <xf numFmtId="0" fontId="12" fillId="0" borderId="19" xfId="0" applyFont="1" applyFill="1" applyBorder="1" applyAlignment="1" applyProtection="1">
      <alignment vertical="center"/>
      <protection locked="0"/>
    </xf>
    <xf numFmtId="2" fontId="12" fillId="0" borderId="11" xfId="42" applyNumberFormat="1" applyFont="1" applyFill="1" applyBorder="1" applyAlignment="1" applyProtection="1">
      <alignment vertical="center"/>
      <protection/>
    </xf>
    <xf numFmtId="4" fontId="12" fillId="0" borderId="11" xfId="42" applyNumberFormat="1" applyFont="1" applyFill="1" applyBorder="1" applyAlignment="1" applyProtection="1">
      <alignment vertical="center"/>
      <protection locked="0"/>
    </xf>
    <xf numFmtId="0" fontId="12" fillId="0" borderId="19" xfId="0" applyNumberFormat="1" applyFont="1" applyFill="1" applyBorder="1" applyAlignment="1" applyProtection="1">
      <alignment horizontal="left" vertical="center"/>
      <protection locked="0"/>
    </xf>
    <xf numFmtId="166" fontId="12" fillId="0" borderId="11" xfId="42" applyNumberFormat="1" applyFont="1" applyFill="1" applyBorder="1" applyAlignment="1" applyProtection="1">
      <alignment horizontal="right" vertical="center"/>
      <protection/>
    </xf>
    <xf numFmtId="2" fontId="12" fillId="0" borderId="11" xfId="72" applyNumberFormat="1" applyFont="1" applyFill="1" applyBorder="1" applyAlignment="1" applyProtection="1">
      <alignment horizontal="right" vertical="center"/>
      <protection/>
    </xf>
    <xf numFmtId="2" fontId="12" fillId="0" borderId="21" xfId="72" applyNumberFormat="1" applyFont="1" applyFill="1" applyBorder="1" applyAlignment="1" applyProtection="1">
      <alignment horizontal="right" vertical="center"/>
      <protection/>
    </xf>
    <xf numFmtId="2" fontId="12" fillId="0" borderId="11" xfId="72" applyNumberFormat="1" applyFont="1" applyFill="1" applyBorder="1" applyAlignment="1" applyProtection="1">
      <alignment vertical="center"/>
      <protection/>
    </xf>
    <xf numFmtId="0" fontId="12" fillId="0" borderId="11" xfId="0" applyFont="1" applyFill="1" applyBorder="1" applyAlignment="1">
      <alignment horizontal="right"/>
    </xf>
    <xf numFmtId="3" fontId="12" fillId="0" borderId="11" xfId="0" applyNumberFormat="1" applyFont="1" applyFill="1" applyBorder="1" applyAlignment="1">
      <alignment horizontal="right"/>
    </xf>
    <xf numFmtId="4" fontId="12" fillId="0" borderId="11" xfId="0" applyNumberFormat="1" applyFont="1" applyFill="1" applyBorder="1" applyAlignment="1">
      <alignment horizontal="right"/>
    </xf>
    <xf numFmtId="4" fontId="12" fillId="0" borderId="11" xfId="52" applyNumberFormat="1" applyFont="1" applyFill="1" applyBorder="1" applyAlignment="1" applyProtection="1">
      <alignment horizontal="right" vertical="center"/>
      <protection/>
    </xf>
    <xf numFmtId="3" fontId="12" fillId="0" borderId="11" xfId="52" applyNumberFormat="1" applyFont="1" applyFill="1" applyBorder="1" applyAlignment="1" applyProtection="1">
      <alignment horizontal="right" vertical="center"/>
      <protection/>
    </xf>
    <xf numFmtId="2" fontId="12" fillId="0" borderId="21" xfId="0" applyNumberFormat="1" applyFont="1" applyFill="1" applyBorder="1" applyAlignment="1" applyProtection="1">
      <alignment horizontal="right" vertical="center"/>
      <protection/>
    </xf>
    <xf numFmtId="3" fontId="12" fillId="0" borderId="11" xfId="44" applyNumberFormat="1" applyFont="1" applyFill="1" applyBorder="1" applyAlignment="1" applyProtection="1">
      <alignment horizontal="right" vertical="center"/>
      <protection/>
    </xf>
    <xf numFmtId="2" fontId="12" fillId="0" borderId="11" xfId="44" applyNumberFormat="1" applyFont="1" applyFill="1" applyBorder="1" applyAlignment="1" applyProtection="1">
      <alignment horizontal="right" vertical="center"/>
      <protection/>
    </xf>
    <xf numFmtId="4" fontId="12" fillId="0" borderId="11" xfId="44" applyNumberFormat="1" applyFont="1" applyFill="1" applyBorder="1" applyAlignment="1" applyProtection="1">
      <alignment horizontal="right" vertical="center"/>
      <protection locked="0"/>
    </xf>
    <xf numFmtId="3" fontId="12" fillId="0" borderId="11" xfId="44" applyNumberFormat="1" applyFont="1" applyFill="1" applyBorder="1" applyAlignment="1" applyProtection="1">
      <alignment horizontal="right" vertical="center"/>
      <protection locked="0"/>
    </xf>
    <xf numFmtId="2" fontId="12" fillId="0" borderId="21" xfId="44" applyNumberFormat="1" applyFont="1" applyFill="1" applyBorder="1" applyAlignment="1" applyProtection="1">
      <alignment horizontal="right" vertical="center"/>
      <protection/>
    </xf>
    <xf numFmtId="0" fontId="12" fillId="0" borderId="19" xfId="0" applyNumberFormat="1" applyFont="1" applyFill="1" applyBorder="1" applyAlignment="1" applyProtection="1">
      <alignment vertical="center"/>
      <protection locked="0"/>
    </xf>
    <xf numFmtId="0" fontId="12" fillId="0" borderId="19" xfId="57" applyFont="1" applyFill="1" applyBorder="1" applyAlignment="1">
      <alignment horizontal="left" vertical="center"/>
      <protection/>
    </xf>
    <xf numFmtId="164" fontId="12" fillId="0" borderId="11" xfId="57" applyNumberFormat="1" applyFont="1" applyFill="1" applyBorder="1" applyAlignment="1">
      <alignment horizontal="center" vertical="center"/>
      <protection/>
    </xf>
    <xf numFmtId="0" fontId="12" fillId="0" borderId="11" xfId="57" applyFont="1" applyFill="1" applyBorder="1" applyAlignment="1">
      <alignment horizontal="left" vertical="center"/>
      <protection/>
    </xf>
    <xf numFmtId="0" fontId="12" fillId="0" borderId="11" xfId="57" applyFont="1" applyFill="1" applyBorder="1" applyAlignment="1">
      <alignment horizontal="right" vertical="center"/>
      <protection/>
    </xf>
    <xf numFmtId="4" fontId="12" fillId="0" borderId="11" xfId="57" applyNumberFormat="1" applyFont="1" applyFill="1" applyBorder="1" applyAlignment="1">
      <alignment horizontal="right" vertical="center"/>
      <protection/>
    </xf>
    <xf numFmtId="3" fontId="12" fillId="0" borderId="11" xfId="57" applyNumberFormat="1" applyFont="1" applyFill="1" applyBorder="1" applyAlignment="1">
      <alignment horizontal="right" vertical="center"/>
      <protection/>
    </xf>
    <xf numFmtId="2" fontId="12" fillId="0" borderId="11" xfId="0" applyNumberFormat="1" applyFont="1" applyFill="1" applyBorder="1" applyAlignment="1">
      <alignment horizontal="right" vertical="center"/>
    </xf>
    <xf numFmtId="2" fontId="12" fillId="0" borderId="21" xfId="0" applyNumberFormat="1" applyFont="1" applyFill="1" applyBorder="1" applyAlignment="1">
      <alignment horizontal="right" vertical="center"/>
    </xf>
    <xf numFmtId="2" fontId="12" fillId="0" borderId="11" xfId="44" applyNumberFormat="1" applyFont="1" applyFill="1" applyBorder="1" applyAlignment="1" applyProtection="1">
      <alignment vertical="center"/>
      <protection/>
    </xf>
    <xf numFmtId="14" fontId="12" fillId="0" borderId="11" xfId="0" applyNumberFormat="1" applyFont="1" applyFill="1" applyBorder="1" applyAlignment="1">
      <alignment vertical="center"/>
    </xf>
    <xf numFmtId="164" fontId="12" fillId="0" borderId="11" xfId="57" applyNumberFormat="1" applyFont="1" applyFill="1" applyBorder="1" applyAlignment="1" applyProtection="1">
      <alignment horizontal="center" vertical="center"/>
      <protection locked="0"/>
    </xf>
    <xf numFmtId="0" fontId="12" fillId="0" borderId="19" xfId="0" applyFont="1" applyFill="1" applyBorder="1" applyAlignment="1" applyProtection="1">
      <alignment horizontal="left" vertical="center" shrinkToFit="1"/>
      <protection locked="0"/>
    </xf>
    <xf numFmtId="3" fontId="12" fillId="0" borderId="11" xfId="72" applyNumberFormat="1" applyFont="1" applyFill="1" applyBorder="1" applyAlignment="1" applyProtection="1">
      <alignment vertical="center"/>
      <protection/>
    </xf>
    <xf numFmtId="166" fontId="12" fillId="0" borderId="11" xfId="0" applyNumberFormat="1" applyFont="1" applyFill="1" applyBorder="1" applyAlignment="1" applyProtection="1">
      <alignment horizontal="right" vertical="center"/>
      <protection/>
    </xf>
    <xf numFmtId="2" fontId="12" fillId="0" borderId="11" xfId="0" applyNumberFormat="1" applyFont="1" applyFill="1" applyBorder="1" applyAlignment="1">
      <alignment vertical="center"/>
    </xf>
    <xf numFmtId="14" fontId="12" fillId="0" borderId="11" xfId="0" applyNumberFormat="1" applyFont="1" applyFill="1" applyBorder="1" applyAlignment="1">
      <alignment horizontal="left" vertical="center"/>
    </xf>
    <xf numFmtId="0" fontId="12" fillId="33" borderId="19" xfId="0" applyFont="1" applyFill="1" applyBorder="1" applyAlignment="1">
      <alignment horizontal="left"/>
    </xf>
    <xf numFmtId="164" fontId="12" fillId="33" borderId="11" xfId="0" applyNumberFormat="1" applyFont="1" applyFill="1" applyBorder="1" applyAlignment="1">
      <alignment horizontal="center" wrapText="1"/>
    </xf>
    <xf numFmtId="14" fontId="12" fillId="33" borderId="11" xfId="0" applyNumberFormat="1" applyFont="1" applyFill="1" applyBorder="1" applyAlignment="1">
      <alignment horizontal="left"/>
    </xf>
    <xf numFmtId="0" fontId="12" fillId="33" borderId="11" xfId="0" applyFont="1" applyFill="1" applyBorder="1" applyAlignment="1">
      <alignment horizontal="right"/>
    </xf>
    <xf numFmtId="3" fontId="12" fillId="33" borderId="11" xfId="0" applyNumberFormat="1" applyFont="1" applyFill="1" applyBorder="1" applyAlignment="1">
      <alignment horizontal="right"/>
    </xf>
    <xf numFmtId="2" fontId="12" fillId="33" borderId="11" xfId="0" applyNumberFormat="1" applyFont="1" applyFill="1" applyBorder="1" applyAlignment="1">
      <alignment horizontal="right"/>
    </xf>
    <xf numFmtId="4" fontId="12" fillId="33" borderId="11" xfId="0" applyNumberFormat="1" applyFont="1" applyFill="1" applyBorder="1" applyAlignment="1">
      <alignment horizontal="right"/>
    </xf>
    <xf numFmtId="2" fontId="12" fillId="33" borderId="21" xfId="0" applyNumberFormat="1" applyFont="1" applyFill="1" applyBorder="1" applyAlignment="1">
      <alignment horizontal="right"/>
    </xf>
    <xf numFmtId="167" fontId="12" fillId="0" borderId="19" xfId="0" applyNumberFormat="1" applyFont="1" applyFill="1" applyBorder="1" applyAlignment="1">
      <alignment horizontal="left" vertical="center"/>
    </xf>
    <xf numFmtId="4" fontId="12" fillId="0" borderId="11" xfId="44" applyNumberFormat="1" applyFont="1" applyFill="1" applyBorder="1" applyAlignment="1" applyProtection="1">
      <alignment vertical="center"/>
      <protection locked="0"/>
    </xf>
    <xf numFmtId="3" fontId="12" fillId="0" borderId="11" xfId="44" applyNumberFormat="1" applyFont="1" applyFill="1" applyBorder="1" applyAlignment="1" applyProtection="1">
      <alignment vertical="center"/>
      <protection/>
    </xf>
    <xf numFmtId="3" fontId="12" fillId="0" borderId="11" xfId="44" applyNumberFormat="1" applyFont="1" applyFill="1" applyBorder="1" applyAlignment="1" applyProtection="1">
      <alignment vertical="center"/>
      <protection locked="0"/>
    </xf>
    <xf numFmtId="0" fontId="12" fillId="0" borderId="19" xfId="57" applyNumberFormat="1" applyFont="1" applyFill="1" applyBorder="1" applyAlignment="1" applyProtection="1">
      <alignment horizontal="left" vertical="center"/>
      <protection locked="0"/>
    </xf>
    <xf numFmtId="0" fontId="12" fillId="0" borderId="11" xfId="57" applyNumberFormat="1" applyFont="1" applyFill="1" applyBorder="1" applyAlignment="1" applyProtection="1">
      <alignment horizontal="left" vertical="center"/>
      <protection locked="0"/>
    </xf>
    <xf numFmtId="0" fontId="12" fillId="0" borderId="11" xfId="57" applyNumberFormat="1" applyFont="1" applyFill="1" applyBorder="1" applyAlignment="1" applyProtection="1">
      <alignment horizontal="right" vertical="center"/>
      <protection locked="0"/>
    </xf>
    <xf numFmtId="164" fontId="12" fillId="0" borderId="11" xfId="0" applyNumberFormat="1" applyFont="1" applyBorder="1" applyAlignment="1" applyProtection="1">
      <alignment horizontal="center" vertical="center"/>
      <protection locked="0"/>
    </xf>
    <xf numFmtId="0" fontId="12" fillId="0" borderId="11" xfId="0" applyFont="1" applyBorder="1" applyAlignment="1" applyProtection="1">
      <alignment horizontal="right" vertical="center"/>
      <protection locked="0"/>
    </xf>
    <xf numFmtId="2" fontId="12" fillId="0" borderId="11" xfId="0" applyNumberFormat="1" applyFont="1" applyFill="1" applyBorder="1" applyAlignment="1" applyProtection="1">
      <alignment horizontal="right" vertical="center"/>
      <protection/>
    </xf>
    <xf numFmtId="0" fontId="12" fillId="0" borderId="19" xfId="0" applyFont="1" applyFill="1" applyBorder="1" applyAlignment="1" applyProtection="1">
      <alignment horizontal="left" vertical="center"/>
      <protection/>
    </xf>
    <xf numFmtId="43" fontId="19" fillId="33" borderId="25" xfId="40" applyFont="1" applyFill="1" applyBorder="1" applyAlignment="1" applyProtection="1">
      <alignment horizontal="center"/>
      <protection/>
    </xf>
    <xf numFmtId="164" fontId="19" fillId="33" borderId="25" xfId="0" applyNumberFormat="1" applyFont="1" applyFill="1" applyBorder="1" applyAlignment="1" applyProtection="1">
      <alignment horizontal="center"/>
      <protection/>
    </xf>
    <xf numFmtId="0" fontId="19" fillId="33" borderId="25" xfId="0" applyFont="1" applyFill="1" applyBorder="1" applyAlignment="1" applyProtection="1">
      <alignment horizontal="center"/>
      <protection/>
    </xf>
    <xf numFmtId="0" fontId="31" fillId="33" borderId="25" xfId="0" applyFont="1" applyFill="1" applyBorder="1" applyAlignment="1" applyProtection="1">
      <alignment horizontal="center" vertical="center" wrapText="1"/>
      <protection/>
    </xf>
    <xf numFmtId="3" fontId="19" fillId="33" borderId="25" xfId="0" applyNumberFormat="1" applyFont="1" applyFill="1" applyBorder="1" applyAlignment="1" applyProtection="1">
      <alignment horizontal="center" vertical="center" wrapText="1"/>
      <protection/>
    </xf>
    <xf numFmtId="2" fontId="19" fillId="33" borderId="25" xfId="0" applyNumberFormat="1" applyFont="1" applyFill="1" applyBorder="1" applyAlignment="1" applyProtection="1">
      <alignment horizontal="center" vertical="center" wrapText="1"/>
      <protection/>
    </xf>
    <xf numFmtId="0" fontId="19" fillId="33" borderId="25" xfId="0" applyFont="1" applyFill="1" applyBorder="1" applyAlignment="1" applyProtection="1">
      <alignment horizontal="center" vertical="center" wrapText="1"/>
      <protection/>
    </xf>
    <xf numFmtId="2" fontId="12" fillId="0" borderId="21" xfId="72" applyNumberFormat="1" applyFont="1" applyFill="1" applyBorder="1" applyAlignment="1" applyProtection="1">
      <alignment vertical="center"/>
      <protection/>
    </xf>
    <xf numFmtId="3" fontId="12" fillId="33" borderId="0" xfId="0" applyNumberFormat="1" applyFont="1" applyFill="1" applyBorder="1" applyAlignment="1" applyProtection="1">
      <alignment horizontal="center" vertical="center"/>
      <protection/>
    </xf>
    <xf numFmtId="3" fontId="13" fillId="33" borderId="0" xfId="0" applyNumberFormat="1" applyFont="1" applyFill="1" applyBorder="1" applyAlignment="1" applyProtection="1">
      <alignment horizontal="center" vertical="center"/>
      <protection/>
    </xf>
    <xf numFmtId="3" fontId="14" fillId="33" borderId="0" xfId="0" applyNumberFormat="1" applyFont="1" applyFill="1" applyBorder="1" applyAlignment="1" applyProtection="1">
      <alignment horizontal="center" vertical="center"/>
      <protection/>
    </xf>
    <xf numFmtId="3" fontId="22" fillId="33" borderId="0" xfId="0" applyNumberFormat="1" applyFont="1" applyFill="1" applyBorder="1" applyAlignment="1" applyProtection="1">
      <alignment horizontal="center" vertical="center"/>
      <protection/>
    </xf>
    <xf numFmtId="3" fontId="22" fillId="33" borderId="12" xfId="0" applyNumberFormat="1" applyFont="1" applyFill="1" applyBorder="1" applyAlignment="1" applyProtection="1">
      <alignment horizontal="center" vertical="center"/>
      <protection/>
    </xf>
    <xf numFmtId="3" fontId="10" fillId="33" borderId="0" xfId="0" applyNumberFormat="1" applyFont="1" applyFill="1" applyBorder="1" applyAlignment="1" applyProtection="1">
      <alignment horizontal="left" vertical="center"/>
      <protection/>
    </xf>
    <xf numFmtId="3" fontId="5" fillId="33" borderId="0" xfId="0" applyNumberFormat="1" applyFont="1" applyFill="1" applyBorder="1" applyAlignment="1" applyProtection="1">
      <alignment vertical="center"/>
      <protection/>
    </xf>
    <xf numFmtId="3" fontId="0" fillId="33" borderId="0" xfId="0" applyNumberFormat="1" applyFont="1" applyFill="1" applyBorder="1" applyAlignment="1" applyProtection="1">
      <alignment vertical="center"/>
      <protection/>
    </xf>
    <xf numFmtId="4" fontId="12" fillId="33" borderId="0" xfId="0" applyNumberFormat="1" applyFont="1" applyFill="1" applyBorder="1" applyAlignment="1" applyProtection="1">
      <alignment horizontal="center" vertical="center"/>
      <protection/>
    </xf>
    <xf numFmtId="4" fontId="13" fillId="33" borderId="0" xfId="0" applyNumberFormat="1" applyFont="1" applyFill="1" applyBorder="1" applyAlignment="1" applyProtection="1">
      <alignment horizontal="center" vertical="center"/>
      <protection/>
    </xf>
    <xf numFmtId="4" fontId="14" fillId="33" borderId="0" xfId="0" applyNumberFormat="1" applyFont="1" applyFill="1" applyBorder="1" applyAlignment="1" applyProtection="1">
      <alignment horizontal="center" vertical="center"/>
      <protection/>
    </xf>
    <xf numFmtId="4" fontId="22" fillId="33" borderId="0" xfId="0" applyNumberFormat="1" applyFont="1" applyFill="1" applyBorder="1" applyAlignment="1" applyProtection="1">
      <alignment horizontal="center" vertical="center"/>
      <protection/>
    </xf>
    <xf numFmtId="4" fontId="22" fillId="33" borderId="12" xfId="0" applyNumberFormat="1" applyFont="1" applyFill="1" applyBorder="1" applyAlignment="1" applyProtection="1">
      <alignment horizontal="center" vertical="center"/>
      <protection/>
    </xf>
    <xf numFmtId="4" fontId="9" fillId="33" borderId="0" xfId="0" applyNumberFormat="1" applyFont="1" applyFill="1" applyBorder="1" applyAlignment="1" applyProtection="1">
      <alignment horizontal="left" vertical="center"/>
      <protection/>
    </xf>
    <xf numFmtId="4" fontId="10" fillId="33" borderId="0" xfId="0" applyNumberFormat="1" applyFont="1" applyFill="1" applyBorder="1" applyAlignment="1" applyProtection="1">
      <alignment horizontal="left"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4" fontId="12" fillId="0" borderId="11" xfId="72" applyNumberFormat="1" applyFont="1" applyFill="1" applyBorder="1" applyAlignment="1" applyProtection="1">
      <alignment vertical="center"/>
      <protection/>
    </xf>
    <xf numFmtId="4" fontId="12" fillId="0" borderId="21" xfId="0" applyNumberFormat="1" applyFont="1" applyFill="1" applyBorder="1" applyAlignment="1" applyProtection="1">
      <alignment vertical="center"/>
      <protection/>
    </xf>
    <xf numFmtId="3" fontId="12" fillId="0" borderId="11" xfId="42" applyNumberFormat="1" applyFont="1" applyFill="1" applyBorder="1" applyAlignment="1" applyProtection="1">
      <alignment vertical="center"/>
      <protection locked="0"/>
    </xf>
    <xf numFmtId="165" fontId="12" fillId="33" borderId="0" xfId="0" applyNumberFormat="1" applyFont="1" applyFill="1" applyBorder="1" applyAlignment="1" applyProtection="1">
      <alignment horizontal="center" vertical="center"/>
      <protection/>
    </xf>
    <xf numFmtId="165" fontId="13" fillId="33" borderId="0" xfId="0" applyNumberFormat="1" applyFont="1" applyFill="1" applyBorder="1" applyAlignment="1" applyProtection="1">
      <alignment horizontal="center" vertical="center"/>
      <protection/>
    </xf>
    <xf numFmtId="165" fontId="14" fillId="33" borderId="0" xfId="0" applyNumberFormat="1" applyFont="1" applyFill="1" applyBorder="1" applyAlignment="1" applyProtection="1">
      <alignment horizontal="center" vertical="center"/>
      <protection/>
    </xf>
    <xf numFmtId="165" fontId="22" fillId="33" borderId="0" xfId="0" applyNumberFormat="1" applyFont="1" applyFill="1" applyBorder="1" applyAlignment="1" applyProtection="1">
      <alignment horizontal="center" vertical="center"/>
      <protection/>
    </xf>
    <xf numFmtId="165" fontId="22" fillId="33" borderId="12" xfId="0" applyNumberFormat="1" applyFont="1" applyFill="1" applyBorder="1" applyAlignment="1" applyProtection="1">
      <alignment horizontal="center" vertical="center"/>
      <protection/>
    </xf>
    <xf numFmtId="165" fontId="9" fillId="33" borderId="0" xfId="0" applyNumberFormat="1" applyFont="1" applyFill="1" applyBorder="1" applyAlignment="1" applyProtection="1">
      <alignment horizontal="left" vertical="center"/>
      <protection/>
    </xf>
    <xf numFmtId="165" fontId="4" fillId="33" borderId="0" xfId="0" applyNumberFormat="1" applyFont="1" applyFill="1" applyBorder="1" applyAlignment="1" applyProtection="1">
      <alignment vertical="center"/>
      <protection/>
    </xf>
    <xf numFmtId="4" fontId="12" fillId="0" borderId="21" xfId="72" applyNumberFormat="1" applyFont="1" applyFill="1" applyBorder="1" applyAlignment="1" applyProtection="1">
      <alignment vertical="center"/>
      <protection/>
    </xf>
    <xf numFmtId="0" fontId="58" fillId="37" borderId="11" xfId="0" applyFont="1" applyFill="1" applyBorder="1" applyAlignment="1">
      <alignment horizontal="right" vertical="center" shrinkToFit="1"/>
    </xf>
    <xf numFmtId="0" fontId="58" fillId="0" borderId="11" xfId="0" applyNumberFormat="1" applyFont="1" applyFill="1" applyBorder="1" applyAlignment="1" applyProtection="1">
      <alignment horizontal="right" vertical="center"/>
      <protection locked="0"/>
    </xf>
    <xf numFmtId="1" fontId="18" fillId="34" borderId="26" xfId="0" applyNumberFormat="1" applyFont="1" applyFill="1" applyBorder="1" applyAlignment="1" applyProtection="1">
      <alignment horizontal="center" vertical="center" wrapText="1"/>
      <protection/>
    </xf>
    <xf numFmtId="0" fontId="18" fillId="34" borderId="27" xfId="0" applyFont="1" applyFill="1" applyBorder="1" applyAlignment="1" applyProtection="1">
      <alignment horizontal="center" vertical="center" wrapText="1"/>
      <protection/>
    </xf>
    <xf numFmtId="1" fontId="17" fillId="34" borderId="28" xfId="0" applyNumberFormat="1"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protection/>
    </xf>
    <xf numFmtId="164" fontId="17" fillId="34" borderId="10" xfId="0" applyNumberFormat="1" applyFont="1" applyFill="1" applyBorder="1" applyAlignment="1" applyProtection="1">
      <alignment horizontal="center"/>
      <protection/>
    </xf>
    <xf numFmtId="4" fontId="17" fillId="34" borderId="10" xfId="0" applyNumberFormat="1" applyFont="1" applyFill="1" applyBorder="1" applyAlignment="1" applyProtection="1">
      <alignment horizontal="center" vertical="center" wrapText="1"/>
      <protection/>
    </xf>
    <xf numFmtId="0" fontId="17" fillId="34" borderId="29" xfId="0" applyFont="1" applyFill="1" applyBorder="1" applyAlignment="1" applyProtection="1">
      <alignment horizontal="center" vertical="center" wrapText="1"/>
      <protection/>
    </xf>
    <xf numFmtId="1" fontId="17" fillId="34" borderId="30" xfId="0" applyNumberFormat="1" applyFont="1" applyFill="1" applyBorder="1" applyAlignment="1" applyProtection="1">
      <alignment horizontal="center" vertical="center" wrapText="1"/>
      <protection/>
    </xf>
    <xf numFmtId="0" fontId="17" fillId="34" borderId="14" xfId="0" applyFont="1" applyFill="1" applyBorder="1" applyAlignment="1" applyProtection="1">
      <alignment horizontal="center" vertical="center" wrapText="1"/>
      <protection/>
    </xf>
    <xf numFmtId="43" fontId="17" fillId="34" borderId="14" xfId="40" applyFont="1" applyFill="1" applyBorder="1" applyAlignment="1" applyProtection="1">
      <alignment horizontal="center"/>
      <protection/>
    </xf>
    <xf numFmtId="164" fontId="17" fillId="34" borderId="14" xfId="0" applyNumberFormat="1" applyFont="1" applyFill="1" applyBorder="1" applyAlignment="1" applyProtection="1">
      <alignment horizontal="center"/>
      <protection/>
    </xf>
    <xf numFmtId="0" fontId="17" fillId="34" borderId="14" xfId="0" applyFont="1" applyFill="1" applyBorder="1" applyAlignment="1" applyProtection="1">
      <alignment horizontal="center"/>
      <protection/>
    </xf>
    <xf numFmtId="4" fontId="17" fillId="34" borderId="14" xfId="0" applyNumberFormat="1" applyFont="1" applyFill="1" applyBorder="1" applyAlignment="1" applyProtection="1">
      <alignment horizontal="center" vertical="center" wrapText="1"/>
      <protection/>
    </xf>
    <xf numFmtId="3" fontId="17" fillId="34" borderId="14" xfId="0" applyNumberFormat="1" applyFont="1" applyFill="1" applyBorder="1" applyAlignment="1" applyProtection="1">
      <alignment horizontal="center" vertical="center" wrapText="1"/>
      <protection/>
    </xf>
    <xf numFmtId="165" fontId="17" fillId="34" borderId="14" xfId="0" applyNumberFormat="1" applyFont="1" applyFill="1" applyBorder="1" applyAlignment="1" applyProtection="1">
      <alignment horizontal="center" vertical="center" wrapText="1"/>
      <protection/>
    </xf>
    <xf numFmtId="4" fontId="30" fillId="34" borderId="14" xfId="0" applyNumberFormat="1" applyFont="1" applyFill="1" applyBorder="1" applyAlignment="1" applyProtection="1">
      <alignment horizontal="center" vertical="center" wrapText="1"/>
      <protection/>
    </xf>
    <xf numFmtId="3" fontId="30" fillId="34" borderId="14" xfId="0" applyNumberFormat="1" applyFont="1" applyFill="1" applyBorder="1" applyAlignment="1" applyProtection="1">
      <alignment horizontal="center" vertical="center" wrapText="1"/>
      <protection/>
    </xf>
    <xf numFmtId="0" fontId="17" fillId="34" borderId="31" xfId="0" applyFont="1" applyFill="1" applyBorder="1" applyAlignment="1" applyProtection="1">
      <alignment horizontal="center" vertical="center" wrapText="1"/>
      <protection/>
    </xf>
    <xf numFmtId="0" fontId="19" fillId="34" borderId="28" xfId="0" applyFont="1" applyFill="1" applyBorder="1" applyAlignment="1" applyProtection="1">
      <alignment horizontal="center"/>
      <protection/>
    </xf>
    <xf numFmtId="0" fontId="19" fillId="34" borderId="10" xfId="0" applyFont="1" applyFill="1" applyBorder="1" applyAlignment="1" applyProtection="1">
      <alignment horizontal="center"/>
      <protection/>
    </xf>
    <xf numFmtId="164" fontId="19" fillId="34" borderId="10" xfId="0" applyNumberFormat="1" applyFont="1" applyFill="1" applyBorder="1" applyAlignment="1" applyProtection="1">
      <alignment horizontal="center"/>
      <protection/>
    </xf>
    <xf numFmtId="4" fontId="19" fillId="34" borderId="10" xfId="0" applyNumberFormat="1" applyFont="1" applyFill="1" applyBorder="1" applyAlignment="1" applyProtection="1">
      <alignment horizontal="center"/>
      <protection/>
    </xf>
    <xf numFmtId="3" fontId="19" fillId="34" borderId="10" xfId="0" applyNumberFormat="1" applyFont="1" applyFill="1" applyBorder="1" applyAlignment="1" applyProtection="1">
      <alignment horizontal="center"/>
      <protection/>
    </xf>
    <xf numFmtId="4" fontId="31" fillId="34" borderId="10" xfId="0" applyNumberFormat="1" applyFont="1" applyFill="1" applyBorder="1" applyAlignment="1" applyProtection="1">
      <alignment horizontal="center"/>
      <protection/>
    </xf>
    <xf numFmtId="3" fontId="31" fillId="34" borderId="10" xfId="0" applyNumberFormat="1" applyFont="1" applyFill="1" applyBorder="1" applyAlignment="1" applyProtection="1">
      <alignment horizontal="center"/>
      <protection/>
    </xf>
    <xf numFmtId="4" fontId="19" fillId="34" borderId="10" xfId="0" applyNumberFormat="1" applyFont="1" applyFill="1" applyBorder="1" applyAlignment="1" applyProtection="1">
      <alignment horizontal="center" vertical="center" wrapText="1"/>
      <protection/>
    </xf>
    <xf numFmtId="0" fontId="19" fillId="34" borderId="29" xfId="0" applyFont="1" applyFill="1" applyBorder="1" applyAlignment="1" applyProtection="1">
      <alignment horizontal="center" vertical="center" wrapText="1"/>
      <protection/>
    </xf>
    <xf numFmtId="0" fontId="19" fillId="34" borderId="30" xfId="0" applyFont="1" applyFill="1" applyBorder="1" applyAlignment="1" applyProtection="1">
      <alignment horizontal="center"/>
      <protection/>
    </xf>
    <xf numFmtId="0" fontId="19" fillId="34" borderId="31" xfId="0" applyFont="1" applyFill="1" applyBorder="1" applyAlignment="1" applyProtection="1">
      <alignment horizontal="center"/>
      <protection/>
    </xf>
    <xf numFmtId="4" fontId="12" fillId="0" borderId="11" xfId="52" applyNumberFormat="1" applyFont="1" applyFill="1" applyBorder="1" applyAlignment="1" applyProtection="1">
      <alignment horizontal="right" vertical="center" wrapText="1"/>
      <protection/>
    </xf>
    <xf numFmtId="3" fontId="12" fillId="0" borderId="11" xfId="52" applyNumberFormat="1" applyFont="1" applyFill="1" applyBorder="1" applyAlignment="1" applyProtection="1">
      <alignment horizontal="right" vertical="center" wrapText="1"/>
      <protection/>
    </xf>
    <xf numFmtId="164" fontId="12" fillId="0" borderId="11" xfId="0" applyNumberFormat="1" applyFont="1" applyFill="1" applyBorder="1" applyAlignment="1" applyProtection="1">
      <alignment horizontal="left" vertical="center"/>
      <protection/>
    </xf>
    <xf numFmtId="0" fontId="58" fillId="0" borderId="11" xfId="0" applyFont="1" applyBorder="1" applyAlignment="1" applyProtection="1">
      <alignment horizontal="right" vertical="center"/>
      <protection locked="0"/>
    </xf>
    <xf numFmtId="0" fontId="12" fillId="0" borderId="19" xfId="0" applyFont="1" applyFill="1" applyBorder="1" applyAlignment="1" applyProtection="1">
      <alignment vertical="center" shrinkToFit="1"/>
      <protection locked="0"/>
    </xf>
    <xf numFmtId="0" fontId="12" fillId="0" borderId="11" xfId="0" applyFont="1" applyFill="1" applyBorder="1" applyAlignment="1">
      <alignment horizontal="left" vertical="center" shrinkToFit="1"/>
    </xf>
    <xf numFmtId="164" fontId="12" fillId="0" borderId="11" xfId="58" applyNumberFormat="1" applyFont="1" applyFill="1" applyBorder="1" applyAlignment="1">
      <alignment horizontal="center" vertical="center"/>
      <protection/>
    </xf>
    <xf numFmtId="0" fontId="12" fillId="0" borderId="11" xfId="58" applyFont="1" applyFill="1" applyBorder="1" applyAlignment="1">
      <alignment horizontal="left" vertical="center"/>
      <protection/>
    </xf>
    <xf numFmtId="0" fontId="12" fillId="0" borderId="11" xfId="58" applyFont="1" applyFill="1" applyBorder="1" applyAlignment="1">
      <alignment horizontal="right" vertical="center"/>
      <protection/>
    </xf>
    <xf numFmtId="0" fontId="12" fillId="37" borderId="19" xfId="0" applyFont="1" applyFill="1" applyBorder="1" applyAlignment="1">
      <alignment horizontal="left" vertical="center"/>
    </xf>
    <xf numFmtId="0" fontId="12" fillId="0" borderId="19" xfId="0" applyFont="1" applyFill="1" applyBorder="1" applyAlignment="1">
      <alignment horizontal="left"/>
    </xf>
    <xf numFmtId="164" fontId="12" fillId="0" borderId="11" xfId="0" applyNumberFormat="1" applyFont="1" applyFill="1" applyBorder="1" applyAlignment="1">
      <alignment horizontal="center"/>
    </xf>
    <xf numFmtId="164" fontId="12" fillId="0" borderId="11" xfId="0" applyNumberFormat="1" applyFont="1" applyFill="1" applyBorder="1" applyAlignment="1">
      <alignment horizontal="center" wrapText="1"/>
    </xf>
    <xf numFmtId="14" fontId="12" fillId="0" borderId="11" xfId="0" applyNumberFormat="1" applyFont="1" applyFill="1" applyBorder="1" applyAlignment="1">
      <alignment horizontal="left"/>
    </xf>
    <xf numFmtId="2" fontId="12" fillId="0" borderId="11" xfId="0" applyNumberFormat="1" applyFont="1" applyFill="1" applyBorder="1" applyAlignment="1">
      <alignment horizontal="right"/>
    </xf>
    <xf numFmtId="2" fontId="12" fillId="0" borderId="21" xfId="0" applyNumberFormat="1" applyFont="1" applyFill="1" applyBorder="1" applyAlignment="1">
      <alignment horizontal="right"/>
    </xf>
    <xf numFmtId="0" fontId="12" fillId="0" borderId="19" xfId="55" applyNumberFormat="1" applyFont="1" applyFill="1" applyBorder="1" applyAlignment="1">
      <alignment horizontal="left" vertical="center"/>
      <protection/>
    </xf>
    <xf numFmtId="164" fontId="12" fillId="0" borderId="11" xfId="55" applyNumberFormat="1" applyFont="1" applyFill="1" applyBorder="1" applyAlignment="1">
      <alignment horizontal="center" vertical="center"/>
      <protection/>
    </xf>
    <xf numFmtId="0" fontId="12" fillId="0" borderId="11" xfId="55" applyNumberFormat="1" applyFont="1" applyFill="1" applyBorder="1" applyAlignment="1">
      <alignment horizontal="right" vertical="center"/>
      <protection/>
    </xf>
    <xf numFmtId="0" fontId="12" fillId="0" borderId="19" xfId="55" applyFont="1" applyFill="1" applyBorder="1" applyAlignment="1">
      <alignment horizontal="left" vertical="center" shrinkToFit="1"/>
      <protection/>
    </xf>
    <xf numFmtId="164" fontId="12" fillId="0" borderId="11" xfId="55" applyNumberFormat="1" applyFont="1" applyFill="1" applyBorder="1" applyAlignment="1">
      <alignment horizontal="center" vertical="center" shrinkToFit="1"/>
      <protection/>
    </xf>
    <xf numFmtId="0" fontId="12" fillId="0" borderId="11" xfId="55" applyFont="1" applyFill="1" applyBorder="1" applyAlignment="1">
      <alignment horizontal="right" vertical="center" shrinkToFit="1"/>
      <protection/>
    </xf>
    <xf numFmtId="0" fontId="12" fillId="0" borderId="19" xfId="55" applyFont="1" applyFill="1" applyBorder="1" applyAlignment="1">
      <alignment horizontal="left" vertical="center"/>
      <protection/>
    </xf>
    <xf numFmtId="0" fontId="12" fillId="0" borderId="11" xfId="55" applyFont="1" applyFill="1" applyBorder="1" applyAlignment="1">
      <alignment horizontal="right" vertical="center"/>
      <protection/>
    </xf>
    <xf numFmtId="0" fontId="12" fillId="0" borderId="19" xfId="55" applyFont="1" applyFill="1" applyBorder="1" applyAlignment="1">
      <alignment vertical="center"/>
      <protection/>
    </xf>
    <xf numFmtId="0" fontId="12" fillId="0" borderId="19" xfId="57" applyFont="1" applyFill="1" applyBorder="1" applyAlignment="1" applyProtection="1">
      <alignment horizontal="left" vertical="center"/>
      <protection locked="0"/>
    </xf>
    <xf numFmtId="0" fontId="12" fillId="0" borderId="11" xfId="57" applyFont="1" applyFill="1" applyBorder="1" applyAlignment="1" applyProtection="1">
      <alignment horizontal="left" vertical="center"/>
      <protection locked="0"/>
    </xf>
    <xf numFmtId="0" fontId="12" fillId="0" borderId="11" xfId="57" applyFont="1" applyFill="1" applyBorder="1" applyAlignment="1" applyProtection="1">
      <alignment horizontal="right" vertical="center"/>
      <protection locked="0"/>
    </xf>
    <xf numFmtId="2" fontId="12" fillId="0" borderId="21" xfId="40" applyNumberFormat="1" applyFont="1" applyFill="1" applyBorder="1" applyAlignment="1" applyProtection="1">
      <alignment horizontal="right" vertical="center"/>
      <protection/>
    </xf>
    <xf numFmtId="167" fontId="12" fillId="37" borderId="19" xfId="0" applyNumberFormat="1" applyFont="1" applyFill="1" applyBorder="1" applyAlignment="1">
      <alignment horizontal="left" vertical="center" shrinkToFit="1"/>
    </xf>
    <xf numFmtId="164" fontId="12" fillId="37" borderId="11" xfId="0" applyNumberFormat="1" applyFont="1" applyFill="1" applyBorder="1" applyAlignment="1">
      <alignment horizontal="center" vertical="center" shrinkToFit="1"/>
    </xf>
    <xf numFmtId="0" fontId="12" fillId="37" borderId="11" xfId="0" applyFont="1" applyFill="1" applyBorder="1" applyAlignment="1">
      <alignment horizontal="left" vertical="center" shrinkToFit="1"/>
    </xf>
    <xf numFmtId="0" fontId="12" fillId="37" borderId="11" xfId="0" applyFont="1" applyFill="1" applyBorder="1" applyAlignment="1">
      <alignment horizontal="right" vertical="center" shrinkToFit="1"/>
    </xf>
    <xf numFmtId="0" fontId="12" fillId="0" borderId="11" xfId="55" applyFont="1" applyFill="1" applyBorder="1" applyAlignment="1">
      <alignment horizontal="left" vertical="center"/>
      <protection/>
    </xf>
    <xf numFmtId="0" fontId="12" fillId="0" borderId="19" xfId="0" applyNumberFormat="1" applyFont="1" applyFill="1" applyBorder="1" applyAlignment="1" applyProtection="1">
      <alignment horizontal="left" vertical="center"/>
      <protection/>
    </xf>
    <xf numFmtId="3" fontId="12" fillId="0" borderId="11" xfId="40" applyNumberFormat="1" applyFont="1" applyFill="1" applyBorder="1" applyAlignment="1" applyProtection="1">
      <alignment vertical="center"/>
      <protection locked="0"/>
    </xf>
    <xf numFmtId="164" fontId="12" fillId="0" borderId="11" xfId="52" applyNumberFormat="1" applyFont="1" applyFill="1" applyBorder="1" applyAlignment="1">
      <alignment horizontal="center" vertical="center"/>
      <protection/>
    </xf>
    <xf numFmtId="0" fontId="12" fillId="0" borderId="11" xfId="52" applyFont="1" applyFill="1" applyBorder="1" applyAlignment="1">
      <alignment horizontal="right" vertical="center"/>
      <protection/>
    </xf>
    <xf numFmtId="0" fontId="12" fillId="0" borderId="19" xfId="52" applyNumberFormat="1" applyFont="1" applyFill="1" applyBorder="1" applyAlignment="1">
      <alignment horizontal="left" vertical="center"/>
      <protection/>
    </xf>
    <xf numFmtId="0" fontId="12" fillId="0" borderId="11" xfId="52" applyNumberFormat="1" applyFont="1" applyFill="1" applyBorder="1" applyAlignment="1">
      <alignment horizontal="right" vertical="center"/>
      <protection/>
    </xf>
    <xf numFmtId="0" fontId="12" fillId="0" borderId="11" xfId="52" applyNumberFormat="1" applyFont="1" applyFill="1" applyBorder="1" applyAlignment="1">
      <alignment horizontal="left" vertical="center"/>
      <protection/>
    </xf>
    <xf numFmtId="2" fontId="12" fillId="0" borderId="11" xfId="52" applyNumberFormat="1" applyFont="1" applyFill="1" applyBorder="1" applyAlignment="1" applyProtection="1">
      <alignment horizontal="right" vertical="center"/>
      <protection/>
    </xf>
    <xf numFmtId="2" fontId="12" fillId="0" borderId="21" xfId="52" applyNumberFormat="1" applyFont="1" applyFill="1" applyBorder="1" applyAlignment="1" applyProtection="1">
      <alignment horizontal="right" vertical="center"/>
      <protection/>
    </xf>
    <xf numFmtId="0" fontId="12" fillId="0" borderId="19" xfId="52" applyFont="1" applyBorder="1" applyAlignment="1">
      <alignment horizontal="left"/>
      <protection/>
    </xf>
    <xf numFmtId="164" fontId="12" fillId="0" borderId="11" xfId="52" applyNumberFormat="1" applyFont="1" applyBorder="1" applyAlignment="1">
      <alignment horizontal="center"/>
      <protection/>
    </xf>
    <xf numFmtId="0" fontId="12" fillId="0" borderId="11" xfId="52" applyFont="1" applyBorder="1" applyAlignment="1">
      <alignment horizontal="right"/>
      <protection/>
    </xf>
    <xf numFmtId="0" fontId="58" fillId="0" borderId="11" xfId="0" applyFont="1" applyBorder="1" applyAlignment="1">
      <alignment horizontal="right"/>
    </xf>
    <xf numFmtId="0" fontId="12" fillId="0" borderId="19" xfId="52" applyFont="1" applyFill="1" applyBorder="1" applyAlignment="1">
      <alignment vertical="center"/>
      <protection/>
    </xf>
    <xf numFmtId="0" fontId="12" fillId="0" borderId="11" xfId="52" applyFont="1" applyFill="1" applyBorder="1" applyAlignment="1">
      <alignment horizontal="left" vertical="center"/>
      <protection/>
    </xf>
    <xf numFmtId="0" fontId="12" fillId="0" borderId="19" xfId="53" applyFont="1" applyFill="1" applyBorder="1" applyAlignment="1">
      <alignment horizontal="left" vertical="center" shrinkToFit="1"/>
      <protection/>
    </xf>
    <xf numFmtId="164" fontId="12" fillId="0" borderId="11" xfId="53" applyNumberFormat="1" applyFont="1" applyFill="1" applyBorder="1" applyAlignment="1">
      <alignment horizontal="center" vertical="center"/>
      <protection/>
    </xf>
    <xf numFmtId="0" fontId="12" fillId="0" borderId="11" xfId="53" applyFont="1" applyFill="1" applyBorder="1" applyAlignment="1">
      <alignment horizontal="right" vertical="center"/>
      <protection/>
    </xf>
    <xf numFmtId="0" fontId="12" fillId="0" borderId="19" xfId="53" applyFont="1" applyFill="1" applyBorder="1" applyAlignment="1">
      <alignment horizontal="left" vertical="center"/>
      <protection/>
    </xf>
    <xf numFmtId="0" fontId="12" fillId="37" borderId="11" xfId="0" applyFont="1" applyFill="1" applyBorder="1" applyAlignment="1">
      <alignment horizontal="left" vertical="center"/>
    </xf>
    <xf numFmtId="167" fontId="12" fillId="0" borderId="19" xfId="0" applyNumberFormat="1" applyFont="1" applyFill="1" applyBorder="1" applyAlignment="1" applyProtection="1">
      <alignment horizontal="left" vertical="center"/>
      <protection/>
    </xf>
    <xf numFmtId="167" fontId="12" fillId="0" borderId="19" xfId="0" applyNumberFormat="1" applyFont="1" applyFill="1" applyBorder="1" applyAlignment="1">
      <alignment horizontal="left" vertical="center" shrinkToFit="1"/>
    </xf>
    <xf numFmtId="3" fontId="12" fillId="0" borderId="11" xfId="40" applyNumberFormat="1" applyFont="1" applyFill="1" applyBorder="1" applyAlignment="1" applyProtection="1">
      <alignment vertical="center"/>
      <protection/>
    </xf>
    <xf numFmtId="2" fontId="12" fillId="0" borderId="11" xfId="40" applyNumberFormat="1" applyFont="1" applyFill="1" applyBorder="1" applyAlignment="1" applyProtection="1">
      <alignment vertical="center"/>
      <protection/>
    </xf>
    <xf numFmtId="167" fontId="12" fillId="0" borderId="19" xfId="0" applyNumberFormat="1" applyFont="1" applyFill="1" applyBorder="1" applyAlignment="1">
      <alignment vertical="center"/>
    </xf>
    <xf numFmtId="0" fontId="60" fillId="33" borderId="0" xfId="0" applyFont="1" applyFill="1" applyBorder="1" applyAlignment="1" applyProtection="1">
      <alignment horizontal="center" vertical="center" wrapText="1"/>
      <protection/>
    </xf>
    <xf numFmtId="0" fontId="61" fillId="33" borderId="0" xfId="0" applyFont="1" applyFill="1" applyBorder="1" applyAlignment="1" applyProtection="1">
      <alignment horizontal="center" vertical="center" wrapText="1"/>
      <protection/>
    </xf>
    <xf numFmtId="0" fontId="62" fillId="33" borderId="0" xfId="0" applyFont="1" applyFill="1" applyBorder="1" applyAlignment="1" applyProtection="1">
      <alignment horizontal="center" vertical="center" wrapText="1"/>
      <protection/>
    </xf>
    <xf numFmtId="0" fontId="62" fillId="33" borderId="0" xfId="0" applyFont="1" applyFill="1" applyBorder="1" applyAlignment="1" applyProtection="1">
      <alignment horizontal="center"/>
      <protection/>
    </xf>
    <xf numFmtId="0" fontId="63" fillId="33" borderId="0" xfId="0" applyFont="1" applyFill="1" applyBorder="1" applyAlignment="1" applyProtection="1">
      <alignment horizontal="left" vertical="center"/>
      <protection/>
    </xf>
    <xf numFmtId="0" fontId="64" fillId="33" borderId="0" xfId="0" applyFont="1" applyFill="1" applyAlignment="1" applyProtection="1">
      <alignment vertical="center"/>
      <protection/>
    </xf>
    <xf numFmtId="0" fontId="65" fillId="33" borderId="0" xfId="0" applyFont="1" applyFill="1" applyBorder="1" applyAlignment="1" applyProtection="1">
      <alignment vertical="center"/>
      <protection/>
    </xf>
    <xf numFmtId="0" fontId="12" fillId="0" borderId="19" xfId="52" applyFont="1" applyFill="1" applyBorder="1" applyAlignment="1">
      <alignment horizontal="left" vertical="center"/>
      <protection/>
    </xf>
    <xf numFmtId="0" fontId="12" fillId="0" borderId="11" xfId="0" applyFont="1" applyFill="1" applyBorder="1" applyAlignment="1" applyProtection="1">
      <alignment vertical="center"/>
      <protection/>
    </xf>
    <xf numFmtId="0" fontId="12" fillId="0" borderId="11" xfId="0" applyNumberFormat="1" applyFont="1" applyFill="1" applyBorder="1" applyAlignment="1" applyProtection="1">
      <alignment vertical="center"/>
      <protection/>
    </xf>
    <xf numFmtId="49" fontId="12" fillId="0" borderId="11" xfId="0" applyNumberFormat="1" applyFont="1" applyFill="1" applyBorder="1" applyAlignment="1" applyProtection="1">
      <alignment vertical="center"/>
      <protection/>
    </xf>
    <xf numFmtId="0" fontId="12" fillId="0" borderId="11" xfId="0" applyFont="1" applyFill="1" applyBorder="1" applyAlignment="1">
      <alignment vertical="center" shrinkToFit="1"/>
    </xf>
    <xf numFmtId="49" fontId="12" fillId="37" borderId="19" xfId="0" applyNumberFormat="1" applyFont="1" applyFill="1" applyBorder="1" applyAlignment="1">
      <alignment horizontal="left" vertical="center" shrinkToFit="1"/>
    </xf>
    <xf numFmtId="0" fontId="12" fillId="0" borderId="19" xfId="0" applyNumberFormat="1" applyFont="1" applyFill="1" applyBorder="1" applyAlignment="1" applyProtection="1">
      <alignment vertical="center"/>
      <protection/>
    </xf>
    <xf numFmtId="0" fontId="12" fillId="0" borderId="19" xfId="56" applyFont="1" applyFill="1" applyBorder="1" applyAlignment="1" applyProtection="1">
      <alignment vertical="center"/>
      <protection/>
    </xf>
    <xf numFmtId="0" fontId="12" fillId="0" borderId="19" xfId="0" applyFont="1" applyFill="1" applyBorder="1" applyAlignment="1" applyProtection="1">
      <alignment vertical="center"/>
      <protection/>
    </xf>
    <xf numFmtId="167" fontId="12" fillId="0" borderId="19" xfId="0" applyNumberFormat="1" applyFont="1" applyFill="1" applyBorder="1" applyAlignment="1">
      <alignment vertical="center" shrinkToFit="1"/>
    </xf>
    <xf numFmtId="49" fontId="12" fillId="0" borderId="19" xfId="0" applyNumberFormat="1" applyFont="1" applyFill="1" applyBorder="1" applyAlignment="1">
      <alignment horizontal="left" vertical="center" shrinkToFit="1"/>
    </xf>
    <xf numFmtId="0" fontId="12" fillId="0" borderId="11" xfId="0" applyNumberFormat="1" applyFont="1" applyFill="1" applyBorder="1" applyAlignment="1">
      <alignment vertical="center"/>
    </xf>
    <xf numFmtId="4" fontId="12" fillId="0" borderId="11" xfId="0" applyNumberFormat="1" applyFont="1" applyFill="1" applyBorder="1" applyAlignment="1">
      <alignment vertical="center" wrapText="1"/>
    </xf>
    <xf numFmtId="4" fontId="12" fillId="0" borderId="21" xfId="40" applyNumberFormat="1" applyFont="1" applyFill="1" applyBorder="1" applyAlignment="1" applyProtection="1">
      <alignment vertical="center"/>
      <protection/>
    </xf>
    <xf numFmtId="164" fontId="12" fillId="0" borderId="11" xfId="0" applyNumberFormat="1" applyFont="1" applyFill="1" applyBorder="1" applyAlignment="1">
      <alignment horizontal="center" vertical="center" wrapText="1"/>
    </xf>
    <xf numFmtId="4" fontId="12" fillId="0" borderId="11" xfId="0" applyNumberFormat="1" applyFont="1" applyFill="1" applyBorder="1" applyAlignment="1">
      <alignment horizontal="right" wrapText="1"/>
    </xf>
    <xf numFmtId="164" fontId="12" fillId="0" borderId="11" xfId="0" applyNumberFormat="1" applyFont="1" applyFill="1" applyBorder="1" applyAlignment="1" applyProtection="1">
      <alignment vertical="center"/>
      <protection/>
    </xf>
    <xf numFmtId="164" fontId="12" fillId="0" borderId="11" xfId="0" applyNumberFormat="1" applyFont="1" applyFill="1" applyBorder="1" applyAlignment="1">
      <alignment vertical="center"/>
    </xf>
    <xf numFmtId="164" fontId="12" fillId="37" borderId="11" xfId="0" applyNumberFormat="1" applyFont="1" applyFill="1" applyBorder="1" applyAlignment="1">
      <alignment vertical="center"/>
    </xf>
    <xf numFmtId="0" fontId="12" fillId="37" borderId="11" xfId="0" applyFont="1" applyFill="1" applyBorder="1" applyAlignment="1">
      <alignment vertical="center"/>
    </xf>
    <xf numFmtId="0" fontId="12" fillId="0" borderId="11" xfId="0" applyFont="1" applyBorder="1" applyAlignment="1" applyProtection="1">
      <alignment vertical="center"/>
      <protection locked="0"/>
    </xf>
    <xf numFmtId="164" fontId="12" fillId="0" borderId="11" xfId="0" applyNumberFormat="1" applyFont="1" applyBorder="1" applyAlignment="1" applyProtection="1">
      <alignment vertical="center"/>
      <protection locked="0"/>
    </xf>
    <xf numFmtId="167" fontId="12" fillId="37" borderId="19" xfId="0" applyNumberFormat="1" applyFont="1" applyFill="1" applyBorder="1" applyAlignment="1">
      <alignment vertical="center"/>
    </xf>
    <xf numFmtId="0" fontId="58" fillId="0" borderId="11" xfId="0" applyFont="1" applyFill="1" applyBorder="1" applyAlignment="1" applyProtection="1">
      <alignment horizontal="right" vertical="center"/>
      <protection locked="0"/>
    </xf>
    <xf numFmtId="0" fontId="58" fillId="0" borderId="11" xfId="0" applyFont="1" applyFill="1" applyBorder="1" applyAlignment="1" applyProtection="1">
      <alignment horizontal="right" vertical="center"/>
      <protection/>
    </xf>
    <xf numFmtId="166" fontId="12" fillId="0" borderId="11" xfId="0" applyNumberFormat="1" applyFont="1" applyFill="1" applyBorder="1" applyAlignment="1">
      <alignment horizontal="right" vertical="center"/>
    </xf>
    <xf numFmtId="2" fontId="12" fillId="0" borderId="21" xfId="59" applyNumberFormat="1" applyFont="1" applyFill="1" applyBorder="1" applyAlignment="1">
      <alignment horizontal="right" vertical="center"/>
      <protection/>
    </xf>
    <xf numFmtId="49" fontId="12" fillId="0" borderId="19" xfId="0" applyNumberFormat="1" applyFont="1" applyFill="1" applyBorder="1" applyAlignment="1">
      <alignment vertical="center"/>
    </xf>
    <xf numFmtId="164" fontId="12" fillId="0" borderId="11" xfId="0" applyNumberFormat="1" applyFont="1" applyFill="1" applyBorder="1" applyAlignment="1" applyProtection="1">
      <alignment vertical="center"/>
      <protection locked="0"/>
    </xf>
    <xf numFmtId="164" fontId="12" fillId="0" borderId="11" xfId="0" applyNumberFormat="1" applyFont="1" applyFill="1" applyBorder="1" applyAlignment="1">
      <alignment vertical="center" shrinkToFit="1"/>
    </xf>
    <xf numFmtId="0" fontId="12" fillId="0" borderId="11" xfId="55" applyFont="1" applyFill="1" applyBorder="1" applyAlignment="1">
      <alignment vertical="center" shrinkToFit="1"/>
      <protection/>
    </xf>
    <xf numFmtId="164" fontId="12" fillId="0" borderId="11" xfId="55" applyNumberFormat="1" applyFont="1" applyFill="1" applyBorder="1" applyAlignment="1">
      <alignment vertical="center" shrinkToFit="1"/>
      <protection/>
    </xf>
    <xf numFmtId="4" fontId="12" fillId="0" borderId="11" xfId="43" applyNumberFormat="1" applyFont="1" applyFill="1" applyBorder="1" applyAlignment="1" applyProtection="1">
      <alignment vertical="center" shrinkToFit="1"/>
      <protection locked="0"/>
    </xf>
    <xf numFmtId="3" fontId="12" fillId="0" borderId="11" xfId="43" applyNumberFormat="1" applyFont="1" applyFill="1" applyBorder="1" applyAlignment="1" applyProtection="1">
      <alignment vertical="center" shrinkToFit="1"/>
      <protection locked="0"/>
    </xf>
    <xf numFmtId="0" fontId="12" fillId="0" borderId="19" xfId="55" applyFont="1" applyFill="1" applyBorder="1" applyAlignment="1">
      <alignment vertical="center" shrinkToFit="1"/>
      <protection/>
    </xf>
    <xf numFmtId="0" fontId="12" fillId="0" borderId="11" xfId="0" applyFont="1" applyBorder="1" applyAlignment="1" applyProtection="1">
      <alignment horizontal="left" vertical="center"/>
      <protection locked="0"/>
    </xf>
    <xf numFmtId="3" fontId="12" fillId="0" borderId="11" xfId="72" applyNumberFormat="1" applyFont="1" applyBorder="1" applyAlignment="1" applyProtection="1">
      <alignment horizontal="right" vertical="center"/>
      <protection/>
    </xf>
    <xf numFmtId="2" fontId="12" fillId="0" borderId="11" xfId="72" applyNumberFormat="1" applyFont="1" applyBorder="1" applyAlignment="1" applyProtection="1">
      <alignment horizontal="right" vertical="center"/>
      <protection/>
    </xf>
    <xf numFmtId="2" fontId="12" fillId="0" borderId="21" xfId="72" applyNumberFormat="1" applyFont="1" applyBorder="1" applyAlignment="1" applyProtection="1">
      <alignment horizontal="right" vertical="center"/>
      <protection/>
    </xf>
    <xf numFmtId="4" fontId="17" fillId="0" borderId="14" xfId="0" applyNumberFormat="1" applyFont="1" applyFill="1" applyBorder="1" applyAlignment="1" applyProtection="1">
      <alignment horizontal="center" vertical="center" wrapText="1"/>
      <protection/>
    </xf>
    <xf numFmtId="165" fontId="17" fillId="0" borderId="14" xfId="0" applyNumberFormat="1" applyFont="1" applyFill="1" applyBorder="1" applyAlignment="1" applyProtection="1">
      <alignment horizontal="center" vertical="center" wrapText="1"/>
      <protection/>
    </xf>
    <xf numFmtId="4" fontId="19" fillId="0" borderId="25" xfId="0" applyNumberFormat="1" applyFont="1" applyFill="1" applyBorder="1" applyAlignment="1" applyProtection="1">
      <alignment horizontal="center" vertical="center" wrapText="1"/>
      <protection/>
    </xf>
    <xf numFmtId="165" fontId="19" fillId="0" borderId="25" xfId="0" applyNumberFormat="1" applyFont="1" applyFill="1" applyBorder="1" applyAlignment="1" applyProtection="1">
      <alignment horizontal="center" vertical="center" wrapText="1"/>
      <protection/>
    </xf>
    <xf numFmtId="4" fontId="36" fillId="33" borderId="0" xfId="0" applyNumberFormat="1" applyFont="1" applyFill="1" applyBorder="1" applyAlignment="1" applyProtection="1">
      <alignment horizontal="center" vertical="center"/>
      <protection/>
    </xf>
    <xf numFmtId="3" fontId="36" fillId="33" borderId="0" xfId="0" applyNumberFormat="1" applyFont="1" applyFill="1" applyBorder="1" applyAlignment="1" applyProtection="1">
      <alignment horizontal="center" vertical="center"/>
      <protection/>
    </xf>
    <xf numFmtId="3" fontId="36" fillId="33" borderId="0" xfId="0" applyNumberFormat="1" applyFont="1" applyFill="1" applyBorder="1" applyAlignment="1" applyProtection="1">
      <alignment horizontal="center" vertical="center" wrapText="1"/>
      <protection/>
    </xf>
    <xf numFmtId="4" fontId="36" fillId="33" borderId="0" xfId="0" applyNumberFormat="1" applyFont="1" applyFill="1" applyBorder="1" applyAlignment="1" applyProtection="1">
      <alignment horizontal="center" vertical="center" wrapText="1"/>
      <protection/>
    </xf>
    <xf numFmtId="3" fontId="39" fillId="33" borderId="0" xfId="0" applyNumberFormat="1" applyFont="1" applyFill="1" applyBorder="1" applyAlignment="1" applyProtection="1">
      <alignment horizontal="center" vertical="center" wrapText="1"/>
      <protection/>
    </xf>
    <xf numFmtId="4" fontId="32" fillId="33" borderId="0" xfId="0" applyNumberFormat="1" applyFont="1" applyFill="1" applyBorder="1" applyAlignment="1" applyProtection="1">
      <alignment horizontal="center" vertical="center" wrapText="1"/>
      <protection/>
    </xf>
    <xf numFmtId="3" fontId="32" fillId="33" borderId="0" xfId="0" applyNumberFormat="1" applyFont="1" applyFill="1" applyBorder="1" applyAlignment="1" applyProtection="1">
      <alignment horizontal="center" vertical="center" wrapText="1"/>
      <protection/>
    </xf>
    <xf numFmtId="165" fontId="32" fillId="33" borderId="0" xfId="0" applyNumberFormat="1" applyFont="1" applyFill="1" applyBorder="1" applyAlignment="1" applyProtection="1">
      <alignment horizontal="center" vertical="center" wrapText="1"/>
      <protection/>
    </xf>
    <xf numFmtId="0" fontId="12" fillId="0" borderId="11" xfId="55" applyFont="1" applyFill="1" applyBorder="1" applyAlignment="1">
      <alignment vertical="center"/>
      <protection/>
    </xf>
    <xf numFmtId="164" fontId="12" fillId="0" borderId="11" xfId="55" applyNumberFormat="1" applyFont="1" applyFill="1" applyBorder="1" applyAlignment="1">
      <alignment vertical="center"/>
      <protection/>
    </xf>
    <xf numFmtId="2" fontId="12" fillId="0" borderId="21" xfId="0" applyNumberFormat="1" applyFont="1" applyFill="1" applyBorder="1" applyAlignment="1" applyProtection="1">
      <alignment vertical="center"/>
      <protection/>
    </xf>
    <xf numFmtId="0" fontId="12" fillId="0" borderId="19" xfId="55" applyFont="1" applyFill="1" applyBorder="1" applyAlignment="1" applyProtection="1">
      <alignment horizontal="left" vertical="center"/>
      <protection/>
    </xf>
    <xf numFmtId="164" fontId="12" fillId="0" borderId="11" xfId="55" applyNumberFormat="1" applyFont="1" applyFill="1" applyBorder="1" applyAlignment="1" applyProtection="1">
      <alignment horizontal="center" vertical="center"/>
      <protection/>
    </xf>
    <xf numFmtId="0" fontId="12" fillId="0" borderId="11" xfId="55" applyNumberFormat="1" applyFont="1" applyFill="1" applyBorder="1" applyAlignment="1">
      <alignment horizontal="left" vertical="center"/>
      <protection/>
    </xf>
    <xf numFmtId="0" fontId="12" fillId="0" borderId="11" xfId="55" applyFont="1" applyFill="1" applyBorder="1" applyAlignment="1" applyProtection="1">
      <alignment horizontal="right" vertical="center"/>
      <protection/>
    </xf>
    <xf numFmtId="3" fontId="12" fillId="0" borderId="11" xfId="42" applyNumberFormat="1" applyFont="1" applyFill="1" applyBorder="1" applyAlignment="1" applyProtection="1">
      <alignment vertical="center"/>
      <protection/>
    </xf>
    <xf numFmtId="0" fontId="12" fillId="0" borderId="19" xfId="59" applyFont="1" applyFill="1" applyBorder="1" applyAlignment="1">
      <alignment horizontal="left" vertical="center"/>
      <protection/>
    </xf>
    <xf numFmtId="164" fontId="12" fillId="0" borderId="11" xfId="59" applyNumberFormat="1" applyFont="1" applyFill="1" applyBorder="1" applyAlignment="1">
      <alignment horizontal="center" vertical="center"/>
      <protection/>
    </xf>
    <xf numFmtId="14" fontId="12" fillId="0" borderId="11" xfId="59" applyNumberFormat="1" applyFont="1" applyFill="1" applyBorder="1" applyAlignment="1">
      <alignment horizontal="left" vertical="center"/>
      <protection/>
    </xf>
    <xf numFmtId="0" fontId="12" fillId="0" borderId="11" xfId="59" applyFont="1" applyFill="1" applyBorder="1" applyAlignment="1">
      <alignment horizontal="right" vertical="center"/>
      <protection/>
    </xf>
    <xf numFmtId="2" fontId="12" fillId="0" borderId="11" xfId="40" applyNumberFormat="1" applyFont="1" applyFill="1" applyBorder="1" applyAlignment="1" applyProtection="1">
      <alignment horizontal="right" vertical="center"/>
      <protection/>
    </xf>
    <xf numFmtId="43" fontId="17" fillId="0" borderId="14" xfId="40" applyFont="1" applyFill="1" applyBorder="1" applyAlignment="1" applyProtection="1">
      <alignment horizontal="center"/>
      <protection/>
    </xf>
    <xf numFmtId="0" fontId="19" fillId="0" borderId="10" xfId="0" applyFont="1" applyFill="1" applyBorder="1" applyAlignment="1" applyProtection="1">
      <alignment horizontal="center"/>
      <protection/>
    </xf>
    <xf numFmtId="1" fontId="17" fillId="33" borderId="32" xfId="0" applyNumberFormat="1" applyFont="1" applyFill="1" applyBorder="1" applyAlignment="1" applyProtection="1">
      <alignment horizontal="center" vertical="center" wrapText="1"/>
      <protection/>
    </xf>
    <xf numFmtId="0" fontId="17" fillId="33" borderId="33" xfId="0" applyFont="1" applyFill="1" applyBorder="1" applyAlignment="1" applyProtection="1">
      <alignment horizontal="center"/>
      <protection/>
    </xf>
    <xf numFmtId="164" fontId="17" fillId="33" borderId="33" xfId="0" applyNumberFormat="1" applyFont="1" applyFill="1" applyBorder="1" applyAlignment="1" applyProtection="1">
      <alignment horizontal="center"/>
      <protection/>
    </xf>
    <xf numFmtId="0" fontId="17" fillId="33" borderId="33" xfId="0" applyFont="1" applyFill="1" applyBorder="1" applyAlignment="1" applyProtection="1">
      <alignment horizontal="center" vertical="center" wrapText="1"/>
      <protection/>
    </xf>
    <xf numFmtId="0" fontId="17" fillId="33" borderId="34" xfId="0" applyFont="1" applyFill="1" applyBorder="1" applyAlignment="1" applyProtection="1">
      <alignment horizontal="center" vertical="center" wrapText="1"/>
      <protection/>
    </xf>
    <xf numFmtId="1" fontId="17" fillId="33" borderId="30" xfId="0" applyNumberFormat="1" applyFont="1" applyFill="1" applyBorder="1" applyAlignment="1" applyProtection="1">
      <alignment horizontal="center" vertical="center" wrapText="1"/>
      <protection/>
    </xf>
    <xf numFmtId="0" fontId="17" fillId="33" borderId="31" xfId="0" applyFont="1" applyFill="1" applyBorder="1" applyAlignment="1" applyProtection="1">
      <alignment horizontal="center" vertical="center" wrapText="1"/>
      <protection/>
    </xf>
    <xf numFmtId="0" fontId="19" fillId="33" borderId="28" xfId="0" applyFont="1" applyFill="1" applyBorder="1" applyAlignment="1" applyProtection="1">
      <alignment horizontal="center"/>
      <protection/>
    </xf>
    <xf numFmtId="0" fontId="19" fillId="33" borderId="29" xfId="0" applyFont="1" applyFill="1" applyBorder="1" applyAlignment="1" applyProtection="1">
      <alignment horizontal="center" vertical="center" wrapText="1"/>
      <protection/>
    </xf>
    <xf numFmtId="0" fontId="19" fillId="33" borderId="30" xfId="0" applyFont="1" applyFill="1" applyBorder="1" applyAlignment="1" applyProtection="1">
      <alignment horizontal="center"/>
      <protection/>
    </xf>
    <xf numFmtId="0" fontId="21" fillId="34" borderId="35" xfId="0" applyFont="1" applyFill="1" applyBorder="1" applyAlignment="1" applyProtection="1">
      <alignment vertical="center"/>
      <protection/>
    </xf>
    <xf numFmtId="0" fontId="21" fillId="34" borderId="36" xfId="0" applyFont="1" applyFill="1" applyBorder="1" applyAlignment="1" applyProtection="1">
      <alignment vertical="center"/>
      <protection/>
    </xf>
    <xf numFmtId="0" fontId="59" fillId="0" borderId="11" xfId="0" applyNumberFormat="1" applyFont="1" applyFill="1" applyBorder="1" applyAlignment="1">
      <alignment horizontal="right" vertical="center"/>
    </xf>
    <xf numFmtId="43" fontId="19" fillId="0" borderId="25" xfId="40" applyFont="1" applyFill="1" applyBorder="1" applyAlignment="1" applyProtection="1">
      <alignment horizontal="center"/>
      <protection/>
    </xf>
    <xf numFmtId="0" fontId="21" fillId="34" borderId="37" xfId="0" applyFont="1" applyFill="1" applyBorder="1" applyAlignment="1" applyProtection="1">
      <alignment vertical="center"/>
      <protection/>
    </xf>
    <xf numFmtId="0" fontId="81" fillId="33" borderId="19" xfId="0" applyNumberFormat="1" applyFont="1" applyFill="1" applyBorder="1" applyAlignment="1" applyProtection="1">
      <alignment vertical="center"/>
      <protection/>
    </xf>
    <xf numFmtId="0" fontId="81" fillId="0" borderId="11" xfId="0" applyNumberFormat="1" applyFont="1" applyFill="1" applyBorder="1" applyAlignment="1" applyProtection="1">
      <alignment vertical="center"/>
      <protection/>
    </xf>
    <xf numFmtId="0" fontId="81" fillId="33" borderId="11" xfId="0" applyNumberFormat="1" applyFont="1" applyFill="1" applyBorder="1" applyAlignment="1" applyProtection="1">
      <alignment vertical="center"/>
      <protection/>
    </xf>
    <xf numFmtId="0" fontId="81" fillId="35" borderId="19" xfId="0" applyNumberFormat="1" applyFont="1" applyFill="1" applyBorder="1" applyAlignment="1" applyProtection="1">
      <alignment vertical="center"/>
      <protection/>
    </xf>
    <xf numFmtId="167" fontId="81" fillId="0" borderId="11" xfId="0" applyNumberFormat="1" applyFont="1" applyFill="1" applyBorder="1" applyAlignment="1" applyProtection="1">
      <alignment vertical="center"/>
      <protection/>
    </xf>
    <xf numFmtId="0" fontId="81" fillId="38" borderId="11" xfId="0" applyNumberFormat="1" applyFont="1" applyFill="1" applyBorder="1" applyAlignment="1" applyProtection="1">
      <alignment vertical="center"/>
      <protection/>
    </xf>
    <xf numFmtId="0" fontId="82" fillId="33" borderId="19" xfId="0" applyFont="1" applyFill="1" applyBorder="1" applyAlignment="1" applyProtection="1">
      <alignment vertical="center"/>
      <protection/>
    </xf>
    <xf numFmtId="167" fontId="81" fillId="33" borderId="11" xfId="0" applyNumberFormat="1" applyFont="1" applyFill="1" applyBorder="1" applyAlignment="1" applyProtection="1">
      <alignment vertical="center"/>
      <protection/>
    </xf>
    <xf numFmtId="0" fontId="21" fillId="34" borderId="38" xfId="0" applyFont="1" applyFill="1" applyBorder="1" applyAlignment="1" applyProtection="1">
      <alignment vertical="center"/>
      <protection/>
    </xf>
    <xf numFmtId="0" fontId="21" fillId="34" borderId="39" xfId="0" applyFont="1" applyFill="1" applyBorder="1" applyAlignment="1" applyProtection="1">
      <alignment vertical="center"/>
      <protection/>
    </xf>
    <xf numFmtId="0" fontId="21" fillId="34" borderId="40" xfId="0" applyFont="1" applyFill="1" applyBorder="1" applyAlignment="1" applyProtection="1">
      <alignment vertical="center"/>
      <protection/>
    </xf>
    <xf numFmtId="164" fontId="12" fillId="0" borderId="11" xfId="0" applyNumberFormat="1" applyFont="1" applyFill="1" applyBorder="1" applyAlignment="1">
      <alignment vertical="center" wrapText="1"/>
    </xf>
    <xf numFmtId="4" fontId="12" fillId="0" borderId="11" xfId="0" applyNumberFormat="1" applyFont="1" applyFill="1" applyBorder="1" applyAlignment="1" applyProtection="1">
      <alignment horizontal="right" vertical="center"/>
      <protection/>
    </xf>
    <xf numFmtId="0" fontId="19" fillId="33" borderId="41" xfId="0" applyFont="1" applyFill="1" applyBorder="1" applyAlignment="1" applyProtection="1">
      <alignment horizontal="center"/>
      <protection/>
    </xf>
    <xf numFmtId="0" fontId="12" fillId="0" borderId="19" xfId="58" applyFont="1" applyFill="1" applyBorder="1" applyAlignment="1">
      <alignment horizontal="left" vertical="center"/>
      <protection/>
    </xf>
    <xf numFmtId="43" fontId="19" fillId="34" borderId="25" xfId="40" applyFont="1" applyFill="1" applyBorder="1" applyAlignment="1" applyProtection="1">
      <alignment horizontal="center"/>
      <protection/>
    </xf>
    <xf numFmtId="0" fontId="12" fillId="33" borderId="19" xfId="0" applyFont="1" applyFill="1" applyBorder="1" applyAlignment="1" applyProtection="1">
      <alignment vertical="center"/>
      <protection/>
    </xf>
    <xf numFmtId="0" fontId="21" fillId="34" borderId="42" xfId="0" applyFont="1" applyFill="1" applyBorder="1" applyAlignment="1" applyProtection="1">
      <alignment vertical="center"/>
      <protection/>
    </xf>
    <xf numFmtId="0" fontId="21" fillId="34" borderId="43" xfId="0" applyFont="1" applyFill="1" applyBorder="1" applyAlignment="1" applyProtection="1">
      <alignment vertical="center"/>
      <protection/>
    </xf>
    <xf numFmtId="0" fontId="12" fillId="33" borderId="19" xfId="0" applyFont="1" applyFill="1" applyBorder="1" applyAlignment="1">
      <alignment horizontal="left" vertical="center"/>
    </xf>
    <xf numFmtId="4" fontId="12" fillId="0" borderId="11" xfId="59" applyNumberFormat="1" applyFont="1" applyFill="1" applyBorder="1" applyAlignment="1">
      <alignment horizontal="right" vertical="center"/>
      <protection/>
    </xf>
    <xf numFmtId="3" fontId="12" fillId="0" borderId="11" xfId="59" applyNumberFormat="1" applyFont="1" applyFill="1" applyBorder="1" applyAlignment="1">
      <alignment horizontal="right" vertical="center"/>
      <protection/>
    </xf>
    <xf numFmtId="49" fontId="12" fillId="0" borderId="19" xfId="0" applyNumberFormat="1" applyFont="1" applyFill="1" applyBorder="1" applyAlignment="1">
      <alignment vertical="center" shrinkToFit="1"/>
    </xf>
    <xf numFmtId="0" fontId="19" fillId="34" borderId="33" xfId="0" applyFont="1" applyFill="1" applyBorder="1" applyAlignment="1" applyProtection="1">
      <alignment horizontal="center"/>
      <protection/>
    </xf>
    <xf numFmtId="0" fontId="12" fillId="0" borderId="11" xfId="0" applyFont="1" applyFill="1" applyBorder="1" applyAlignment="1">
      <alignment horizontal="left"/>
    </xf>
    <xf numFmtId="3" fontId="12" fillId="0" borderId="11" xfId="0" applyNumberFormat="1" applyFont="1" applyFill="1" applyBorder="1" applyAlignment="1">
      <alignment vertical="center" wrapText="1"/>
    </xf>
    <xf numFmtId="0" fontId="19" fillId="0" borderId="33" xfId="0" applyFont="1" applyFill="1" applyBorder="1" applyAlignment="1" applyProtection="1">
      <alignment horizontal="center"/>
      <protection/>
    </xf>
    <xf numFmtId="0" fontId="12" fillId="39" borderId="11" xfId="0" applyNumberFormat="1" applyFont="1" applyFill="1" applyBorder="1" applyAlignment="1" applyProtection="1">
      <alignment vertical="center"/>
      <protection/>
    </xf>
    <xf numFmtId="3" fontId="12" fillId="39" borderId="11" xfId="72" applyNumberFormat="1" applyFont="1" applyFill="1" applyBorder="1" applyAlignment="1" applyProtection="1">
      <alignment vertical="center"/>
      <protection/>
    </xf>
    <xf numFmtId="2" fontId="12" fillId="39" borderId="11" xfId="72" applyNumberFormat="1" applyFont="1" applyFill="1" applyBorder="1" applyAlignment="1" applyProtection="1">
      <alignment vertical="center"/>
      <protection/>
    </xf>
    <xf numFmtId="2" fontId="12" fillId="39" borderId="21" xfId="72" applyNumberFormat="1" applyFont="1" applyFill="1" applyBorder="1" applyAlignment="1" applyProtection="1">
      <alignment vertical="center"/>
      <protection/>
    </xf>
    <xf numFmtId="4" fontId="12" fillId="39" borderId="11" xfId="43" applyNumberFormat="1" applyFont="1" applyFill="1" applyBorder="1" applyAlignment="1" applyProtection="1">
      <alignment vertical="center"/>
      <protection locked="0"/>
    </xf>
    <xf numFmtId="3" fontId="12" fillId="39" borderId="11" xfId="43" applyNumberFormat="1" applyFont="1" applyFill="1" applyBorder="1" applyAlignment="1" applyProtection="1">
      <alignment vertical="center"/>
      <protection locked="0"/>
    </xf>
    <xf numFmtId="0" fontId="9" fillId="33" borderId="19" xfId="0" applyFont="1" applyFill="1" applyBorder="1" applyAlignment="1" applyProtection="1">
      <alignment vertical="center"/>
      <protection/>
    </xf>
    <xf numFmtId="164" fontId="12" fillId="39" borderId="11" xfId="0" applyNumberFormat="1" applyFont="1" applyFill="1" applyBorder="1" applyAlignment="1">
      <alignment horizontal="center" vertical="center" shrinkToFit="1"/>
    </xf>
    <xf numFmtId="164" fontId="19" fillId="34" borderId="25" xfId="0" applyNumberFormat="1" applyFont="1" applyFill="1" applyBorder="1" applyAlignment="1" applyProtection="1">
      <alignment horizontal="center"/>
      <protection/>
    </xf>
    <xf numFmtId="0" fontId="19" fillId="34" borderId="25" xfId="0" applyFont="1" applyFill="1" applyBorder="1" applyAlignment="1" applyProtection="1">
      <alignment horizontal="center"/>
      <protection/>
    </xf>
    <xf numFmtId="4" fontId="19" fillId="34" borderId="25" xfId="0" applyNumberFormat="1" applyFont="1" applyFill="1" applyBorder="1" applyAlignment="1" applyProtection="1">
      <alignment horizontal="center" wrapText="1"/>
      <protection/>
    </xf>
    <xf numFmtId="3" fontId="19" fillId="34" borderId="25" xfId="0" applyNumberFormat="1" applyFont="1" applyFill="1" applyBorder="1" applyAlignment="1" applyProtection="1">
      <alignment horizontal="center" wrapText="1"/>
      <protection/>
    </xf>
    <xf numFmtId="165" fontId="19" fillId="34" borderId="25" xfId="0" applyNumberFormat="1" applyFont="1" applyFill="1" applyBorder="1" applyAlignment="1" applyProtection="1">
      <alignment horizontal="center" wrapText="1"/>
      <protection/>
    </xf>
    <xf numFmtId="4" fontId="31" fillId="34" borderId="25" xfId="0" applyNumberFormat="1" applyFont="1" applyFill="1" applyBorder="1" applyAlignment="1" applyProtection="1">
      <alignment horizontal="center" wrapText="1"/>
      <protection/>
    </xf>
    <xf numFmtId="3" fontId="31" fillId="34" borderId="25" xfId="0" applyNumberFormat="1" applyFont="1" applyFill="1" applyBorder="1" applyAlignment="1" applyProtection="1">
      <alignment horizontal="center" wrapText="1"/>
      <protection/>
    </xf>
    <xf numFmtId="0" fontId="12" fillId="39" borderId="11" xfId="0" applyFont="1" applyFill="1" applyBorder="1" applyAlignment="1">
      <alignment vertical="center" shrinkToFit="1"/>
    </xf>
    <xf numFmtId="4" fontId="29" fillId="8" borderId="11" xfId="0" applyNumberFormat="1" applyFont="1" applyFill="1" applyBorder="1" applyAlignment="1">
      <alignment vertical="center"/>
    </xf>
    <xf numFmtId="3" fontId="29" fillId="8" borderId="11" xfId="0" applyNumberFormat="1" applyFont="1" applyFill="1" applyBorder="1" applyAlignment="1">
      <alignment vertical="center"/>
    </xf>
    <xf numFmtId="4" fontId="80" fillId="8" borderId="11" xfId="43" applyNumberFormat="1" applyFont="1" applyFill="1" applyBorder="1" applyAlignment="1" applyProtection="1">
      <alignment vertical="center"/>
      <protection locked="0"/>
    </xf>
    <xf numFmtId="3" fontId="80" fillId="8" borderId="11" xfId="43" applyNumberFormat="1" applyFont="1" applyFill="1" applyBorder="1" applyAlignment="1" applyProtection="1">
      <alignment vertical="center"/>
      <protection locked="0"/>
    </xf>
    <xf numFmtId="4" fontId="29" fillId="8" borderId="11" xfId="0" applyNumberFormat="1" applyFont="1" applyFill="1" applyBorder="1" applyAlignment="1">
      <alignment horizontal="right"/>
    </xf>
    <xf numFmtId="3" fontId="29" fillId="8" borderId="11" xfId="0" applyNumberFormat="1" applyFont="1" applyFill="1" applyBorder="1" applyAlignment="1">
      <alignment horizontal="right"/>
    </xf>
    <xf numFmtId="4" fontId="29" fillId="8" borderId="11" xfId="0" applyNumberFormat="1" applyFont="1" applyFill="1" applyBorder="1" applyAlignment="1">
      <alignment vertical="center" wrapText="1"/>
    </xf>
    <xf numFmtId="4" fontId="29" fillId="8" borderId="11" xfId="0" applyNumberFormat="1" applyFont="1" applyFill="1" applyBorder="1" applyAlignment="1">
      <alignment horizontal="right" wrapText="1"/>
    </xf>
    <xf numFmtId="4" fontId="29" fillId="8" borderId="11" xfId="0" applyNumberFormat="1" applyFont="1" applyFill="1" applyBorder="1" applyAlignment="1">
      <alignment horizontal="right" vertical="center"/>
    </xf>
    <xf numFmtId="3" fontId="29" fillId="8" borderId="11" xfId="0" applyNumberFormat="1" applyFont="1" applyFill="1" applyBorder="1" applyAlignment="1">
      <alignment horizontal="right" vertical="center"/>
    </xf>
    <xf numFmtId="4" fontId="29" fillId="8" borderId="11" xfId="43" applyNumberFormat="1" applyFont="1" applyFill="1" applyBorder="1" applyAlignment="1" applyProtection="1">
      <alignment horizontal="right" vertical="center"/>
      <protection locked="0"/>
    </xf>
    <xf numFmtId="3" fontId="29" fillId="8" borderId="11" xfId="43" applyNumberFormat="1" applyFont="1" applyFill="1" applyBorder="1" applyAlignment="1" applyProtection="1">
      <alignment horizontal="right" vertical="center"/>
      <protection locked="0"/>
    </xf>
    <xf numFmtId="4" fontId="29" fillId="8" borderId="11" xfId="43" applyNumberFormat="1" applyFont="1" applyFill="1" applyBorder="1" applyAlignment="1" applyProtection="1">
      <alignment vertical="center"/>
      <protection locked="0"/>
    </xf>
    <xf numFmtId="3" fontId="29" fillId="8" borderId="11" xfId="43" applyNumberFormat="1" applyFont="1" applyFill="1" applyBorder="1" applyAlignment="1" applyProtection="1">
      <alignment vertical="center"/>
      <protection locked="0"/>
    </xf>
    <xf numFmtId="4" fontId="29" fillId="8" borderId="11" xfId="43" applyNumberFormat="1" applyFont="1" applyFill="1" applyBorder="1" applyAlignment="1" applyProtection="1">
      <alignment horizontal="right" vertical="center" shrinkToFit="1"/>
      <protection locked="0"/>
    </xf>
    <xf numFmtId="3" fontId="29" fillId="8" borderId="11" xfId="43" applyNumberFormat="1" applyFont="1" applyFill="1" applyBorder="1" applyAlignment="1" applyProtection="1">
      <alignment horizontal="right" vertical="center" shrinkToFit="1"/>
      <protection locked="0"/>
    </xf>
    <xf numFmtId="4" fontId="29" fillId="8" borderId="11" xfId="42" applyNumberFormat="1" applyFont="1" applyFill="1" applyBorder="1" applyAlignment="1" applyProtection="1">
      <alignment vertical="center"/>
      <protection locked="0"/>
    </xf>
    <xf numFmtId="3" fontId="29" fillId="8" borderId="11" xfId="42" applyNumberFormat="1" applyFont="1" applyFill="1" applyBorder="1" applyAlignment="1" applyProtection="1">
      <alignment vertical="center"/>
      <protection locked="0"/>
    </xf>
    <xf numFmtId="4" fontId="29" fillId="8" borderId="11" xfId="42" applyNumberFormat="1" applyFont="1" applyFill="1" applyBorder="1" applyAlignment="1" applyProtection="1">
      <alignment horizontal="right" vertical="center"/>
      <protection locked="0"/>
    </xf>
    <xf numFmtId="3" fontId="29" fillId="8" borderId="11" xfId="42" applyNumberFormat="1" applyFont="1" applyFill="1" applyBorder="1" applyAlignment="1" applyProtection="1">
      <alignment horizontal="right" vertical="center"/>
      <protection locked="0"/>
    </xf>
    <xf numFmtId="4" fontId="29" fillId="8" borderId="11" xfId="40" applyNumberFormat="1" applyFont="1" applyFill="1" applyBorder="1" applyAlignment="1" applyProtection="1">
      <alignment horizontal="right" vertical="center"/>
      <protection/>
    </xf>
    <xf numFmtId="3" fontId="29" fillId="8" borderId="11" xfId="40" applyNumberFormat="1" applyFont="1" applyFill="1" applyBorder="1" applyAlignment="1" applyProtection="1">
      <alignment horizontal="right" vertical="center"/>
      <protection/>
    </xf>
    <xf numFmtId="4" fontId="29" fillId="8" borderId="11" xfId="40" applyNumberFormat="1" applyFont="1" applyFill="1" applyBorder="1" applyAlignment="1" applyProtection="1">
      <alignment vertical="center"/>
      <protection/>
    </xf>
    <xf numFmtId="4" fontId="29" fillId="8" borderId="11" xfId="52" applyNumberFormat="1" applyFont="1" applyFill="1" applyBorder="1" applyAlignment="1" applyProtection="1">
      <alignment horizontal="right" vertical="center"/>
      <protection/>
    </xf>
    <xf numFmtId="3" fontId="29" fillId="8" borderId="11" xfId="52" applyNumberFormat="1" applyFont="1" applyFill="1" applyBorder="1" applyAlignment="1" applyProtection="1">
      <alignment horizontal="right" vertical="center"/>
      <protection/>
    </xf>
    <xf numFmtId="4" fontId="29" fillId="8" borderId="11" xfId="44" applyNumberFormat="1" applyFont="1" applyFill="1" applyBorder="1" applyAlignment="1" applyProtection="1">
      <alignment vertical="center"/>
      <protection locked="0"/>
    </xf>
    <xf numFmtId="3" fontId="29" fillId="8" borderId="11" xfId="44" applyNumberFormat="1" applyFont="1" applyFill="1" applyBorder="1" applyAlignment="1" applyProtection="1">
      <alignment horizontal="right" vertical="center"/>
      <protection locked="0"/>
    </xf>
    <xf numFmtId="4" fontId="29" fillId="8" borderId="11" xfId="44" applyNumberFormat="1" applyFont="1" applyFill="1" applyBorder="1" applyAlignment="1" applyProtection="1">
      <alignment horizontal="right" vertical="center"/>
      <protection locked="0"/>
    </xf>
    <xf numFmtId="4" fontId="29" fillId="8" borderId="11" xfId="57" applyNumberFormat="1" applyFont="1" applyFill="1" applyBorder="1" applyAlignment="1">
      <alignment horizontal="right" vertical="center"/>
      <protection/>
    </xf>
    <xf numFmtId="3" fontId="29" fillId="8" borderId="11" xfId="57" applyNumberFormat="1" applyFont="1" applyFill="1" applyBorder="1" applyAlignment="1">
      <alignment horizontal="right" vertical="center"/>
      <protection/>
    </xf>
    <xf numFmtId="3" fontId="29" fillId="8" borderId="11" xfId="40" applyNumberFormat="1" applyFont="1" applyFill="1" applyBorder="1" applyAlignment="1" applyProtection="1">
      <alignment vertical="center"/>
      <protection/>
    </xf>
    <xf numFmtId="4" fontId="29" fillId="8" borderId="11" xfId="40" applyNumberFormat="1" applyFont="1" applyFill="1" applyBorder="1" applyAlignment="1" applyProtection="1">
      <alignment horizontal="right" vertical="center"/>
      <protection locked="0"/>
    </xf>
    <xf numFmtId="3" fontId="29" fillId="8" borderId="11" xfId="40" applyNumberFormat="1" applyFont="1" applyFill="1" applyBorder="1" applyAlignment="1" applyProtection="1">
      <alignment horizontal="right" vertical="center"/>
      <protection locked="0"/>
    </xf>
    <xf numFmtId="4" fontId="80" fillId="8" borderId="11" xfId="43" applyNumberFormat="1" applyFont="1" applyFill="1" applyBorder="1" applyAlignment="1" applyProtection="1">
      <alignment horizontal="right" vertical="center"/>
      <protection locked="0"/>
    </xf>
    <xf numFmtId="3" fontId="80" fillId="8" borderId="11" xfId="43" applyNumberFormat="1" applyFont="1" applyFill="1" applyBorder="1" applyAlignment="1" applyProtection="1">
      <alignment horizontal="right" vertical="center"/>
      <protection locked="0"/>
    </xf>
    <xf numFmtId="4" fontId="29" fillId="8" borderId="11" xfId="40" applyNumberFormat="1" applyFont="1" applyFill="1" applyBorder="1" applyAlignment="1" applyProtection="1">
      <alignment vertical="center"/>
      <protection locked="0"/>
    </xf>
    <xf numFmtId="3" fontId="29" fillId="8" borderId="11" xfId="40" applyNumberFormat="1" applyFont="1" applyFill="1" applyBorder="1" applyAlignment="1" applyProtection="1">
      <alignment vertical="center"/>
      <protection locked="0"/>
    </xf>
    <xf numFmtId="4" fontId="29" fillId="8" borderId="11" xfId="52" applyNumberFormat="1" applyFont="1" applyFill="1" applyBorder="1" applyAlignment="1" applyProtection="1">
      <alignment horizontal="right" vertical="center" wrapText="1"/>
      <protection/>
    </xf>
    <xf numFmtId="3" fontId="29" fillId="8" borderId="11" xfId="52" applyNumberFormat="1" applyFont="1" applyFill="1" applyBorder="1" applyAlignment="1" applyProtection="1">
      <alignment horizontal="right" vertical="center" wrapText="1"/>
      <protection/>
    </xf>
    <xf numFmtId="4" fontId="29" fillId="8" borderId="11" xfId="43" applyNumberFormat="1" applyFont="1" applyFill="1" applyBorder="1" applyAlignment="1" applyProtection="1">
      <alignment horizontal="right" vertical="center"/>
      <protection/>
    </xf>
    <xf numFmtId="3" fontId="29" fillId="8" borderId="11" xfId="43" applyNumberFormat="1" applyFont="1" applyFill="1" applyBorder="1" applyAlignment="1" applyProtection="1">
      <alignment horizontal="right" vertical="center"/>
      <protection/>
    </xf>
    <xf numFmtId="4" fontId="29" fillId="8" borderId="11" xfId="43" applyNumberFormat="1" applyFont="1" applyFill="1" applyBorder="1" applyAlignment="1" applyProtection="1">
      <alignment vertical="center" shrinkToFit="1"/>
      <protection locked="0"/>
    </xf>
    <xf numFmtId="3" fontId="29" fillId="8" borderId="11" xfId="43" applyNumberFormat="1" applyFont="1" applyFill="1" applyBorder="1" applyAlignment="1" applyProtection="1">
      <alignment vertical="center" shrinkToFit="1"/>
      <protection locked="0"/>
    </xf>
    <xf numFmtId="3" fontId="29" fillId="8" borderId="11" xfId="44" applyNumberFormat="1" applyFont="1" applyFill="1" applyBorder="1" applyAlignment="1" applyProtection="1">
      <alignment vertical="center"/>
      <protection locked="0"/>
    </xf>
    <xf numFmtId="4" fontId="80" fillId="8" borderId="11" xfId="40" applyNumberFormat="1" applyFont="1" applyFill="1" applyBorder="1" applyAlignment="1" applyProtection="1">
      <alignment vertical="center"/>
      <protection/>
    </xf>
    <xf numFmtId="3" fontId="80" fillId="8" borderId="11" xfId="40" applyNumberFormat="1" applyFont="1" applyFill="1" applyBorder="1" applyAlignment="1" applyProtection="1">
      <alignment vertical="center"/>
      <protection/>
    </xf>
    <xf numFmtId="4" fontId="29" fillId="8" borderId="11" xfId="59" applyNumberFormat="1" applyFont="1" applyFill="1" applyBorder="1" applyAlignment="1">
      <alignment horizontal="right" vertical="center"/>
      <protection/>
    </xf>
    <xf numFmtId="3" fontId="29" fillId="8" borderId="11" xfId="59" applyNumberFormat="1" applyFont="1" applyFill="1" applyBorder="1" applyAlignment="1">
      <alignment horizontal="right" vertical="center"/>
      <protection/>
    </xf>
    <xf numFmtId="4" fontId="29" fillId="8" borderId="11" xfId="0" applyNumberFormat="1" applyFont="1" applyFill="1" applyBorder="1" applyAlignment="1" applyProtection="1">
      <alignment horizontal="right" vertical="center"/>
      <protection/>
    </xf>
    <xf numFmtId="3" fontId="29" fillId="8" borderId="11" xfId="0" applyNumberFormat="1" applyFont="1" applyFill="1" applyBorder="1" applyAlignment="1" applyProtection="1">
      <alignment horizontal="right" vertical="center"/>
      <protection/>
    </xf>
    <xf numFmtId="3" fontId="12" fillId="0" borderId="11" xfId="0" applyNumberFormat="1" applyFont="1" applyFill="1" applyBorder="1" applyAlignment="1">
      <alignment horizontal="right" wrapText="1"/>
    </xf>
    <xf numFmtId="0" fontId="12" fillId="0" borderId="16" xfId="0" applyFont="1" applyFill="1" applyBorder="1" applyAlignment="1" applyProtection="1">
      <alignment horizontal="left" vertical="center"/>
      <protection locked="0"/>
    </xf>
    <xf numFmtId="164" fontId="12" fillId="0" borderId="44" xfId="0" applyNumberFormat="1" applyFont="1" applyFill="1" applyBorder="1" applyAlignment="1" applyProtection="1">
      <alignment horizontal="center" vertical="center"/>
      <protection locked="0"/>
    </xf>
    <xf numFmtId="0" fontId="12" fillId="0" borderId="44" xfId="0" applyFont="1" applyFill="1" applyBorder="1" applyAlignment="1" applyProtection="1">
      <alignment vertical="center"/>
      <protection locked="0"/>
    </xf>
    <xf numFmtId="0" fontId="12" fillId="0" borderId="44" xfId="0" applyFont="1" applyFill="1" applyBorder="1" applyAlignment="1" applyProtection="1">
      <alignment horizontal="right" vertical="center"/>
      <protection locked="0"/>
    </xf>
    <xf numFmtId="4" fontId="29" fillId="8" borderId="44" xfId="42" applyNumberFormat="1" applyFont="1" applyFill="1" applyBorder="1" applyAlignment="1" applyProtection="1">
      <alignment vertical="center"/>
      <protection locked="0"/>
    </xf>
    <xf numFmtId="3" fontId="29" fillId="8" borderId="44" xfId="42" applyNumberFormat="1" applyFont="1" applyFill="1" applyBorder="1" applyAlignment="1" applyProtection="1">
      <alignment horizontal="right" vertical="center"/>
      <protection locked="0"/>
    </xf>
    <xf numFmtId="3" fontId="12" fillId="0" borderId="44" xfId="42" applyNumberFormat="1" applyFont="1" applyFill="1" applyBorder="1" applyAlignment="1" applyProtection="1">
      <alignment horizontal="right" vertical="center"/>
      <protection/>
    </xf>
    <xf numFmtId="2" fontId="12" fillId="0" borderId="44" xfId="42" applyNumberFormat="1" applyFont="1" applyFill="1" applyBorder="1" applyAlignment="1" applyProtection="1">
      <alignment vertical="center"/>
      <protection/>
    </xf>
    <xf numFmtId="4" fontId="12" fillId="0" borderId="44" xfId="42" applyNumberFormat="1" applyFont="1" applyFill="1" applyBorder="1" applyAlignment="1" applyProtection="1">
      <alignment vertical="center"/>
      <protection locked="0"/>
    </xf>
    <xf numFmtId="3" fontId="12" fillId="0" borderId="44" xfId="42" applyNumberFormat="1" applyFont="1" applyFill="1" applyBorder="1" applyAlignment="1" applyProtection="1">
      <alignment horizontal="right" vertical="center"/>
      <protection locked="0"/>
    </xf>
    <xf numFmtId="2" fontId="12" fillId="0" borderId="45" xfId="42" applyNumberFormat="1" applyFont="1" applyFill="1" applyBorder="1" applyAlignment="1" applyProtection="1">
      <alignment horizontal="right" vertical="center"/>
      <protection/>
    </xf>
    <xf numFmtId="167" fontId="12" fillId="39" borderId="19" xfId="0" applyNumberFormat="1" applyFont="1" applyFill="1" applyBorder="1" applyAlignment="1">
      <alignment vertical="center" shrinkToFit="1"/>
    </xf>
    <xf numFmtId="49" fontId="12" fillId="39" borderId="19" xfId="0" applyNumberFormat="1" applyFont="1" applyFill="1" applyBorder="1" applyAlignment="1">
      <alignment vertical="center" shrinkToFit="1"/>
    </xf>
    <xf numFmtId="0" fontId="12" fillId="37" borderId="24" xfId="0" applyFont="1" applyFill="1" applyBorder="1" applyAlignment="1">
      <alignment horizontal="left" vertical="center"/>
    </xf>
    <xf numFmtId="164" fontId="12" fillId="0" borderId="46" xfId="0" applyNumberFormat="1" applyFont="1" applyFill="1" applyBorder="1" applyAlignment="1">
      <alignment horizontal="center" vertical="center"/>
    </xf>
    <xf numFmtId="0" fontId="12" fillId="0" borderId="46" xfId="0" applyFont="1" applyFill="1" applyBorder="1" applyAlignment="1">
      <alignment horizontal="left" vertical="center"/>
    </xf>
    <xf numFmtId="0" fontId="12" fillId="0" borderId="46" xfId="0" applyFont="1" applyFill="1" applyBorder="1" applyAlignment="1">
      <alignment horizontal="right" vertical="center"/>
    </xf>
    <xf numFmtId="4" fontId="29" fillId="8" borderId="46" xfId="43" applyNumberFormat="1" applyFont="1" applyFill="1" applyBorder="1" applyAlignment="1" applyProtection="1">
      <alignment horizontal="right" vertical="center"/>
      <protection locked="0"/>
    </xf>
    <xf numFmtId="3" fontId="29" fillId="8" borderId="46" xfId="43" applyNumberFormat="1" applyFont="1" applyFill="1" applyBorder="1" applyAlignment="1" applyProtection="1">
      <alignment horizontal="right" vertical="center"/>
      <protection locked="0"/>
    </xf>
    <xf numFmtId="3" fontId="12" fillId="0" borderId="46" xfId="43" applyNumberFormat="1" applyFont="1" applyFill="1" applyBorder="1" applyAlignment="1" applyProtection="1">
      <alignment horizontal="right" vertical="center"/>
      <protection/>
    </xf>
    <xf numFmtId="2" fontId="12" fillId="0" borderId="46" xfId="43" applyNumberFormat="1" applyFont="1" applyFill="1" applyBorder="1" applyAlignment="1" applyProtection="1">
      <alignment horizontal="right" vertical="center"/>
      <protection/>
    </xf>
    <xf numFmtId="4" fontId="12" fillId="0" borderId="46" xfId="43" applyNumberFormat="1" applyFont="1" applyFill="1" applyBorder="1" applyAlignment="1" applyProtection="1">
      <alignment horizontal="right" vertical="center"/>
      <protection locked="0"/>
    </xf>
    <xf numFmtId="3" fontId="12" fillId="0" borderId="46" xfId="43" applyNumberFormat="1" applyFont="1" applyFill="1" applyBorder="1" applyAlignment="1" applyProtection="1">
      <alignment horizontal="right" vertical="center"/>
      <protection locked="0"/>
    </xf>
    <xf numFmtId="2" fontId="12" fillId="0" borderId="47" xfId="43" applyNumberFormat="1" applyFont="1" applyFill="1" applyBorder="1" applyAlignment="1" applyProtection="1">
      <alignment horizontal="right" vertical="center"/>
      <protection/>
    </xf>
    <xf numFmtId="0" fontId="12" fillId="0" borderId="44" xfId="0" applyNumberFormat="1" applyFont="1" applyFill="1" applyBorder="1" applyAlignment="1" applyProtection="1">
      <alignment vertical="center"/>
      <protection/>
    </xf>
    <xf numFmtId="0" fontId="12" fillId="0" borderId="44" xfId="0" applyFont="1" applyFill="1" applyBorder="1" applyAlignment="1">
      <alignment vertical="center"/>
    </xf>
    <xf numFmtId="3" fontId="12" fillId="0" borderId="44" xfId="72" applyNumberFormat="1" applyFont="1" applyFill="1" applyBorder="1" applyAlignment="1" applyProtection="1">
      <alignment vertical="center"/>
      <protection/>
    </xf>
    <xf numFmtId="2" fontId="12" fillId="0" borderId="44" xfId="72" applyNumberFormat="1" applyFont="1" applyFill="1" applyBorder="1" applyAlignment="1" applyProtection="1">
      <alignment vertical="center"/>
      <protection/>
    </xf>
    <xf numFmtId="4" fontId="12" fillId="0" borderId="44" xfId="42" applyNumberFormat="1" applyFont="1" applyFill="1" applyBorder="1" applyAlignment="1">
      <alignment vertical="center"/>
    </xf>
    <xf numFmtId="9" fontId="12" fillId="0" borderId="44" xfId="72" applyNumberFormat="1" applyFont="1" applyFill="1" applyBorder="1" applyAlignment="1" applyProtection="1">
      <alignment vertical="center"/>
      <protection/>
    </xf>
    <xf numFmtId="2" fontId="12" fillId="0" borderId="45" xfId="0" applyNumberFormat="1" applyFont="1" applyFill="1" applyBorder="1" applyAlignment="1" applyProtection="1">
      <alignment vertical="center"/>
      <protection/>
    </xf>
    <xf numFmtId="0" fontId="9" fillId="33" borderId="19" xfId="0" applyFont="1" applyFill="1" applyBorder="1" applyAlignment="1" applyProtection="1">
      <alignment horizontal="left" vertical="center"/>
      <protection/>
    </xf>
    <xf numFmtId="1" fontId="12" fillId="0" borderId="11" xfId="0" applyNumberFormat="1" applyFont="1" applyFill="1" applyBorder="1" applyAlignment="1">
      <alignment vertical="center"/>
    </xf>
    <xf numFmtId="4" fontId="12" fillId="0" borderId="11" xfId="40" applyNumberFormat="1" applyFont="1" applyFill="1" applyBorder="1" applyAlignment="1">
      <alignment vertical="center"/>
    </xf>
    <xf numFmtId="3" fontId="12" fillId="0" borderId="11" xfId="40" applyNumberFormat="1" applyFont="1" applyFill="1" applyBorder="1" applyAlignment="1">
      <alignment vertical="center"/>
    </xf>
    <xf numFmtId="4" fontId="12" fillId="0" borderId="11" xfId="42" applyNumberFormat="1" applyFont="1" applyFill="1" applyBorder="1" applyAlignment="1" applyProtection="1">
      <alignment vertical="center"/>
      <protection/>
    </xf>
    <xf numFmtId="9" fontId="12" fillId="0" borderId="11" xfId="72" applyNumberFormat="1" applyFont="1" applyFill="1" applyBorder="1" applyAlignment="1" applyProtection="1">
      <alignment vertical="center"/>
      <protection/>
    </xf>
    <xf numFmtId="0" fontId="9" fillId="33" borderId="11" xfId="0" applyFont="1" applyFill="1" applyBorder="1" applyAlignment="1" applyProtection="1">
      <alignment horizontal="left" vertical="center"/>
      <protection/>
    </xf>
    <xf numFmtId="167" fontId="12" fillId="0" borderId="11" xfId="0" applyNumberFormat="1" applyFont="1" applyFill="1" applyBorder="1" applyAlignment="1">
      <alignment vertical="center"/>
    </xf>
    <xf numFmtId="4" fontId="12" fillId="0" borderId="11" xfId="43" applyNumberFormat="1" applyFont="1" applyFill="1" applyBorder="1" applyAlignment="1">
      <alignment vertical="center"/>
    </xf>
    <xf numFmtId="3" fontId="12" fillId="0" borderId="11" xfId="43" applyNumberFormat="1" applyFont="1" applyFill="1" applyBorder="1" applyAlignment="1">
      <alignment vertical="center"/>
    </xf>
    <xf numFmtId="4" fontId="12" fillId="0" borderId="11" xfId="42" applyNumberFormat="1" applyFont="1" applyFill="1" applyBorder="1" applyAlignment="1">
      <alignment vertical="center"/>
    </xf>
    <xf numFmtId="3" fontId="12" fillId="0" borderId="11" xfId="42" applyNumberFormat="1" applyFont="1" applyFill="1" applyBorder="1" applyAlignment="1">
      <alignment vertical="center"/>
    </xf>
    <xf numFmtId="2" fontId="12" fillId="0" borderId="11" xfId="42" applyNumberFormat="1" applyFont="1" applyFill="1" applyBorder="1" applyAlignment="1">
      <alignment vertical="center"/>
    </xf>
    <xf numFmtId="4" fontId="12" fillId="0" borderId="11" xfId="43" applyNumberFormat="1" applyFont="1" applyFill="1" applyBorder="1" applyAlignment="1" applyProtection="1">
      <alignment vertical="center"/>
      <protection/>
    </xf>
    <xf numFmtId="0" fontId="12" fillId="0" borderId="11" xfId="56" applyFont="1" applyFill="1" applyBorder="1" applyAlignment="1">
      <alignment vertical="center"/>
      <protection/>
    </xf>
    <xf numFmtId="0" fontId="12" fillId="0" borderId="46" xfId="0" applyFont="1" applyFill="1" applyBorder="1" applyAlignment="1">
      <alignment vertical="center"/>
    </xf>
    <xf numFmtId="0" fontId="12" fillId="0" borderId="46" xfId="0" applyNumberFormat="1" applyFont="1" applyFill="1" applyBorder="1" applyAlignment="1" applyProtection="1">
      <alignment vertical="center"/>
      <protection/>
    </xf>
    <xf numFmtId="9" fontId="12" fillId="0" borderId="46" xfId="72" applyNumberFormat="1" applyFont="1" applyFill="1" applyBorder="1" applyAlignment="1" applyProtection="1">
      <alignment vertical="center"/>
      <protection/>
    </xf>
    <xf numFmtId="4" fontId="12" fillId="0" borderId="46" xfId="72" applyNumberFormat="1" applyFont="1" applyFill="1" applyBorder="1" applyAlignment="1" applyProtection="1">
      <alignment vertical="center"/>
      <protection/>
    </xf>
    <xf numFmtId="3" fontId="12" fillId="0" borderId="46" xfId="72" applyNumberFormat="1" applyFont="1" applyFill="1" applyBorder="1" applyAlignment="1" applyProtection="1">
      <alignment vertical="center"/>
      <protection/>
    </xf>
    <xf numFmtId="2" fontId="12" fillId="0" borderId="46" xfId="72" applyNumberFormat="1" applyFont="1" applyFill="1" applyBorder="1" applyAlignment="1" applyProtection="1">
      <alignment vertical="center"/>
      <protection/>
    </xf>
    <xf numFmtId="4" fontId="12" fillId="0" borderId="46" xfId="43" applyNumberFormat="1" applyFont="1" applyFill="1" applyBorder="1" applyAlignment="1" applyProtection="1">
      <alignment vertical="center"/>
      <protection locked="0"/>
    </xf>
    <xf numFmtId="3" fontId="12" fillId="0" borderId="46" xfId="43" applyNumberFormat="1" applyFont="1" applyFill="1" applyBorder="1" applyAlignment="1" applyProtection="1">
      <alignment vertical="center"/>
      <protection locked="0"/>
    </xf>
    <xf numFmtId="2" fontId="12" fillId="0" borderId="47" xfId="0" applyNumberFormat="1" applyFont="1" applyFill="1" applyBorder="1" applyAlignment="1" applyProtection="1">
      <alignment vertical="center"/>
      <protection/>
    </xf>
    <xf numFmtId="0" fontId="82" fillId="33" borderId="48" xfId="0" applyFont="1" applyFill="1" applyBorder="1" applyAlignment="1" applyProtection="1">
      <alignment vertical="center"/>
      <protection/>
    </xf>
    <xf numFmtId="0" fontId="81" fillId="36" borderId="17" xfId="0" applyNumberFormat="1" applyFont="1" applyFill="1" applyBorder="1" applyAlignment="1" applyProtection="1">
      <alignment vertical="center"/>
      <protection/>
    </xf>
    <xf numFmtId="0" fontId="81" fillId="0" borderId="20" xfId="0" applyNumberFormat="1" applyFont="1" applyFill="1" applyBorder="1" applyAlignment="1" applyProtection="1">
      <alignment vertical="center"/>
      <protection/>
    </xf>
    <xf numFmtId="0" fontId="81" fillId="36" borderId="20" xfId="0" applyNumberFormat="1" applyFont="1" applyFill="1" applyBorder="1" applyAlignment="1" applyProtection="1">
      <alignment vertical="center"/>
      <protection/>
    </xf>
    <xf numFmtId="0" fontId="81" fillId="33" borderId="20" xfId="0" applyNumberFormat="1" applyFont="1" applyFill="1" applyBorder="1" applyAlignment="1" applyProtection="1">
      <alignment vertical="center"/>
      <protection/>
    </xf>
    <xf numFmtId="0" fontId="12" fillId="33" borderId="20" xfId="0" applyFont="1" applyFill="1" applyBorder="1" applyAlignment="1" applyProtection="1">
      <alignment vertical="center"/>
      <protection/>
    </xf>
    <xf numFmtId="0" fontId="81" fillId="0" borderId="49" xfId="0" applyFont="1" applyFill="1" applyBorder="1" applyAlignment="1" applyProtection="1">
      <alignment vertical="center"/>
      <protection/>
    </xf>
    <xf numFmtId="0" fontId="81" fillId="0" borderId="20" xfId="0" applyFont="1" applyFill="1" applyBorder="1" applyAlignment="1" applyProtection="1">
      <alignment vertical="center"/>
      <protection/>
    </xf>
    <xf numFmtId="4" fontId="83" fillId="16" borderId="11" xfId="44" applyNumberFormat="1" applyFont="1" applyFill="1" applyBorder="1" applyAlignment="1" applyProtection="1">
      <alignment vertical="center"/>
      <protection locked="0"/>
    </xf>
    <xf numFmtId="3" fontId="83" fillId="16" borderId="11" xfId="44" applyNumberFormat="1" applyFont="1" applyFill="1" applyBorder="1" applyAlignment="1" applyProtection="1">
      <alignment vertical="center"/>
      <protection locked="0"/>
    </xf>
    <xf numFmtId="4" fontId="83" fillId="16" borderId="11" xfId="0" applyNumberFormat="1" applyFont="1" applyFill="1" applyBorder="1" applyAlignment="1">
      <alignment vertical="center"/>
    </xf>
    <xf numFmtId="3" fontId="83" fillId="16" borderId="11" xfId="0" applyNumberFormat="1" applyFont="1" applyFill="1" applyBorder="1" applyAlignment="1">
      <alignment vertical="center"/>
    </xf>
    <xf numFmtId="4" fontId="83" fillId="16" borderId="11" xfId="40" applyNumberFormat="1" applyFont="1" applyFill="1" applyBorder="1" applyAlignment="1" applyProtection="1">
      <alignment vertical="center"/>
      <protection/>
    </xf>
    <xf numFmtId="3" fontId="83" fillId="16" borderId="11" xfId="40" applyNumberFormat="1" applyFont="1" applyFill="1" applyBorder="1" applyAlignment="1" applyProtection="1">
      <alignment vertical="center"/>
      <protection/>
    </xf>
    <xf numFmtId="4" fontId="83" fillId="16" borderId="11" xfId="40" applyNumberFormat="1" applyFont="1" applyFill="1" applyBorder="1" applyAlignment="1" applyProtection="1">
      <alignment vertical="center"/>
      <protection locked="0"/>
    </xf>
    <xf numFmtId="3" fontId="83" fillId="16" borderId="11" xfId="40" applyNumberFormat="1" applyFont="1" applyFill="1" applyBorder="1" applyAlignment="1" applyProtection="1">
      <alignment vertical="center"/>
      <protection locked="0"/>
    </xf>
    <xf numFmtId="4" fontId="83" fillId="16" borderId="11" xfId="43" applyNumberFormat="1" applyFont="1" applyFill="1" applyBorder="1" applyAlignment="1" applyProtection="1">
      <alignment vertical="center"/>
      <protection locked="0"/>
    </xf>
    <xf numFmtId="3" fontId="83" fillId="16" borderId="11" xfId="43" applyNumberFormat="1" applyFont="1" applyFill="1" applyBorder="1" applyAlignment="1" applyProtection="1">
      <alignment vertical="center"/>
      <protection locked="0"/>
    </xf>
    <xf numFmtId="4" fontId="83" fillId="16" borderId="11" xfId="42" applyNumberFormat="1" applyFont="1" applyFill="1" applyBorder="1" applyAlignment="1" applyProtection="1">
      <alignment vertical="center"/>
      <protection locked="0"/>
    </xf>
    <xf numFmtId="3" fontId="83" fillId="16" borderId="11" xfId="42" applyNumberFormat="1" applyFont="1" applyFill="1" applyBorder="1" applyAlignment="1" applyProtection="1">
      <alignment vertical="center"/>
      <protection locked="0"/>
    </xf>
    <xf numFmtId="0" fontId="12" fillId="33" borderId="16" xfId="0" applyFont="1" applyFill="1" applyBorder="1" applyAlignment="1" applyProtection="1">
      <alignment vertical="center"/>
      <protection/>
    </xf>
    <xf numFmtId="0" fontId="81" fillId="33" borderId="48" xfId="0" applyNumberFormat="1" applyFont="1" applyFill="1" applyBorder="1" applyAlignment="1" applyProtection="1">
      <alignment vertical="center"/>
      <protection/>
    </xf>
    <xf numFmtId="0" fontId="81" fillId="33" borderId="24" xfId="0" applyNumberFormat="1" applyFont="1" applyFill="1" applyBorder="1" applyAlignment="1" applyProtection="1">
      <alignment vertical="center"/>
      <protection/>
    </xf>
    <xf numFmtId="167" fontId="81" fillId="33" borderId="44" xfId="0" applyNumberFormat="1" applyFont="1" applyFill="1" applyBorder="1" applyAlignment="1" applyProtection="1">
      <alignment vertical="center"/>
      <protection/>
    </xf>
    <xf numFmtId="0" fontId="81" fillId="38" borderId="46" xfId="0" applyNumberFormat="1" applyFont="1" applyFill="1" applyBorder="1" applyAlignment="1" applyProtection="1">
      <alignment vertical="center"/>
      <protection/>
    </xf>
    <xf numFmtId="0" fontId="81" fillId="33" borderId="49" xfId="0" applyNumberFormat="1" applyFont="1" applyFill="1" applyBorder="1" applyAlignment="1" applyProtection="1">
      <alignment vertical="center"/>
      <protection/>
    </xf>
    <xf numFmtId="0" fontId="81" fillId="0" borderId="23" xfId="0" applyNumberFormat="1" applyFont="1" applyFill="1" applyBorder="1" applyAlignment="1" applyProtection="1">
      <alignment vertical="center"/>
      <protection/>
    </xf>
    <xf numFmtId="164" fontId="12" fillId="0" borderId="44" xfId="0" applyNumberFormat="1" applyFont="1" applyFill="1" applyBorder="1" applyAlignment="1" applyProtection="1">
      <alignment vertical="center"/>
      <protection/>
    </xf>
    <xf numFmtId="4" fontId="12" fillId="0" borderId="44" xfId="43" applyNumberFormat="1" applyFont="1" applyFill="1" applyBorder="1" applyAlignment="1" applyProtection="1">
      <alignment vertical="center"/>
      <protection locked="0"/>
    </xf>
    <xf numFmtId="3" fontId="12" fillId="0" borderId="44" xfId="43" applyNumberFormat="1" applyFont="1" applyFill="1" applyBorder="1" applyAlignment="1" applyProtection="1">
      <alignment vertical="center"/>
      <protection locked="0"/>
    </xf>
    <xf numFmtId="4" fontId="12" fillId="0" borderId="44" xfId="0" applyNumberFormat="1" applyFont="1" applyFill="1" applyBorder="1" applyAlignment="1">
      <alignment vertical="center"/>
    </xf>
    <xf numFmtId="3" fontId="12" fillId="0" borderId="44" xfId="0" applyNumberFormat="1" applyFont="1" applyFill="1" applyBorder="1" applyAlignment="1">
      <alignment vertical="center"/>
    </xf>
    <xf numFmtId="4" fontId="12" fillId="0" borderId="44" xfId="72" applyNumberFormat="1" applyFont="1" applyFill="1" applyBorder="1" applyAlignment="1" applyProtection="1">
      <alignment vertical="center"/>
      <protection/>
    </xf>
    <xf numFmtId="4" fontId="83" fillId="16" borderId="44" xfId="42" applyNumberFormat="1" applyFont="1" applyFill="1" applyBorder="1" applyAlignment="1" applyProtection="1">
      <alignment vertical="center"/>
      <protection locked="0"/>
    </xf>
    <xf numFmtId="3" fontId="83" fillId="16" borderId="44" xfId="42" applyNumberFormat="1" applyFont="1" applyFill="1" applyBorder="1" applyAlignment="1" applyProtection="1">
      <alignment vertical="center"/>
      <protection locked="0"/>
    </xf>
    <xf numFmtId="3" fontId="12" fillId="0" borderId="44" xfId="42" applyNumberFormat="1" applyFont="1" applyFill="1" applyBorder="1" applyAlignment="1" applyProtection="1">
      <alignment vertical="center"/>
      <protection locked="0"/>
    </xf>
    <xf numFmtId="167" fontId="12" fillId="0" borderId="46" xfId="0" applyNumberFormat="1" applyFont="1" applyFill="1" applyBorder="1" applyAlignment="1">
      <alignment vertical="center"/>
    </xf>
    <xf numFmtId="164" fontId="12" fillId="0" borderId="46" xfId="0" applyNumberFormat="1" applyFont="1" applyFill="1" applyBorder="1" applyAlignment="1">
      <alignment vertical="center"/>
    </xf>
    <xf numFmtId="4" fontId="12" fillId="0" borderId="46" xfId="43" applyNumberFormat="1" applyFont="1" applyFill="1" applyBorder="1" applyAlignment="1">
      <alignment vertical="center"/>
    </xf>
    <xf numFmtId="3" fontId="12" fillId="0" borderId="46" xfId="43" applyNumberFormat="1" applyFont="1" applyFill="1" applyBorder="1" applyAlignment="1">
      <alignment vertical="center"/>
    </xf>
    <xf numFmtId="4" fontId="12" fillId="0" borderId="46" xfId="0" applyNumberFormat="1" applyFont="1" applyFill="1" applyBorder="1" applyAlignment="1">
      <alignment vertical="center"/>
    </xf>
    <xf numFmtId="3" fontId="12" fillId="0" borderId="46" xfId="0" applyNumberFormat="1" applyFont="1" applyFill="1" applyBorder="1" applyAlignment="1">
      <alignment vertical="center"/>
    </xf>
    <xf numFmtId="3" fontId="12" fillId="0" borderId="46" xfId="42" applyNumberFormat="1" applyFont="1" applyFill="1" applyBorder="1" applyAlignment="1">
      <alignment vertical="center"/>
    </xf>
    <xf numFmtId="2" fontId="12" fillId="0" borderId="46" xfId="42" applyNumberFormat="1" applyFont="1" applyFill="1" applyBorder="1" applyAlignment="1">
      <alignment vertical="center"/>
    </xf>
    <xf numFmtId="4" fontId="12" fillId="0" borderId="46" xfId="42" applyNumberFormat="1" applyFont="1" applyFill="1" applyBorder="1" applyAlignment="1" applyProtection="1">
      <alignment vertical="center"/>
      <protection/>
    </xf>
    <xf numFmtId="4" fontId="83" fillId="16" borderId="46" xfId="43" applyNumberFormat="1" applyFont="1" applyFill="1" applyBorder="1" applyAlignment="1" applyProtection="1">
      <alignment vertical="center"/>
      <protection locked="0"/>
    </xf>
    <xf numFmtId="3" fontId="83" fillId="16" borderId="46" xfId="43" applyNumberFormat="1" applyFont="1" applyFill="1" applyBorder="1" applyAlignment="1" applyProtection="1">
      <alignment vertical="center"/>
      <protection locked="0"/>
    </xf>
    <xf numFmtId="2" fontId="12" fillId="0" borderId="47" xfId="72" applyNumberFormat="1" applyFont="1" applyFill="1" applyBorder="1" applyAlignment="1" applyProtection="1">
      <alignment vertical="center"/>
      <protection/>
    </xf>
    <xf numFmtId="0" fontId="21" fillId="34" borderId="50" xfId="0" applyFont="1" applyFill="1" applyBorder="1" applyAlignment="1" applyProtection="1">
      <alignment vertical="center"/>
      <protection/>
    </xf>
    <xf numFmtId="1" fontId="12" fillId="0" borderId="46" xfId="0" applyNumberFormat="1" applyFont="1" applyFill="1" applyBorder="1" applyAlignment="1">
      <alignment vertical="center"/>
    </xf>
    <xf numFmtId="4" fontId="12" fillId="0" borderId="46" xfId="40" applyNumberFormat="1" applyFont="1" applyFill="1" applyBorder="1" applyAlignment="1">
      <alignment vertical="center"/>
    </xf>
    <xf numFmtId="3" fontId="12" fillId="0" borderId="46" xfId="40" applyNumberFormat="1" applyFont="1" applyFill="1" applyBorder="1" applyAlignment="1">
      <alignment vertical="center"/>
    </xf>
    <xf numFmtId="4" fontId="83" fillId="16" borderId="46" xfId="0" applyNumberFormat="1" applyFont="1" applyFill="1" applyBorder="1" applyAlignment="1">
      <alignment vertical="center"/>
    </xf>
    <xf numFmtId="3" fontId="83" fillId="16" borderId="46" xfId="0" applyNumberFormat="1" applyFont="1" applyFill="1" applyBorder="1" applyAlignment="1">
      <alignment vertical="center"/>
    </xf>
    <xf numFmtId="0" fontId="12" fillId="10" borderId="11" xfId="0" applyFont="1" applyFill="1" applyBorder="1" applyAlignment="1">
      <alignment vertical="center"/>
    </xf>
    <xf numFmtId="0" fontId="12" fillId="10" borderId="11" xfId="0" applyNumberFormat="1" applyFont="1" applyFill="1" applyBorder="1" applyAlignment="1">
      <alignment vertical="center"/>
    </xf>
    <xf numFmtId="164" fontId="12" fillId="10" borderId="11" xfId="0" applyNumberFormat="1" applyFont="1" applyFill="1" applyBorder="1" applyAlignment="1">
      <alignment vertical="center"/>
    </xf>
    <xf numFmtId="0" fontId="12" fillId="10" borderId="11" xfId="0" applyNumberFormat="1" applyFont="1" applyFill="1" applyBorder="1" applyAlignment="1" applyProtection="1">
      <alignment vertical="center"/>
      <protection/>
    </xf>
    <xf numFmtId="4" fontId="12" fillId="10" borderId="11" xfId="40" applyNumberFormat="1" applyFont="1" applyFill="1" applyBorder="1" applyAlignment="1">
      <alignment vertical="center"/>
    </xf>
    <xf numFmtId="3" fontId="12" fillId="10" borderId="11" xfId="40" applyNumberFormat="1" applyFont="1" applyFill="1" applyBorder="1" applyAlignment="1">
      <alignment vertical="center"/>
    </xf>
    <xf numFmtId="4" fontId="12" fillId="10" borderId="11" xfId="0" applyNumberFormat="1" applyFont="1" applyFill="1" applyBorder="1" applyAlignment="1">
      <alignment vertical="center"/>
    </xf>
    <xf numFmtId="3" fontId="12" fillId="10" borderId="11" xfId="0" applyNumberFormat="1" applyFont="1" applyFill="1" applyBorder="1" applyAlignment="1">
      <alignment vertical="center"/>
    </xf>
    <xf numFmtId="3" fontId="12" fillId="10" borderId="11" xfId="72" applyNumberFormat="1" applyFont="1" applyFill="1" applyBorder="1" applyAlignment="1" applyProtection="1">
      <alignment vertical="center"/>
      <protection/>
    </xf>
    <xf numFmtId="2" fontId="12" fillId="10" borderId="11" xfId="72" applyNumberFormat="1" applyFont="1" applyFill="1" applyBorder="1" applyAlignment="1" applyProtection="1">
      <alignment vertical="center"/>
      <protection/>
    </xf>
    <xf numFmtId="4" fontId="12" fillId="10" borderId="11" xfId="42" applyNumberFormat="1" applyFont="1" applyFill="1" applyBorder="1" applyAlignment="1" applyProtection="1">
      <alignment vertical="center"/>
      <protection/>
    </xf>
    <xf numFmtId="9" fontId="12" fillId="10" borderId="11" xfId="72" applyNumberFormat="1" applyFont="1" applyFill="1" applyBorder="1" applyAlignment="1" applyProtection="1">
      <alignment vertical="center"/>
      <protection/>
    </xf>
    <xf numFmtId="4" fontId="12" fillId="10" borderId="11" xfId="72" applyNumberFormat="1" applyFont="1" applyFill="1" applyBorder="1" applyAlignment="1" applyProtection="1">
      <alignment vertical="center"/>
      <protection/>
    </xf>
    <xf numFmtId="4" fontId="83" fillId="10" borderId="11" xfId="0" applyNumberFormat="1" applyFont="1" applyFill="1" applyBorder="1" applyAlignment="1">
      <alignment vertical="center"/>
    </xf>
    <xf numFmtId="3" fontId="83" fillId="10" borderId="11" xfId="0" applyNumberFormat="1" applyFont="1" applyFill="1" applyBorder="1" applyAlignment="1">
      <alignment vertical="center"/>
    </xf>
    <xf numFmtId="2" fontId="12" fillId="10" borderId="21" xfId="0" applyNumberFormat="1" applyFont="1" applyFill="1" applyBorder="1" applyAlignment="1" applyProtection="1">
      <alignment vertical="center"/>
      <protection/>
    </xf>
    <xf numFmtId="0" fontId="12" fillId="10" borderId="11" xfId="0" applyFont="1" applyFill="1" applyBorder="1" applyAlignment="1" applyProtection="1">
      <alignment vertical="center"/>
      <protection locked="0"/>
    </xf>
    <xf numFmtId="4" fontId="12" fillId="10" borderId="11" xfId="40" applyNumberFormat="1" applyFont="1" applyFill="1" applyBorder="1" applyAlignment="1" applyProtection="1">
      <alignment vertical="center"/>
      <protection locked="0"/>
    </xf>
    <xf numFmtId="3" fontId="12" fillId="10" borderId="11" xfId="40" applyNumberFormat="1" applyFont="1" applyFill="1" applyBorder="1" applyAlignment="1" applyProtection="1">
      <alignment vertical="center"/>
      <protection locked="0"/>
    </xf>
    <xf numFmtId="4" fontId="12" fillId="10" borderId="11" xfId="42" applyNumberFormat="1" applyFont="1" applyFill="1" applyBorder="1" applyAlignment="1">
      <alignment vertical="center"/>
    </xf>
    <xf numFmtId="4" fontId="83" fillId="10" borderId="11" xfId="44" applyNumberFormat="1" applyFont="1" applyFill="1" applyBorder="1" applyAlignment="1" applyProtection="1">
      <alignment vertical="center"/>
      <protection locked="0"/>
    </xf>
    <xf numFmtId="3" fontId="83" fillId="10" borderId="11" xfId="44" applyNumberFormat="1" applyFont="1" applyFill="1" applyBorder="1" applyAlignment="1" applyProtection="1">
      <alignment vertical="center"/>
      <protection locked="0"/>
    </xf>
    <xf numFmtId="4" fontId="12" fillId="10" borderId="11" xfId="42" applyNumberFormat="1" applyFont="1" applyFill="1" applyBorder="1" applyAlignment="1" applyProtection="1">
      <alignment vertical="center"/>
      <protection locked="0"/>
    </xf>
    <xf numFmtId="4" fontId="12" fillId="10" borderId="11" xfId="44" applyNumberFormat="1" applyFont="1" applyFill="1" applyBorder="1" applyAlignment="1" applyProtection="1">
      <alignment vertical="center"/>
      <protection locked="0"/>
    </xf>
    <xf numFmtId="3" fontId="12" fillId="10" borderId="11" xfId="44" applyNumberFormat="1" applyFont="1" applyFill="1" applyBorder="1" applyAlignment="1" applyProtection="1">
      <alignment vertical="center"/>
      <protection locked="0"/>
    </xf>
    <xf numFmtId="4" fontId="12" fillId="10" borderId="11" xfId="43" applyNumberFormat="1" applyFont="1" applyFill="1" applyBorder="1" applyAlignment="1" applyProtection="1">
      <alignment vertical="center"/>
      <protection locked="0"/>
    </xf>
    <xf numFmtId="3" fontId="12" fillId="10" borderId="11" xfId="43" applyNumberFormat="1" applyFont="1" applyFill="1" applyBorder="1" applyAlignment="1" applyProtection="1">
      <alignment vertical="center"/>
      <protection locked="0"/>
    </xf>
    <xf numFmtId="4" fontId="83" fillId="10" borderId="11" xfId="42" applyNumberFormat="1" applyFont="1" applyFill="1" applyBorder="1" applyAlignment="1" applyProtection="1">
      <alignment vertical="center"/>
      <protection locked="0"/>
    </xf>
    <xf numFmtId="3" fontId="83" fillId="10" borderId="11" xfId="42" applyNumberFormat="1" applyFont="1" applyFill="1" applyBorder="1" applyAlignment="1" applyProtection="1">
      <alignment vertical="center"/>
      <protection locked="0"/>
    </xf>
    <xf numFmtId="3" fontId="12" fillId="10" borderId="11" xfId="42" applyNumberFormat="1" applyFont="1" applyFill="1" applyBorder="1" applyAlignment="1" applyProtection="1">
      <alignment vertical="center"/>
      <protection locked="0"/>
    </xf>
    <xf numFmtId="0" fontId="12" fillId="10" borderId="11" xfId="0" applyFont="1" applyFill="1" applyBorder="1" applyAlignment="1" applyProtection="1">
      <alignment vertical="center"/>
      <protection/>
    </xf>
    <xf numFmtId="167" fontId="12" fillId="10" borderId="11" xfId="0" applyNumberFormat="1" applyFont="1" applyFill="1" applyBorder="1" applyAlignment="1">
      <alignment vertical="center"/>
    </xf>
    <xf numFmtId="4" fontId="12" fillId="10" borderId="11" xfId="43" applyNumberFormat="1" applyFont="1" applyFill="1" applyBorder="1" applyAlignment="1">
      <alignment vertical="center"/>
    </xf>
    <xf numFmtId="3" fontId="12" fillId="10" borderId="11" xfId="43" applyNumberFormat="1" applyFont="1" applyFill="1" applyBorder="1" applyAlignment="1">
      <alignment vertical="center"/>
    </xf>
    <xf numFmtId="3" fontId="12" fillId="10" borderId="11" xfId="42" applyNumberFormat="1" applyFont="1" applyFill="1" applyBorder="1" applyAlignment="1">
      <alignment vertical="center"/>
    </xf>
    <xf numFmtId="2" fontId="12" fillId="10" borderId="11" xfId="42" applyNumberFormat="1" applyFont="1" applyFill="1" applyBorder="1" applyAlignment="1">
      <alignment vertical="center"/>
    </xf>
    <xf numFmtId="4" fontId="83" fillId="10" borderId="11" xfId="43" applyNumberFormat="1" applyFont="1" applyFill="1" applyBorder="1" applyAlignment="1" applyProtection="1">
      <alignment vertical="center"/>
      <protection locked="0"/>
    </xf>
    <xf numFmtId="3" fontId="83" fillId="10" borderId="11" xfId="43" applyNumberFormat="1" applyFont="1" applyFill="1" applyBorder="1" applyAlignment="1" applyProtection="1">
      <alignment vertical="center"/>
      <protection locked="0"/>
    </xf>
    <xf numFmtId="0" fontId="29" fillId="0" borderId="16" xfId="0" applyNumberFormat="1" applyFont="1" applyFill="1" applyBorder="1" applyAlignment="1" applyProtection="1">
      <alignment vertical="center"/>
      <protection/>
    </xf>
    <xf numFmtId="0" fontId="29" fillId="0" borderId="19" xfId="0" applyFont="1" applyFill="1" applyBorder="1" applyAlignment="1">
      <alignment vertical="center"/>
    </xf>
    <xf numFmtId="0" fontId="29" fillId="0" borderId="19" xfId="0" applyFont="1" applyFill="1" applyBorder="1" applyAlignment="1" applyProtection="1">
      <alignment vertical="center"/>
      <protection locked="0"/>
    </xf>
    <xf numFmtId="167" fontId="29" fillId="0" borderId="19" xfId="0" applyNumberFormat="1" applyFont="1" applyFill="1" applyBorder="1" applyAlignment="1">
      <alignment vertical="center"/>
    </xf>
    <xf numFmtId="0" fontId="29" fillId="0" borderId="19" xfId="0" applyNumberFormat="1" applyFont="1" applyFill="1" applyBorder="1" applyAlignment="1" applyProtection="1">
      <alignment vertical="center"/>
      <protection/>
    </xf>
    <xf numFmtId="0" fontId="29" fillId="10" borderId="19" xfId="0" applyNumberFormat="1" applyFont="1" applyFill="1" applyBorder="1" applyAlignment="1">
      <alignment vertical="center"/>
    </xf>
    <xf numFmtId="0" fontId="29" fillId="10" borderId="19" xfId="0" applyNumberFormat="1" applyFont="1" applyFill="1" applyBorder="1" applyAlignment="1" applyProtection="1">
      <alignment vertical="center"/>
      <protection/>
    </xf>
    <xf numFmtId="0" fontId="29" fillId="0" borderId="19" xfId="0" applyNumberFormat="1" applyFont="1" applyFill="1" applyBorder="1" applyAlignment="1">
      <alignment vertical="center"/>
    </xf>
    <xf numFmtId="167" fontId="29" fillId="10" borderId="19" xfId="0" applyNumberFormat="1" applyFont="1" applyFill="1" applyBorder="1" applyAlignment="1">
      <alignment vertical="center"/>
    </xf>
    <xf numFmtId="0" fontId="29" fillId="0" borderId="24" xfId="0" applyFont="1" applyFill="1" applyBorder="1" applyAlignment="1">
      <alignment vertical="center"/>
    </xf>
    <xf numFmtId="4" fontId="12" fillId="8" borderId="11" xfId="43" applyNumberFormat="1" applyFont="1" applyFill="1" applyBorder="1" applyAlignment="1" applyProtection="1">
      <alignment vertical="center"/>
      <protection locked="0"/>
    </xf>
    <xf numFmtId="3" fontId="12" fillId="8" borderId="11" xfId="43" applyNumberFormat="1" applyFont="1" applyFill="1" applyBorder="1" applyAlignment="1" applyProtection="1">
      <alignment vertical="center"/>
      <protection locked="0"/>
    </xf>
    <xf numFmtId="167" fontId="12" fillId="0" borderId="11" xfId="0" applyNumberFormat="1" applyFont="1" applyFill="1" applyBorder="1" applyAlignment="1">
      <alignment horizontal="left" vertical="center"/>
    </xf>
    <xf numFmtId="167" fontId="12" fillId="0" borderId="11" xfId="0" applyNumberFormat="1" applyFont="1" applyFill="1" applyBorder="1" applyAlignment="1" applyProtection="1">
      <alignment horizontal="left" vertical="center"/>
      <protection/>
    </xf>
    <xf numFmtId="4" fontId="12" fillId="0" borderId="11" xfId="0" applyNumberFormat="1" applyFont="1" applyFill="1" applyBorder="1" applyAlignment="1" applyProtection="1">
      <alignment vertical="center"/>
      <protection/>
    </xf>
    <xf numFmtId="167" fontId="12" fillId="0" borderId="11" xfId="0" applyNumberFormat="1" applyFont="1" applyFill="1" applyBorder="1" applyAlignment="1">
      <alignment horizontal="left" vertical="center" shrinkToFit="1"/>
    </xf>
    <xf numFmtId="0" fontId="12" fillId="0" borderId="11" xfId="0" applyFont="1" applyFill="1" applyBorder="1" applyAlignment="1" applyProtection="1">
      <alignment horizontal="left" vertical="center" shrinkToFit="1"/>
      <protection locked="0"/>
    </xf>
    <xf numFmtId="0" fontId="12" fillId="0" borderId="11" xfId="0" applyNumberFormat="1" applyFont="1" applyFill="1" applyBorder="1" applyAlignment="1" applyProtection="1">
      <alignment horizontal="left" vertical="center"/>
      <protection/>
    </xf>
    <xf numFmtId="49" fontId="12" fillId="0" borderId="11" xfId="0" applyNumberFormat="1" applyFont="1" applyFill="1" applyBorder="1" applyAlignment="1">
      <alignment horizontal="left" vertical="center" shrinkToFit="1"/>
    </xf>
    <xf numFmtId="0" fontId="12" fillId="0" borderId="11" xfId="56" applyFont="1" applyFill="1" applyBorder="1" applyAlignment="1">
      <alignment horizontal="left" vertical="center"/>
      <protection/>
    </xf>
    <xf numFmtId="0" fontId="12" fillId="0" borderId="11" xfId="56" applyFont="1" applyFill="1" applyBorder="1" applyAlignment="1" applyProtection="1">
      <alignment horizontal="left" vertical="center"/>
      <protection/>
    </xf>
    <xf numFmtId="0" fontId="12" fillId="0" borderId="11" xfId="58" applyFont="1" applyFill="1" applyBorder="1" applyAlignment="1" applyProtection="1">
      <alignment horizontal="left" vertical="center"/>
      <protection locked="0"/>
    </xf>
    <xf numFmtId="164" fontId="12" fillId="0" borderId="11" xfId="58" applyNumberFormat="1" applyFont="1" applyFill="1" applyBorder="1" applyAlignment="1" applyProtection="1">
      <alignment horizontal="center" vertical="center"/>
      <protection locked="0"/>
    </xf>
    <xf numFmtId="0" fontId="12" fillId="0" borderId="11" xfId="58" applyFont="1" applyFill="1" applyBorder="1" applyAlignment="1" applyProtection="1">
      <alignment vertical="center"/>
      <protection locked="0"/>
    </xf>
    <xf numFmtId="3" fontId="12" fillId="0" borderId="11" xfId="58" applyNumberFormat="1" applyFont="1" applyFill="1" applyBorder="1" applyAlignment="1">
      <alignment vertical="center"/>
      <protection/>
    </xf>
    <xf numFmtId="0" fontId="12" fillId="0" borderId="11" xfId="56" applyNumberFormat="1" applyFont="1" applyFill="1" applyBorder="1" applyAlignment="1" applyProtection="1">
      <alignment horizontal="left" vertical="center"/>
      <protection/>
    </xf>
    <xf numFmtId="4" fontId="12" fillId="0" borderId="11" xfId="53" applyNumberFormat="1" applyFont="1" applyFill="1" applyBorder="1" applyAlignment="1" applyProtection="1">
      <alignment vertical="center"/>
      <protection/>
    </xf>
    <xf numFmtId="3" fontId="12" fillId="0" borderId="11" xfId="53" applyNumberFormat="1" applyFont="1" applyFill="1" applyBorder="1" applyAlignment="1" applyProtection="1">
      <alignment vertical="center"/>
      <protection/>
    </xf>
    <xf numFmtId="14" fontId="12" fillId="0" borderId="11" xfId="58" applyNumberFormat="1" applyFont="1" applyFill="1" applyBorder="1" applyAlignment="1">
      <alignment vertical="center"/>
      <protection/>
    </xf>
    <xf numFmtId="0" fontId="12" fillId="0" borderId="11" xfId="58" applyFont="1" applyFill="1" applyBorder="1" applyAlignment="1">
      <alignment vertical="center"/>
      <protection/>
    </xf>
    <xf numFmtId="4" fontId="12" fillId="0" borderId="11" xfId="58" applyNumberFormat="1" applyFont="1" applyFill="1" applyBorder="1" applyAlignment="1">
      <alignment vertical="center"/>
      <protection/>
    </xf>
    <xf numFmtId="0" fontId="12" fillId="0" borderId="11" xfId="58" applyNumberFormat="1" applyFont="1" applyFill="1" applyBorder="1" applyAlignment="1" applyProtection="1">
      <alignment horizontal="left" vertical="center"/>
      <protection locked="0"/>
    </xf>
    <xf numFmtId="49" fontId="12" fillId="0" borderId="11" xfId="58" applyNumberFormat="1" applyFont="1" applyFill="1" applyBorder="1" applyAlignment="1" applyProtection="1">
      <alignment vertical="center"/>
      <protection locked="0"/>
    </xf>
    <xf numFmtId="0" fontId="12" fillId="0" borderId="11" xfId="58" applyNumberFormat="1" applyFont="1" applyFill="1" applyBorder="1" applyAlignment="1" applyProtection="1">
      <alignment vertical="center"/>
      <protection locked="0"/>
    </xf>
    <xf numFmtId="4" fontId="12" fillId="0" borderId="11" xfId="58" applyNumberFormat="1" applyFont="1" applyFill="1" applyBorder="1" applyAlignment="1" applyProtection="1">
      <alignment vertical="center"/>
      <protection locked="0"/>
    </xf>
    <xf numFmtId="3" fontId="12" fillId="0" borderId="11" xfId="58" applyNumberFormat="1" applyFont="1" applyFill="1" applyBorder="1" applyAlignment="1" applyProtection="1">
      <alignment vertical="center"/>
      <protection locked="0"/>
    </xf>
    <xf numFmtId="49" fontId="12" fillId="0" borderId="11" xfId="0" applyNumberFormat="1" applyFont="1" applyFill="1" applyBorder="1" applyAlignment="1">
      <alignment horizontal="left" vertical="center"/>
    </xf>
    <xf numFmtId="0" fontId="12" fillId="0" borderId="11" xfId="58" applyNumberFormat="1" applyFont="1" applyFill="1" applyBorder="1" applyAlignment="1">
      <alignment horizontal="left" vertical="center"/>
      <protection/>
    </xf>
    <xf numFmtId="0" fontId="12" fillId="0" borderId="11" xfId="58" applyNumberFormat="1" applyFont="1" applyFill="1" applyBorder="1" applyAlignment="1">
      <alignment vertical="center"/>
      <protection/>
    </xf>
    <xf numFmtId="3" fontId="12" fillId="0" borderId="11" xfId="0" applyNumberFormat="1" applyFont="1" applyFill="1" applyBorder="1" applyAlignment="1" applyProtection="1">
      <alignment vertical="center"/>
      <protection/>
    </xf>
    <xf numFmtId="0" fontId="12" fillId="0" borderId="16" xfId="56" applyFont="1" applyFill="1" applyBorder="1" applyAlignment="1">
      <alignment horizontal="left" vertical="center"/>
      <protection/>
    </xf>
    <xf numFmtId="0" fontId="12" fillId="0" borderId="44" xfId="56" applyFont="1" applyFill="1" applyBorder="1" applyAlignment="1">
      <alignment horizontal="left" vertical="center"/>
      <protection/>
    </xf>
    <xf numFmtId="164" fontId="12" fillId="0" borderId="44" xfId="0" applyNumberFormat="1" applyFont="1" applyFill="1" applyBorder="1" applyAlignment="1">
      <alignment horizontal="center" vertical="center"/>
    </xf>
    <xf numFmtId="0" fontId="12" fillId="0" borderId="19" xfId="56" applyFont="1" applyFill="1" applyBorder="1" applyAlignment="1">
      <alignment horizontal="left" vertical="center"/>
      <protection/>
    </xf>
    <xf numFmtId="0" fontId="12" fillId="0" borderId="19" xfId="56" applyFont="1" applyFill="1" applyBorder="1" applyAlignment="1" applyProtection="1">
      <alignment horizontal="left" vertical="center"/>
      <protection/>
    </xf>
    <xf numFmtId="2" fontId="12" fillId="0" borderId="21" xfId="0" applyNumberFormat="1" applyFont="1" applyFill="1" applyBorder="1" applyAlignment="1">
      <alignment vertical="center"/>
    </xf>
    <xf numFmtId="0" fontId="12" fillId="0" borderId="19" xfId="58" applyFont="1" applyFill="1" applyBorder="1" applyAlignment="1" applyProtection="1">
      <alignment horizontal="left" vertical="center"/>
      <protection locked="0"/>
    </xf>
    <xf numFmtId="0" fontId="12" fillId="0" borderId="19" xfId="56" applyNumberFormat="1" applyFont="1" applyFill="1" applyBorder="1" applyAlignment="1" applyProtection="1">
      <alignment horizontal="left" vertical="center"/>
      <protection/>
    </xf>
    <xf numFmtId="2" fontId="12" fillId="0" borderId="21" xfId="43" applyNumberFormat="1" applyFont="1" applyFill="1" applyBorder="1" applyAlignment="1" applyProtection="1">
      <alignment vertical="center"/>
      <protection/>
    </xf>
    <xf numFmtId="49" fontId="12" fillId="0" borderId="19" xfId="0" applyNumberFormat="1" applyFont="1" applyFill="1" applyBorder="1" applyAlignment="1" applyProtection="1">
      <alignment horizontal="left" vertical="center"/>
      <protection locked="0"/>
    </xf>
    <xf numFmtId="0" fontId="12" fillId="0" borderId="19" xfId="58" applyNumberFormat="1" applyFont="1" applyFill="1" applyBorder="1" applyAlignment="1" applyProtection="1">
      <alignment horizontal="left" vertical="center"/>
      <protection locked="0"/>
    </xf>
    <xf numFmtId="49" fontId="12" fillId="0" borderId="19" xfId="0" applyNumberFormat="1" applyFont="1" applyFill="1" applyBorder="1" applyAlignment="1">
      <alignment horizontal="left" vertical="center"/>
    </xf>
    <xf numFmtId="0" fontId="12" fillId="0" borderId="19" xfId="58" applyNumberFormat="1" applyFont="1" applyFill="1" applyBorder="1" applyAlignment="1">
      <alignment horizontal="left" vertical="center"/>
      <protection/>
    </xf>
    <xf numFmtId="0" fontId="12" fillId="0" borderId="24" xfId="0" applyNumberFormat="1" applyFont="1" applyFill="1" applyBorder="1" applyAlignment="1">
      <alignment horizontal="left" vertical="center"/>
    </xf>
    <xf numFmtId="0" fontId="12" fillId="0" borderId="46" xfId="0" applyNumberFormat="1" applyFont="1" applyFill="1" applyBorder="1" applyAlignment="1">
      <alignment horizontal="left" vertical="center"/>
    </xf>
    <xf numFmtId="0" fontId="12" fillId="0" borderId="46" xfId="0" applyNumberFormat="1" applyFont="1" applyFill="1" applyBorder="1" applyAlignment="1">
      <alignment vertical="center"/>
    </xf>
    <xf numFmtId="49" fontId="12" fillId="0" borderId="11" xfId="0" applyNumberFormat="1" applyFont="1" applyFill="1" applyBorder="1" applyAlignment="1" applyProtection="1">
      <alignment horizontal="right" vertical="center"/>
      <protection locked="0"/>
    </xf>
    <xf numFmtId="0" fontId="12" fillId="0" borderId="51" xfId="0" applyFont="1" applyFill="1" applyBorder="1" applyAlignment="1" applyProtection="1">
      <alignment horizontal="right" vertical="center"/>
      <protection locked="0"/>
    </xf>
    <xf numFmtId="0" fontId="12" fillId="0" borderId="51" xfId="0" applyNumberFormat="1" applyFont="1" applyFill="1" applyBorder="1" applyAlignment="1" applyProtection="1">
      <alignment horizontal="right" vertical="center"/>
      <protection locked="0"/>
    </xf>
    <xf numFmtId="0" fontId="12" fillId="0" borderId="51" xfId="55" applyFont="1" applyFill="1" applyBorder="1" applyAlignment="1">
      <alignment horizontal="right" vertical="center" shrinkToFit="1"/>
      <protection/>
    </xf>
    <xf numFmtId="0" fontId="19" fillId="34" borderId="10" xfId="0" applyFont="1" applyFill="1" applyBorder="1" applyAlignment="1" applyProtection="1">
      <alignment horizontal="center" vertical="center" wrapText="1"/>
      <protection/>
    </xf>
    <xf numFmtId="0" fontId="79" fillId="34" borderId="10"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164" fontId="15" fillId="33" borderId="52" xfId="0" applyNumberFormat="1" applyFont="1" applyFill="1" applyBorder="1" applyAlignment="1" applyProtection="1">
      <alignment horizontal="left" vertical="center" wrapText="1"/>
      <protection/>
    </xf>
    <xf numFmtId="0" fontId="0" fillId="33" borderId="53" xfId="0" applyFill="1" applyBorder="1" applyAlignment="1" applyProtection="1">
      <alignment vertical="center" wrapText="1"/>
      <protection/>
    </xf>
    <xf numFmtId="0" fontId="0" fillId="33" borderId="54" xfId="0" applyFill="1" applyBorder="1" applyAlignment="1" applyProtection="1">
      <alignment vertical="center" wrapText="1"/>
      <protection/>
    </xf>
    <xf numFmtId="0" fontId="0" fillId="33" borderId="55"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56" xfId="0" applyFill="1" applyBorder="1" applyAlignment="1" applyProtection="1">
      <alignment vertical="center" wrapText="1"/>
      <protection/>
    </xf>
    <xf numFmtId="0" fontId="0" fillId="33" borderId="57" xfId="0" applyFill="1" applyBorder="1" applyAlignment="1" applyProtection="1">
      <alignment vertical="center" wrapText="1"/>
      <protection/>
    </xf>
    <xf numFmtId="0" fontId="0" fillId="33" borderId="12" xfId="0" applyFill="1" applyBorder="1" applyAlignment="1" applyProtection="1">
      <alignment vertical="center" wrapText="1"/>
      <protection/>
    </xf>
    <xf numFmtId="0" fontId="0" fillId="33" borderId="58" xfId="0" applyFill="1" applyBorder="1" applyAlignment="1" applyProtection="1">
      <alignment vertical="center" wrapText="1"/>
      <protection/>
    </xf>
    <xf numFmtId="0" fontId="18" fillId="34" borderId="27" xfId="0" applyFont="1" applyFill="1" applyBorder="1" applyAlignment="1" applyProtection="1">
      <alignment horizontal="center" vertical="center" wrapText="1"/>
      <protection/>
    </xf>
    <xf numFmtId="0" fontId="17" fillId="34" borderId="59" xfId="0" applyFont="1" applyFill="1" applyBorder="1" applyAlignment="1" applyProtection="1">
      <alignment horizontal="center" vertical="center" wrapText="1"/>
      <protection/>
    </xf>
    <xf numFmtId="0" fontId="17" fillId="34" borderId="60" xfId="0" applyFont="1" applyFill="1" applyBorder="1" applyAlignment="1" applyProtection="1">
      <alignment horizontal="center" vertical="center" wrapText="1"/>
      <protection/>
    </xf>
    <xf numFmtId="0" fontId="19" fillId="34" borderId="59" xfId="0" applyFont="1" applyFill="1" applyBorder="1" applyAlignment="1" applyProtection="1">
      <alignment horizontal="center" vertical="center" wrapText="1"/>
      <protection/>
    </xf>
    <xf numFmtId="0" fontId="19" fillId="34" borderId="60" xfId="0" applyFont="1" applyFill="1" applyBorder="1" applyAlignment="1" applyProtection="1">
      <alignment horizontal="center" vertical="center" wrapText="1"/>
      <protection/>
    </xf>
    <xf numFmtId="0" fontId="18" fillId="34" borderId="61" xfId="0" applyFont="1" applyFill="1" applyBorder="1" applyAlignment="1" applyProtection="1">
      <alignment horizontal="center" vertical="center" wrapText="1"/>
      <protection/>
    </xf>
    <xf numFmtId="0" fontId="74" fillId="34" borderId="12" xfId="0" applyFont="1" applyFill="1" applyBorder="1" applyAlignment="1" applyProtection="1">
      <alignment horizontal="right" vertical="center" wrapText="1"/>
      <protection/>
    </xf>
    <xf numFmtId="0" fontId="48" fillId="34" borderId="12" xfId="0" applyFont="1" applyFill="1" applyBorder="1" applyAlignment="1" applyProtection="1">
      <alignment horizontal="right" vertical="center" wrapText="1"/>
      <protection/>
    </xf>
    <xf numFmtId="0" fontId="41" fillId="33" borderId="0" xfId="0" applyFont="1" applyFill="1" applyBorder="1" applyAlignment="1" applyProtection="1">
      <alignment horizontal="center" vertical="center" wrapText="1"/>
      <protection/>
    </xf>
    <xf numFmtId="0" fontId="3" fillId="33" borderId="0" xfId="50" applyFill="1" applyBorder="1" applyAlignment="1" applyProtection="1">
      <alignment horizontal="center" vertical="center" wrapText="1"/>
      <protection/>
    </xf>
    <xf numFmtId="0" fontId="44" fillId="0" borderId="0" xfId="0" applyFont="1" applyBorder="1" applyAlignment="1">
      <alignment horizontal="center" vertical="center" wrapText="1"/>
    </xf>
    <xf numFmtId="1" fontId="66" fillId="33" borderId="0" xfId="0" applyNumberFormat="1" applyFont="1" applyFill="1" applyBorder="1" applyAlignment="1" applyProtection="1">
      <alignment horizontal="center" vertical="center" wrapText="1"/>
      <protection/>
    </xf>
    <xf numFmtId="0" fontId="25" fillId="33" borderId="0" xfId="0" applyFont="1" applyFill="1" applyBorder="1" applyAlignment="1" applyProtection="1">
      <alignment horizontal="center" vertical="center" wrapText="1"/>
      <protection/>
    </xf>
    <xf numFmtId="1" fontId="26" fillId="33" borderId="0" xfId="0" applyNumberFormat="1"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wrapText="1"/>
      <protection/>
    </xf>
    <xf numFmtId="1" fontId="50" fillId="33" borderId="12" xfId="50" applyNumberFormat="1" applyFont="1" applyFill="1" applyBorder="1" applyAlignment="1" applyProtection="1">
      <alignment horizontal="center" vertical="center" wrapText="1"/>
      <protection/>
    </xf>
    <xf numFmtId="0" fontId="49" fillId="33" borderId="12" xfId="0" applyFont="1" applyFill="1" applyBorder="1" applyAlignment="1" applyProtection="1">
      <alignment horizontal="center" vertical="center" wrapText="1"/>
      <protection/>
    </xf>
    <xf numFmtId="0" fontId="74" fillId="34" borderId="53" xfId="0" applyFont="1" applyFill="1" applyBorder="1" applyAlignment="1" applyProtection="1">
      <alignment horizontal="right" vertical="center" wrapText="1"/>
      <protection/>
    </xf>
    <xf numFmtId="0" fontId="48" fillId="34" borderId="53" xfId="0" applyFont="1" applyFill="1" applyBorder="1" applyAlignment="1" applyProtection="1">
      <alignment horizontal="right" vertical="center" wrapText="1"/>
      <protection/>
    </xf>
    <xf numFmtId="0" fontId="70" fillId="33" borderId="26" xfId="0" applyFont="1" applyFill="1" applyBorder="1" applyAlignment="1" applyProtection="1">
      <alignment horizontal="center" vertical="center" wrapText="1"/>
      <protection/>
    </xf>
    <xf numFmtId="0" fontId="73" fillId="0" borderId="27" xfId="0" applyFont="1" applyBorder="1" applyAlignment="1" applyProtection="1">
      <alignment horizontal="center" vertical="center" wrapText="1"/>
      <protection/>
    </xf>
    <xf numFmtId="0" fontId="73" fillId="0" borderId="61" xfId="0" applyFont="1" applyBorder="1" applyAlignment="1" applyProtection="1">
      <alignment horizontal="center" vertical="center" wrapText="1"/>
      <protection/>
    </xf>
    <xf numFmtId="0" fontId="30" fillId="34" borderId="10" xfId="0" applyFont="1" applyFill="1" applyBorder="1" applyAlignment="1" applyProtection="1">
      <alignment horizontal="center" vertical="center" wrapText="1"/>
      <protection/>
    </xf>
    <xf numFmtId="0" fontId="17" fillId="33" borderId="33" xfId="0" applyFont="1" applyFill="1" applyBorder="1" applyAlignment="1" applyProtection="1">
      <alignment horizontal="center" vertical="center" wrapText="1"/>
      <protection/>
    </xf>
    <xf numFmtId="0" fontId="53" fillId="34" borderId="0" xfId="0" applyFont="1" applyFill="1" applyBorder="1" applyAlignment="1" applyProtection="1">
      <alignment horizontal="right" vertical="center" wrapText="1"/>
      <protection/>
    </xf>
    <xf numFmtId="0" fontId="48" fillId="34" borderId="0" xfId="0" applyFont="1" applyFill="1" applyBorder="1" applyAlignment="1" applyProtection="1">
      <alignment horizontal="right" vertical="center" wrapText="1"/>
      <protection/>
    </xf>
    <xf numFmtId="0" fontId="47" fillId="34" borderId="12" xfId="0" applyFont="1" applyFill="1" applyBorder="1" applyAlignment="1" applyProtection="1">
      <alignment horizontal="right" vertical="center" wrapText="1"/>
      <protection/>
    </xf>
    <xf numFmtId="0" fontId="0" fillId="33" borderId="12" xfId="0" applyFill="1" applyBorder="1" applyAlignment="1" applyProtection="1">
      <alignment horizontal="center" vertical="center" wrapText="1"/>
      <protection/>
    </xf>
    <xf numFmtId="1" fontId="34" fillId="33" borderId="0" xfId="0" applyNumberFormat="1" applyFont="1" applyFill="1" applyBorder="1" applyAlignment="1" applyProtection="1">
      <alignment horizontal="center" vertical="center" wrapText="1"/>
      <protection/>
    </xf>
    <xf numFmtId="0" fontId="51" fillId="33" borderId="0" xfId="0" applyFont="1" applyFill="1" applyBorder="1" applyAlignment="1" applyProtection="1">
      <alignment horizontal="center" vertical="center" wrapText="1"/>
      <protection/>
    </xf>
    <xf numFmtId="0" fontId="0" fillId="0" borderId="0" xfId="0" applyAlignment="1">
      <alignment horizontal="center" vertical="center" wrapText="1"/>
    </xf>
    <xf numFmtId="1" fontId="54"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18" fillId="33" borderId="13" xfId="0" applyFont="1" applyFill="1" applyBorder="1" applyAlignment="1" applyProtection="1">
      <alignment horizontal="center" vertical="center" wrapText="1"/>
      <protection/>
    </xf>
    <xf numFmtId="0" fontId="19" fillId="33" borderId="10" xfId="0" applyFont="1" applyFill="1" applyBorder="1" applyAlignment="1" applyProtection="1">
      <alignment horizontal="center" vertical="center" wrapText="1"/>
      <protection/>
    </xf>
    <xf numFmtId="0" fontId="30" fillId="33" borderId="10"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0" fontId="43" fillId="33" borderId="0" xfId="50" applyFont="1" applyFill="1" applyBorder="1" applyAlignment="1" applyProtection="1">
      <alignment horizontal="center" vertical="center" wrapText="1"/>
      <protection/>
    </xf>
    <xf numFmtId="0" fontId="44" fillId="33" borderId="0" xfId="0" applyFont="1" applyFill="1" applyBorder="1" applyAlignment="1">
      <alignment horizontal="center" vertical="center" wrapText="1"/>
    </xf>
    <xf numFmtId="0" fontId="42" fillId="33" borderId="12" xfId="0" applyFont="1" applyFill="1" applyBorder="1" applyAlignment="1" applyProtection="1">
      <alignment horizontal="center" vertical="center" wrapText="1"/>
      <protection/>
    </xf>
    <xf numFmtId="1" fontId="45" fillId="33" borderId="0" xfId="0" applyNumberFormat="1" applyFont="1" applyFill="1" applyBorder="1" applyAlignment="1" applyProtection="1">
      <alignment horizontal="center" vertical="center" wrapText="1"/>
      <protection/>
    </xf>
    <xf numFmtId="0" fontId="46" fillId="33" borderId="0" xfId="0" applyFont="1" applyFill="1" applyBorder="1" applyAlignment="1" applyProtection="1">
      <alignment horizontal="center" vertical="center" wrapText="1"/>
      <protection/>
    </xf>
    <xf numFmtId="0" fontId="55" fillId="33" borderId="0" xfId="0" applyFont="1" applyFill="1" applyBorder="1" applyAlignment="1" applyProtection="1">
      <alignment horizontal="center" vertical="center" wrapText="1"/>
      <protection/>
    </xf>
    <xf numFmtId="0" fontId="53" fillId="34" borderId="53" xfId="0" applyFont="1" applyFill="1" applyBorder="1" applyAlignment="1" applyProtection="1">
      <alignment horizontal="right" vertical="center" wrapText="1"/>
      <protection/>
    </xf>
    <xf numFmtId="0" fontId="56" fillId="33" borderId="12"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wrapText="1"/>
      <protection/>
    </xf>
    <xf numFmtId="1" fontId="68" fillId="33" borderId="0" xfId="0" applyNumberFormat="1" applyFont="1" applyFill="1" applyBorder="1" applyAlignment="1" applyProtection="1">
      <alignment horizontal="center" vertical="center" wrapText="1"/>
      <protection/>
    </xf>
    <xf numFmtId="0" fontId="75" fillId="34" borderId="12" xfId="0" applyFont="1" applyFill="1" applyBorder="1" applyAlignment="1" applyProtection="1">
      <alignment horizontal="right" vertical="center" wrapText="1"/>
      <protection/>
    </xf>
    <xf numFmtId="0" fontId="77" fillId="34" borderId="12" xfId="0" applyFont="1" applyFill="1" applyBorder="1" applyAlignment="1" applyProtection="1">
      <alignment horizontal="right" vertical="center" wrapText="1"/>
      <protection/>
    </xf>
    <xf numFmtId="1" fontId="33" fillId="33" borderId="0" xfId="0" applyNumberFormat="1" applyFont="1" applyFill="1" applyBorder="1" applyAlignment="1" applyProtection="1">
      <alignment horizontal="center" vertical="center" wrapText="1"/>
      <protection/>
    </xf>
    <xf numFmtId="0" fontId="17" fillId="33" borderId="59" xfId="0" applyFont="1" applyFill="1" applyBorder="1" applyAlignment="1" applyProtection="1">
      <alignment horizontal="center" vertical="center" wrapText="1"/>
      <protection/>
    </xf>
    <xf numFmtId="0" fontId="17" fillId="33" borderId="60" xfId="0" applyFont="1" applyFill="1" applyBorder="1" applyAlignment="1" applyProtection="1">
      <alignment horizontal="center" vertical="center" wrapText="1"/>
      <protection/>
    </xf>
    <xf numFmtId="0" fontId="75" fillId="34" borderId="53" xfId="0" applyFont="1" applyFill="1" applyBorder="1" applyAlignment="1" applyProtection="1">
      <alignment horizontal="right" vertical="center" wrapText="1"/>
      <protection/>
    </xf>
    <xf numFmtId="0" fontId="77" fillId="34" borderId="53" xfId="0" applyFont="1" applyFill="1" applyBorder="1" applyAlignment="1" applyProtection="1">
      <alignment horizontal="right" vertical="center" wrapText="1"/>
      <protection/>
    </xf>
    <xf numFmtId="0" fontId="19" fillId="33" borderId="59" xfId="0" applyFont="1" applyFill="1" applyBorder="1" applyAlignment="1" applyProtection="1">
      <alignment horizontal="center" vertical="center" wrapText="1"/>
      <protection/>
    </xf>
    <xf numFmtId="0" fontId="19" fillId="33" borderId="6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cellXfs>
  <cellStyles count="6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Hyperlink" xfId="50"/>
    <cellStyle name="Kötü" xfId="51"/>
    <cellStyle name="Normal 2" xfId="52"/>
    <cellStyle name="Normal 2 10 10" xfId="53"/>
    <cellStyle name="Normal 2 2" xfId="54"/>
    <cellStyle name="Normal 2 2 2" xfId="55"/>
    <cellStyle name="Normal_1-7Şubat,2008" xfId="56"/>
    <cellStyle name="Normal_Ex years releases (Annual)" xfId="57"/>
    <cellStyle name="Normal_Sayfa1" xfId="58"/>
    <cellStyle name="Normal_Sayfa1_2"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 name="Yüzde 2"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26</xdr:col>
      <xdr:colOff>0</xdr:colOff>
      <xdr:row>0</xdr:row>
      <xdr:rowOff>0</xdr:rowOff>
    </xdr:to>
    <xdr:sp fLocksText="0">
      <xdr:nvSpPr>
        <xdr:cNvPr id="1" name="Text Box 1"/>
        <xdr:cNvSpPr txBox="1">
          <a:spLocks noChangeArrowheads="1"/>
        </xdr:cNvSpPr>
      </xdr:nvSpPr>
      <xdr:spPr>
        <a:xfrm>
          <a:off x="0" y="0"/>
          <a:ext cx="101822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466725</xdr:colOff>
      <xdr:row>0</xdr:row>
      <xdr:rowOff>0</xdr:rowOff>
    </xdr:to>
    <xdr:sp fLocksText="0">
      <xdr:nvSpPr>
        <xdr:cNvPr id="2" name="Text Box 2"/>
        <xdr:cNvSpPr txBox="1">
          <a:spLocks noChangeArrowheads="1"/>
        </xdr:cNvSpPr>
      </xdr:nvSpPr>
      <xdr:spPr>
        <a:xfrm>
          <a:off x="9496425" y="0"/>
          <a:ext cx="466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95250</xdr:colOff>
      <xdr:row>3</xdr:row>
      <xdr:rowOff>38100</xdr:rowOff>
    </xdr:from>
    <xdr:to>
      <xdr:col>12</xdr:col>
      <xdr:colOff>514350</xdr:colOff>
      <xdr:row>4</xdr:row>
      <xdr:rowOff>342900</xdr:rowOff>
    </xdr:to>
    <xdr:pic>
      <xdr:nvPicPr>
        <xdr:cNvPr id="3" name="4 Resim" descr="Logo son.png"/>
        <xdr:cNvPicPr preferRelativeResize="1">
          <a:picLocks noChangeAspect="1"/>
        </xdr:cNvPicPr>
      </xdr:nvPicPr>
      <xdr:blipFill>
        <a:blip r:embed="rId1"/>
        <a:stretch>
          <a:fillRect/>
        </a:stretch>
      </xdr:blipFill>
      <xdr:spPr>
        <a:xfrm>
          <a:off x="6743700" y="1495425"/>
          <a:ext cx="26860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20</xdr:col>
      <xdr:colOff>0</xdr:colOff>
      <xdr:row>0</xdr:row>
      <xdr:rowOff>0</xdr:rowOff>
    </xdr:to>
    <xdr:sp fLocksText="0">
      <xdr:nvSpPr>
        <xdr:cNvPr id="1" name="Text Box 1"/>
        <xdr:cNvSpPr txBox="1">
          <a:spLocks noChangeArrowheads="1"/>
        </xdr:cNvSpPr>
      </xdr:nvSpPr>
      <xdr:spPr>
        <a:xfrm>
          <a:off x="0" y="0"/>
          <a:ext cx="148590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133350</xdr:colOff>
      <xdr:row>0</xdr:row>
      <xdr:rowOff>0</xdr:rowOff>
    </xdr:from>
    <xdr:to>
      <xdr:col>19</xdr:col>
      <xdr:colOff>295275</xdr:colOff>
      <xdr:row>0</xdr:row>
      <xdr:rowOff>0</xdr:rowOff>
    </xdr:to>
    <xdr:sp fLocksText="0">
      <xdr:nvSpPr>
        <xdr:cNvPr id="2" name="Text Box 2"/>
        <xdr:cNvSpPr txBox="1">
          <a:spLocks noChangeArrowheads="1"/>
        </xdr:cNvSpPr>
      </xdr:nvSpPr>
      <xdr:spPr>
        <a:xfrm>
          <a:off x="13487400" y="0"/>
          <a:ext cx="13716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20</xdr:col>
      <xdr:colOff>0</xdr:colOff>
      <xdr:row>0</xdr:row>
      <xdr:rowOff>0</xdr:rowOff>
    </xdr:to>
    <xdr:sp fLocksText="0">
      <xdr:nvSpPr>
        <xdr:cNvPr id="3" name="Text Box 5"/>
        <xdr:cNvSpPr txBox="1">
          <a:spLocks noChangeArrowheads="1"/>
        </xdr:cNvSpPr>
      </xdr:nvSpPr>
      <xdr:spPr>
        <a:xfrm>
          <a:off x="0" y="0"/>
          <a:ext cx="148590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133350</xdr:colOff>
      <xdr:row>0</xdr:row>
      <xdr:rowOff>0</xdr:rowOff>
    </xdr:from>
    <xdr:to>
      <xdr:col>19</xdr:col>
      <xdr:colOff>295275</xdr:colOff>
      <xdr:row>0</xdr:row>
      <xdr:rowOff>0</xdr:rowOff>
    </xdr:to>
    <xdr:sp fLocksText="0">
      <xdr:nvSpPr>
        <xdr:cNvPr id="4" name="Text Box 6"/>
        <xdr:cNvSpPr txBox="1">
          <a:spLocks noChangeArrowheads="1"/>
        </xdr:cNvSpPr>
      </xdr:nvSpPr>
      <xdr:spPr>
        <a:xfrm>
          <a:off x="13487400" y="0"/>
          <a:ext cx="13716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0</xdr:colOff>
      <xdr:row>0</xdr:row>
      <xdr:rowOff>0</xdr:rowOff>
    </xdr:to>
    <xdr:sp fLocksText="0">
      <xdr:nvSpPr>
        <xdr:cNvPr id="5" name="Text Box 9"/>
        <xdr:cNvSpPr txBox="1">
          <a:spLocks noChangeArrowheads="1"/>
        </xdr:cNvSpPr>
      </xdr:nvSpPr>
      <xdr:spPr>
        <a:xfrm>
          <a:off x="0" y="0"/>
          <a:ext cx="9667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fLocksText="0">
      <xdr:nvSpPr>
        <xdr:cNvPr id="6" name="Text Box 10"/>
        <xdr:cNvSpPr txBox="1">
          <a:spLocks noChangeArrowheads="1"/>
        </xdr:cNvSpPr>
      </xdr:nvSpPr>
      <xdr:spPr>
        <a:xfrm>
          <a:off x="966787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0</xdr:colOff>
      <xdr:row>0</xdr:row>
      <xdr:rowOff>0</xdr:rowOff>
    </xdr:to>
    <xdr:sp fLocksText="0">
      <xdr:nvSpPr>
        <xdr:cNvPr id="7" name="Text Box 12"/>
        <xdr:cNvSpPr txBox="1">
          <a:spLocks noChangeArrowheads="1"/>
        </xdr:cNvSpPr>
      </xdr:nvSpPr>
      <xdr:spPr>
        <a:xfrm>
          <a:off x="0" y="0"/>
          <a:ext cx="9667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fLocksText="0">
      <xdr:nvSpPr>
        <xdr:cNvPr id="8" name="Text Box 13"/>
        <xdr:cNvSpPr txBox="1">
          <a:spLocks noChangeArrowheads="1"/>
        </xdr:cNvSpPr>
      </xdr:nvSpPr>
      <xdr:spPr>
        <a:xfrm>
          <a:off x="966787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0</xdr:colOff>
      <xdr:row>0</xdr:row>
      <xdr:rowOff>0</xdr:rowOff>
    </xdr:to>
    <xdr:sp fLocksText="0">
      <xdr:nvSpPr>
        <xdr:cNvPr id="9" name="Text Box 14"/>
        <xdr:cNvSpPr txBox="1">
          <a:spLocks noChangeArrowheads="1"/>
        </xdr:cNvSpPr>
      </xdr:nvSpPr>
      <xdr:spPr>
        <a:xfrm>
          <a:off x="0" y="0"/>
          <a:ext cx="9667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fLocksText="0">
      <xdr:nvSpPr>
        <xdr:cNvPr id="10" name="Text Box 15"/>
        <xdr:cNvSpPr txBox="1">
          <a:spLocks noChangeArrowheads="1"/>
        </xdr:cNvSpPr>
      </xdr:nvSpPr>
      <xdr:spPr>
        <a:xfrm>
          <a:off x="966787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257175</xdr:colOff>
      <xdr:row>3</xdr:row>
      <xdr:rowOff>142875</xdr:rowOff>
    </xdr:from>
    <xdr:to>
      <xdr:col>12</xdr:col>
      <xdr:colOff>247650</xdr:colOff>
      <xdr:row>4</xdr:row>
      <xdr:rowOff>285750</xdr:rowOff>
    </xdr:to>
    <xdr:pic>
      <xdr:nvPicPr>
        <xdr:cNvPr id="11" name="12 Resim" descr="Logo son.png"/>
        <xdr:cNvPicPr preferRelativeResize="1">
          <a:picLocks noChangeAspect="1"/>
        </xdr:cNvPicPr>
      </xdr:nvPicPr>
      <xdr:blipFill>
        <a:blip r:embed="rId1"/>
        <a:stretch>
          <a:fillRect/>
        </a:stretch>
      </xdr:blipFill>
      <xdr:spPr>
        <a:xfrm>
          <a:off x="9925050" y="1047750"/>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fLocksText="0">
      <xdr:nvSpPr>
        <xdr:cNvPr id="1" name="Text Box 1"/>
        <xdr:cNvSpPr txBox="1">
          <a:spLocks noChangeArrowheads="1"/>
        </xdr:cNvSpPr>
      </xdr:nvSpPr>
      <xdr:spPr>
        <a:xfrm>
          <a:off x="0" y="0"/>
          <a:ext cx="7277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xt Box 2"/>
        <xdr:cNvSpPr txBox="1">
          <a:spLocks noChangeArrowheads="1"/>
        </xdr:cNvSpPr>
      </xdr:nvSpPr>
      <xdr:spPr>
        <a:xfrm>
          <a:off x="7277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3" name="Text Box 4"/>
        <xdr:cNvSpPr txBox="1">
          <a:spLocks noChangeArrowheads="1"/>
        </xdr:cNvSpPr>
      </xdr:nvSpPr>
      <xdr:spPr>
        <a:xfrm>
          <a:off x="0" y="0"/>
          <a:ext cx="7277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xt Box 5"/>
        <xdr:cNvSpPr txBox="1">
          <a:spLocks noChangeArrowheads="1"/>
        </xdr:cNvSpPr>
      </xdr:nvSpPr>
      <xdr:spPr>
        <a:xfrm>
          <a:off x="7277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5" name="Text Box 6"/>
        <xdr:cNvSpPr txBox="1">
          <a:spLocks noChangeArrowheads="1"/>
        </xdr:cNvSpPr>
      </xdr:nvSpPr>
      <xdr:spPr>
        <a:xfrm>
          <a:off x="0" y="0"/>
          <a:ext cx="7277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xt Box 7"/>
        <xdr:cNvSpPr txBox="1">
          <a:spLocks noChangeArrowheads="1"/>
        </xdr:cNvSpPr>
      </xdr:nvSpPr>
      <xdr:spPr>
        <a:xfrm>
          <a:off x="7277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7" name="Text Box 8"/>
        <xdr:cNvSpPr txBox="1">
          <a:spLocks noChangeArrowheads="1"/>
        </xdr:cNvSpPr>
      </xdr:nvSpPr>
      <xdr:spPr>
        <a:xfrm>
          <a:off x="0" y="0"/>
          <a:ext cx="7277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8" name="Text Box 9"/>
        <xdr:cNvSpPr txBox="1">
          <a:spLocks noChangeArrowheads="1"/>
        </xdr:cNvSpPr>
      </xdr:nvSpPr>
      <xdr:spPr>
        <a:xfrm>
          <a:off x="7277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9" name="Text Box 11"/>
        <xdr:cNvSpPr txBox="1">
          <a:spLocks noChangeArrowheads="1"/>
        </xdr:cNvSpPr>
      </xdr:nvSpPr>
      <xdr:spPr>
        <a:xfrm>
          <a:off x="0" y="0"/>
          <a:ext cx="7277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0" name="Text Box 12"/>
        <xdr:cNvSpPr txBox="1">
          <a:spLocks noChangeArrowheads="1"/>
        </xdr:cNvSpPr>
      </xdr:nvSpPr>
      <xdr:spPr>
        <a:xfrm>
          <a:off x="7277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fLocksText="0">
      <xdr:nvSpPr>
        <xdr:cNvPr id="11" name="Text Box 13"/>
        <xdr:cNvSpPr txBox="1">
          <a:spLocks noChangeArrowheads="1"/>
        </xdr:cNvSpPr>
      </xdr:nvSpPr>
      <xdr:spPr>
        <a:xfrm>
          <a:off x="0" y="0"/>
          <a:ext cx="7277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2" name="Text Box 14"/>
        <xdr:cNvSpPr txBox="1">
          <a:spLocks noChangeArrowheads="1"/>
        </xdr:cNvSpPr>
      </xdr:nvSpPr>
      <xdr:spPr>
        <a:xfrm>
          <a:off x="72771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571500</xdr:colOff>
      <xdr:row>3</xdr:row>
      <xdr:rowOff>142875</xdr:rowOff>
    </xdr:from>
    <xdr:to>
      <xdr:col>6</xdr:col>
      <xdr:colOff>257175</xdr:colOff>
      <xdr:row>4</xdr:row>
      <xdr:rowOff>285750</xdr:rowOff>
    </xdr:to>
    <xdr:pic>
      <xdr:nvPicPr>
        <xdr:cNvPr id="13" name="14 Resim" descr="Logo son.png"/>
        <xdr:cNvPicPr preferRelativeResize="1">
          <a:picLocks noChangeAspect="1"/>
        </xdr:cNvPicPr>
      </xdr:nvPicPr>
      <xdr:blipFill>
        <a:blip r:embed="rId1"/>
        <a:stretch>
          <a:fillRect/>
        </a:stretch>
      </xdr:blipFill>
      <xdr:spPr>
        <a:xfrm>
          <a:off x="4905375" y="116205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26</xdr:col>
      <xdr:colOff>0</xdr:colOff>
      <xdr:row>0</xdr:row>
      <xdr:rowOff>0</xdr:rowOff>
    </xdr:to>
    <xdr:sp fLocksText="0">
      <xdr:nvSpPr>
        <xdr:cNvPr id="1" name="Text Box 1"/>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457200</xdr:colOff>
      <xdr:row>0</xdr:row>
      <xdr:rowOff>0</xdr:rowOff>
    </xdr:to>
    <xdr:sp fLocksText="0">
      <xdr:nvSpPr>
        <xdr:cNvPr id="2" name="Text Box 2"/>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 name="Text Box 3"/>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4" name="Text Box 4"/>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25</xdr:col>
      <xdr:colOff>9525</xdr:colOff>
      <xdr:row>0</xdr:row>
      <xdr:rowOff>0</xdr:rowOff>
    </xdr:to>
    <xdr:sp>
      <xdr:nvSpPr>
        <xdr:cNvPr id="5" name="Text Box 5"/>
        <xdr:cNvSpPr txBox="1">
          <a:spLocks noChangeArrowheads="1"/>
        </xdr:cNvSpPr>
      </xdr:nvSpPr>
      <xdr:spPr>
        <a:xfrm>
          <a:off x="19050" y="0"/>
          <a:ext cx="60102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22</xdr:col>
      <xdr:colOff>342900</xdr:colOff>
      <xdr:row>0</xdr:row>
      <xdr:rowOff>0</xdr:rowOff>
    </xdr:from>
    <xdr:to>
      <xdr:col>24</xdr:col>
      <xdr:colOff>361950</xdr:colOff>
      <xdr:row>0</xdr:row>
      <xdr:rowOff>0</xdr:rowOff>
    </xdr:to>
    <xdr:sp fLocksText="0">
      <xdr:nvSpPr>
        <xdr:cNvPr id="6" name="Text Box 6"/>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25</xdr:col>
      <xdr:colOff>0</xdr:colOff>
      <xdr:row>0</xdr:row>
      <xdr:rowOff>0</xdr:rowOff>
    </xdr:to>
    <xdr:sp fLocksText="0">
      <xdr:nvSpPr>
        <xdr:cNvPr id="7" name="Text Box 7"/>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8" name="Text Box 8"/>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25</xdr:col>
      <xdr:colOff>9525</xdr:colOff>
      <xdr:row>0</xdr:row>
      <xdr:rowOff>0</xdr:rowOff>
    </xdr:to>
    <xdr:sp>
      <xdr:nvSpPr>
        <xdr:cNvPr id="9" name="Text Box 9"/>
        <xdr:cNvSpPr txBox="1">
          <a:spLocks noChangeArrowheads="1"/>
        </xdr:cNvSpPr>
      </xdr:nvSpPr>
      <xdr:spPr>
        <a:xfrm>
          <a:off x="19050" y="0"/>
          <a:ext cx="60102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17</xdr:col>
      <xdr:colOff>390525</xdr:colOff>
      <xdr:row>0</xdr:row>
      <xdr:rowOff>0</xdr:rowOff>
    </xdr:from>
    <xdr:to>
      <xdr:col>24</xdr:col>
      <xdr:colOff>342900</xdr:colOff>
      <xdr:row>0</xdr:row>
      <xdr:rowOff>0</xdr:rowOff>
    </xdr:to>
    <xdr:sp fLocksText="0">
      <xdr:nvSpPr>
        <xdr:cNvPr id="10" name="Text Box 10"/>
        <xdr:cNvSpPr txBox="1">
          <a:spLocks noChangeArrowheads="1"/>
        </xdr:cNvSpPr>
      </xdr:nvSpPr>
      <xdr:spPr>
        <a:xfrm>
          <a:off x="6029325" y="0"/>
          <a:ext cx="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26</xdr:col>
      <xdr:colOff>0</xdr:colOff>
      <xdr:row>0</xdr:row>
      <xdr:rowOff>0</xdr:rowOff>
    </xdr:to>
    <xdr:sp fLocksText="0">
      <xdr:nvSpPr>
        <xdr:cNvPr id="11" name="Text Box 11"/>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457200</xdr:colOff>
      <xdr:row>0</xdr:row>
      <xdr:rowOff>0</xdr:rowOff>
    </xdr:to>
    <xdr:sp fLocksText="0">
      <xdr:nvSpPr>
        <xdr:cNvPr id="12" name="Text Box 12"/>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13" name="Text Box 13"/>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14" name="Text Box 14"/>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342900</xdr:colOff>
      <xdr:row>0</xdr:row>
      <xdr:rowOff>0</xdr:rowOff>
    </xdr:from>
    <xdr:to>
      <xdr:col>24</xdr:col>
      <xdr:colOff>361950</xdr:colOff>
      <xdr:row>0</xdr:row>
      <xdr:rowOff>0</xdr:rowOff>
    </xdr:to>
    <xdr:sp fLocksText="0">
      <xdr:nvSpPr>
        <xdr:cNvPr id="15" name="Text Box 16"/>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25</xdr:col>
      <xdr:colOff>0</xdr:colOff>
      <xdr:row>0</xdr:row>
      <xdr:rowOff>0</xdr:rowOff>
    </xdr:to>
    <xdr:sp fLocksText="0">
      <xdr:nvSpPr>
        <xdr:cNvPr id="16" name="Text Box 17"/>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17" name="Text Box 18"/>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24</xdr:col>
      <xdr:colOff>438150</xdr:colOff>
      <xdr:row>0</xdr:row>
      <xdr:rowOff>0</xdr:rowOff>
    </xdr:to>
    <xdr:sp>
      <xdr:nvSpPr>
        <xdr:cNvPr id="18" name="Text Box 19"/>
        <xdr:cNvSpPr txBox="1">
          <a:spLocks noChangeArrowheads="1"/>
        </xdr:cNvSpPr>
      </xdr:nvSpPr>
      <xdr:spPr>
        <a:xfrm>
          <a:off x="19050" y="0"/>
          <a:ext cx="60102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24</xdr:col>
      <xdr:colOff>752475</xdr:colOff>
      <xdr:row>0</xdr:row>
      <xdr:rowOff>0</xdr:rowOff>
    </xdr:to>
    <xdr:sp>
      <xdr:nvSpPr>
        <xdr:cNvPr id="19" name="Text Box 21"/>
        <xdr:cNvSpPr txBox="1">
          <a:spLocks noChangeArrowheads="1"/>
        </xdr:cNvSpPr>
      </xdr:nvSpPr>
      <xdr:spPr>
        <a:xfrm>
          <a:off x="19050" y="0"/>
          <a:ext cx="601027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23</xdr:col>
      <xdr:colOff>400050</xdr:colOff>
      <xdr:row>0</xdr:row>
      <xdr:rowOff>0</xdr:rowOff>
    </xdr:from>
    <xdr:to>
      <xdr:col>24</xdr:col>
      <xdr:colOff>752475</xdr:colOff>
      <xdr:row>0</xdr:row>
      <xdr:rowOff>0</xdr:rowOff>
    </xdr:to>
    <xdr:sp fLocksText="0">
      <xdr:nvSpPr>
        <xdr:cNvPr id="20" name="Text Box 22"/>
        <xdr:cNvSpPr txBox="1">
          <a:spLocks noChangeArrowheads="1"/>
        </xdr:cNvSpPr>
      </xdr:nvSpPr>
      <xdr:spPr>
        <a:xfrm>
          <a:off x="6029325"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25</xdr:col>
      <xdr:colOff>0</xdr:colOff>
      <xdr:row>0</xdr:row>
      <xdr:rowOff>0</xdr:rowOff>
    </xdr:to>
    <xdr:sp fLocksText="0">
      <xdr:nvSpPr>
        <xdr:cNvPr id="21" name="Text Box 23"/>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22" name="Text Box 24"/>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3" name="Text Box 27"/>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24" name="Text Box 28"/>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5" name="Text Box 31"/>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26" name="Text Box 32"/>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7" name="Text Box 35"/>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28" name="Text Box 36"/>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9" name="Text Box 39"/>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30" name="Text Box 40"/>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1" name="Text Box 43"/>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32" name="Text Box 44"/>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3" name="Text Box 47"/>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34" name="Text Box 48"/>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5" name="Text Box 51"/>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36" name="Text Box 52"/>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7" name="Text Box 55"/>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38" name="Text Box 56"/>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47</xdr:col>
      <xdr:colOff>104775</xdr:colOff>
      <xdr:row>0</xdr:row>
      <xdr:rowOff>0</xdr:rowOff>
    </xdr:to>
    <xdr:sp>
      <xdr:nvSpPr>
        <xdr:cNvPr id="39" name="Text Box 57"/>
        <xdr:cNvSpPr txBox="1">
          <a:spLocks noChangeArrowheads="1"/>
        </xdr:cNvSpPr>
      </xdr:nvSpPr>
      <xdr:spPr>
        <a:xfrm>
          <a:off x="19050" y="0"/>
          <a:ext cx="1434465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25</xdr:col>
      <xdr:colOff>0</xdr:colOff>
      <xdr:row>0</xdr:row>
      <xdr:rowOff>0</xdr:rowOff>
    </xdr:to>
    <xdr:sp fLocksText="0">
      <xdr:nvSpPr>
        <xdr:cNvPr id="40" name="Text Box 59"/>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41" name="Text Box 60"/>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42" name="Text Box 63"/>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43" name="Text Box 64"/>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44" name="Text Box 67"/>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457200</xdr:colOff>
      <xdr:row>0</xdr:row>
      <xdr:rowOff>0</xdr:rowOff>
    </xdr:to>
    <xdr:sp fLocksText="0">
      <xdr:nvSpPr>
        <xdr:cNvPr id="45" name="Text Box 68"/>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16</xdr:col>
      <xdr:colOff>657225</xdr:colOff>
      <xdr:row>0</xdr:row>
      <xdr:rowOff>0</xdr:rowOff>
    </xdr:to>
    <xdr:sp>
      <xdr:nvSpPr>
        <xdr:cNvPr id="46" name="Text Box 71"/>
        <xdr:cNvSpPr txBox="1">
          <a:spLocks noChangeArrowheads="1"/>
        </xdr:cNvSpPr>
      </xdr:nvSpPr>
      <xdr:spPr>
        <a:xfrm>
          <a:off x="28575" y="0"/>
          <a:ext cx="600075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17</xdr:col>
      <xdr:colOff>47625</xdr:colOff>
      <xdr:row>0</xdr:row>
      <xdr:rowOff>0</xdr:rowOff>
    </xdr:from>
    <xdr:to>
      <xdr:col>24</xdr:col>
      <xdr:colOff>400050</xdr:colOff>
      <xdr:row>0</xdr:row>
      <xdr:rowOff>0</xdr:rowOff>
    </xdr:to>
    <xdr:sp fLocksText="0">
      <xdr:nvSpPr>
        <xdr:cNvPr id="47" name="Text Box 72"/>
        <xdr:cNvSpPr txBox="1">
          <a:spLocks noChangeArrowheads="1"/>
        </xdr:cNvSpPr>
      </xdr:nvSpPr>
      <xdr:spPr>
        <a:xfrm>
          <a:off x="6029325" y="0"/>
          <a:ext cx="0"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25</xdr:col>
      <xdr:colOff>0</xdr:colOff>
      <xdr:row>0</xdr:row>
      <xdr:rowOff>0</xdr:rowOff>
    </xdr:to>
    <xdr:sp fLocksText="0">
      <xdr:nvSpPr>
        <xdr:cNvPr id="48" name="Text Box 73"/>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466725</xdr:colOff>
      <xdr:row>0</xdr:row>
      <xdr:rowOff>0</xdr:rowOff>
    </xdr:to>
    <xdr:sp fLocksText="0">
      <xdr:nvSpPr>
        <xdr:cNvPr id="49" name="Text Box 74"/>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50" name="Text Box 77"/>
        <xdr:cNvSpPr txBox="1">
          <a:spLocks noChangeArrowheads="1"/>
        </xdr:cNvSpPr>
      </xdr:nvSpPr>
      <xdr:spPr>
        <a:xfrm>
          <a:off x="0" y="0"/>
          <a:ext cx="6029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133350</xdr:colOff>
      <xdr:row>0</xdr:row>
      <xdr:rowOff>0</xdr:rowOff>
    </xdr:from>
    <xdr:to>
      <xdr:col>24</xdr:col>
      <xdr:colOff>466725</xdr:colOff>
      <xdr:row>0</xdr:row>
      <xdr:rowOff>0</xdr:rowOff>
    </xdr:to>
    <xdr:sp fLocksText="0">
      <xdr:nvSpPr>
        <xdr:cNvPr id="51" name="Text Box 78"/>
        <xdr:cNvSpPr txBox="1">
          <a:spLocks noChangeArrowheads="1"/>
        </xdr:cNvSpPr>
      </xdr:nvSpPr>
      <xdr:spPr>
        <a:xfrm>
          <a:off x="60293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66675</xdr:colOff>
      <xdr:row>3</xdr:row>
      <xdr:rowOff>66675</xdr:rowOff>
    </xdr:from>
    <xdr:to>
      <xdr:col>11</xdr:col>
      <xdr:colOff>485775</xdr:colOff>
      <xdr:row>4</xdr:row>
      <xdr:rowOff>314325</xdr:rowOff>
    </xdr:to>
    <xdr:pic>
      <xdr:nvPicPr>
        <xdr:cNvPr id="52" name="53 Resim" descr="Logo son.png"/>
        <xdr:cNvPicPr preferRelativeResize="1">
          <a:picLocks noChangeAspect="1"/>
        </xdr:cNvPicPr>
      </xdr:nvPicPr>
      <xdr:blipFill>
        <a:blip r:embed="rId1"/>
        <a:stretch>
          <a:fillRect/>
        </a:stretch>
      </xdr:blipFill>
      <xdr:spPr>
        <a:xfrm>
          <a:off x="3171825" y="1104900"/>
          <a:ext cx="27336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boxoffice-rapor.php" TargetMode="External" /><Relationship Id="rId2" Type="http://schemas.openxmlformats.org/officeDocument/2006/relationships/hyperlink" Target="http://www.antraktsinem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99"/>
  <sheetViews>
    <sheetView tabSelected="1" zoomScale="70" zoomScaleNormal="70" zoomScalePageLayoutView="0" workbookViewId="0" topLeftCell="A1">
      <pane xSplit="13" ySplit="10" topLeftCell="N11" activePane="bottomRight" state="frozen"/>
      <selection pane="topLeft" activeCell="A1" sqref="A1"/>
      <selection pane="topRight" activeCell="J1" sqref="J1"/>
      <selection pane="bottomLeft" activeCell="A12" sqref="A12"/>
      <selection pane="bottomRight" activeCell="A6" sqref="A6"/>
    </sheetView>
  </sheetViews>
  <sheetFormatPr defaultColWidth="4.421875" defaultRowHeight="12.75"/>
  <cols>
    <col min="1" max="1" width="3.7109375" style="105" bestFit="1" customWidth="1"/>
    <col min="2" max="2" width="2.28125" style="106" bestFit="1" customWidth="1"/>
    <col min="3" max="3" width="2.140625" style="106" bestFit="1" customWidth="1"/>
    <col min="4" max="4" width="2.00390625" style="107" bestFit="1" customWidth="1"/>
    <col min="5" max="5" width="38.7109375" style="108" bestFit="1" customWidth="1"/>
    <col min="6" max="6" width="26.00390625" style="108" hidden="1" customWidth="1"/>
    <col min="7" max="7" width="19.140625" style="108" hidden="1" customWidth="1"/>
    <col min="8" max="8" width="42.140625" style="108" bestFit="1" customWidth="1"/>
    <col min="9" max="9" width="8.7109375" style="109" bestFit="1" customWidth="1"/>
    <col min="10" max="10" width="20.8515625" style="109" bestFit="1" customWidth="1"/>
    <col min="11" max="11" width="6.421875" style="109" bestFit="1" customWidth="1"/>
    <col min="12" max="12" width="6.7109375" style="110" bestFit="1" customWidth="1"/>
    <col min="13" max="13" width="8.7109375" style="111" bestFit="1" customWidth="1"/>
    <col min="14" max="14" width="10.8515625" style="110" hidden="1" customWidth="1"/>
    <col min="15" max="15" width="7.140625" style="111" hidden="1" customWidth="1"/>
    <col min="16" max="16" width="10.8515625" style="110" hidden="1" customWidth="1"/>
    <col min="17" max="17" width="7.140625" style="111" hidden="1" customWidth="1"/>
    <col min="18" max="18" width="10.8515625" style="112" hidden="1" customWidth="1"/>
    <col min="19" max="19" width="7.140625" style="113" hidden="1" customWidth="1"/>
    <col min="20" max="20" width="14.28125" style="116" hidden="1" customWidth="1"/>
    <col min="21" max="21" width="9.28125" style="114" hidden="1" customWidth="1"/>
    <col min="22" max="22" width="11.28125" style="114" hidden="1" customWidth="1"/>
    <col min="23" max="23" width="8.140625" style="116" hidden="1" customWidth="1"/>
    <col min="24" max="24" width="12.421875" style="116" hidden="1" customWidth="1"/>
    <col min="25" max="25" width="7.8515625" style="117" hidden="1" customWidth="1"/>
    <col min="26" max="26" width="10.28125" style="116" bestFit="1" customWidth="1"/>
    <col min="27" max="27" width="6.8515625" style="224" bestFit="1" customWidth="1"/>
    <col min="28" max="28" width="14.421875" style="232" bestFit="1" customWidth="1"/>
    <col min="29" max="29" width="9.28125" style="223" customWidth="1"/>
    <col min="30" max="31" width="7.421875" style="243" customWidth="1"/>
    <col min="32" max="32" width="9.28125" style="120" customWidth="1"/>
    <col min="33" max="33" width="9.28125" style="233" customWidth="1"/>
    <col min="34" max="34" width="11.7109375" style="233" bestFit="1" customWidth="1"/>
    <col min="35" max="35" width="7.421875" style="233" bestFit="1" customWidth="1"/>
    <col min="36" max="36" width="12.8515625" style="233" bestFit="1" customWidth="1"/>
    <col min="37" max="37" width="9.28125" style="120" bestFit="1" customWidth="1"/>
    <col min="38" max="38" width="9.57421875" style="233" bestFit="1" customWidth="1"/>
    <col min="39" max="39" width="3.7109375" style="108" bestFit="1" customWidth="1"/>
    <col min="40" max="16384" width="4.421875" style="108" customWidth="1"/>
  </cols>
  <sheetData>
    <row r="1" spans="1:39" s="32" customFormat="1" ht="49.5">
      <c r="A1" s="748" t="s">
        <v>357</v>
      </c>
      <c r="B1" s="749"/>
      <c r="C1" s="749"/>
      <c r="D1" s="749"/>
      <c r="E1" s="749"/>
      <c r="F1" s="749"/>
      <c r="G1" s="749"/>
      <c r="H1" s="749"/>
      <c r="I1" s="749"/>
      <c r="J1" s="749"/>
      <c r="K1" s="749"/>
      <c r="L1" s="749"/>
      <c r="M1" s="749"/>
      <c r="N1" s="225"/>
      <c r="O1" s="217"/>
      <c r="P1" s="225"/>
      <c r="Q1" s="217"/>
      <c r="R1" s="225"/>
      <c r="S1" s="217"/>
      <c r="T1" s="225"/>
      <c r="U1" s="217"/>
      <c r="V1" s="217"/>
      <c r="W1" s="225"/>
      <c r="X1" s="225"/>
      <c r="Y1" s="237"/>
      <c r="Z1" s="225"/>
      <c r="AA1" s="217"/>
      <c r="AB1" s="745"/>
      <c r="AC1" s="745"/>
      <c r="AD1" s="745"/>
      <c r="AE1" s="745"/>
      <c r="AF1" s="745"/>
      <c r="AG1" s="745"/>
      <c r="AH1" s="745"/>
      <c r="AI1" s="745"/>
      <c r="AJ1" s="745"/>
      <c r="AK1" s="745"/>
      <c r="AL1" s="745"/>
      <c r="AM1" s="745"/>
    </row>
    <row r="2" spans="1:39" s="32" customFormat="1" ht="38.25" customHeight="1">
      <c r="A2" s="750" t="s">
        <v>76</v>
      </c>
      <c r="B2" s="751"/>
      <c r="C2" s="751"/>
      <c r="D2" s="751"/>
      <c r="E2" s="751"/>
      <c r="F2" s="751"/>
      <c r="G2" s="751"/>
      <c r="H2" s="751"/>
      <c r="I2" s="751"/>
      <c r="J2" s="751"/>
      <c r="K2" s="751"/>
      <c r="L2" s="751"/>
      <c r="M2" s="751"/>
      <c r="N2" s="226"/>
      <c r="O2" s="218"/>
      <c r="P2" s="226"/>
      <c r="Q2" s="218"/>
      <c r="R2" s="226"/>
      <c r="S2" s="218"/>
      <c r="T2" s="226"/>
      <c r="U2" s="218"/>
      <c r="V2" s="218"/>
      <c r="W2" s="226"/>
      <c r="X2" s="226"/>
      <c r="Y2" s="238"/>
      <c r="Z2" s="226"/>
      <c r="AA2" s="218"/>
      <c r="AB2" s="391"/>
      <c r="AC2" s="392"/>
      <c r="AD2" s="393"/>
      <c r="AE2" s="393"/>
      <c r="AF2" s="392"/>
      <c r="AG2" s="391"/>
      <c r="AH2" s="391"/>
      <c r="AI2" s="391"/>
      <c r="AJ2" s="391"/>
      <c r="AK2" s="392"/>
      <c r="AL2" s="391"/>
      <c r="AM2" s="123"/>
    </row>
    <row r="3" spans="1:39" s="32" customFormat="1" ht="27" thickBot="1">
      <c r="A3" s="752" t="s">
        <v>128</v>
      </c>
      <c r="B3" s="753"/>
      <c r="C3" s="753"/>
      <c r="D3" s="753"/>
      <c r="E3" s="753"/>
      <c r="F3" s="753"/>
      <c r="G3" s="753"/>
      <c r="H3" s="753"/>
      <c r="I3" s="753"/>
      <c r="J3" s="753"/>
      <c r="K3" s="753"/>
      <c r="L3" s="753"/>
      <c r="M3" s="753"/>
      <c r="N3" s="227"/>
      <c r="O3" s="219"/>
      <c r="P3" s="227"/>
      <c r="Q3" s="219"/>
      <c r="R3" s="227"/>
      <c r="S3" s="219"/>
      <c r="T3" s="227"/>
      <c r="U3" s="219"/>
      <c r="V3" s="219"/>
      <c r="W3" s="227"/>
      <c r="X3" s="227"/>
      <c r="Y3" s="239"/>
      <c r="Z3" s="227"/>
      <c r="AA3" s="219"/>
      <c r="AB3" s="386"/>
      <c r="AC3" s="387"/>
      <c r="AD3" s="386"/>
      <c r="AE3" s="386"/>
      <c r="AF3" s="388"/>
      <c r="AG3" s="386"/>
      <c r="AH3" s="386"/>
      <c r="AI3" s="386"/>
      <c r="AJ3" s="387"/>
      <c r="AK3" s="386"/>
      <c r="AL3" s="389"/>
      <c r="AM3" s="388"/>
    </row>
    <row r="4" spans="1:39" s="32" customFormat="1" ht="33" thickBot="1">
      <c r="A4" s="754" t="s">
        <v>781</v>
      </c>
      <c r="B4" s="755"/>
      <c r="C4" s="755"/>
      <c r="D4" s="755"/>
      <c r="E4" s="755"/>
      <c r="F4" s="755"/>
      <c r="G4" s="755"/>
      <c r="H4" s="755"/>
      <c r="I4" s="755"/>
      <c r="J4" s="35"/>
      <c r="K4" s="35"/>
      <c r="L4" s="35"/>
      <c r="M4" s="35"/>
      <c r="N4" s="228"/>
      <c r="O4" s="220"/>
      <c r="P4" s="228"/>
      <c r="Q4" s="220"/>
      <c r="R4" s="228"/>
      <c r="S4" s="220"/>
      <c r="T4" s="228"/>
      <c r="U4" s="220"/>
      <c r="V4" s="220"/>
      <c r="W4" s="228"/>
      <c r="X4" s="228"/>
      <c r="Y4" s="240"/>
      <c r="Z4" s="228"/>
      <c r="AA4" s="220"/>
      <c r="AB4" s="746" t="s">
        <v>129</v>
      </c>
      <c r="AC4" s="747"/>
      <c r="AD4" s="747"/>
      <c r="AE4" s="747"/>
      <c r="AF4" s="747"/>
      <c r="AG4" s="131"/>
      <c r="AH4" s="131"/>
      <c r="AI4" s="131"/>
      <c r="AJ4" s="131"/>
      <c r="AK4" s="390"/>
      <c r="AL4" s="131"/>
      <c r="AM4" s="131"/>
    </row>
    <row r="5" spans="1:39" s="32" customFormat="1" ht="33" thickBot="1">
      <c r="A5" s="743" t="s">
        <v>782</v>
      </c>
      <c r="B5" s="744"/>
      <c r="C5" s="744"/>
      <c r="D5" s="744"/>
      <c r="E5" s="744"/>
      <c r="F5" s="744"/>
      <c r="G5" s="744"/>
      <c r="H5" s="744"/>
      <c r="I5" s="744"/>
      <c r="J5" s="36"/>
      <c r="K5" s="36"/>
      <c r="L5" s="36"/>
      <c r="M5" s="36"/>
      <c r="N5" s="229"/>
      <c r="O5" s="221"/>
      <c r="P5" s="229"/>
      <c r="Q5" s="221"/>
      <c r="R5" s="229"/>
      <c r="S5" s="221"/>
      <c r="T5" s="229"/>
      <c r="U5" s="221"/>
      <c r="V5" s="221"/>
      <c r="W5" s="229"/>
      <c r="X5" s="229"/>
      <c r="Y5" s="241"/>
      <c r="Z5" s="229"/>
      <c r="AA5" s="221"/>
      <c r="AB5" s="756" t="s">
        <v>373</v>
      </c>
      <c r="AC5" s="757"/>
      <c r="AD5" s="757"/>
      <c r="AE5" s="757"/>
      <c r="AF5" s="757"/>
      <c r="AG5" s="757"/>
      <c r="AH5" s="757"/>
      <c r="AI5" s="757"/>
      <c r="AJ5" s="757"/>
      <c r="AK5" s="757"/>
      <c r="AL5" s="757"/>
      <c r="AM5" s="758"/>
    </row>
    <row r="6" spans="1:39" s="39" customFormat="1" ht="15.75" thickBot="1">
      <c r="A6" s="247"/>
      <c r="B6" s="248"/>
      <c r="C6" s="248"/>
      <c r="D6" s="248"/>
      <c r="E6" s="737" t="s">
        <v>411</v>
      </c>
      <c r="F6" s="737"/>
      <c r="G6" s="737"/>
      <c r="H6" s="737"/>
      <c r="I6" s="737"/>
      <c r="J6" s="737"/>
      <c r="K6" s="737"/>
      <c r="L6" s="737" t="s">
        <v>110</v>
      </c>
      <c r="M6" s="737"/>
      <c r="N6" s="737" t="s">
        <v>355</v>
      </c>
      <c r="O6" s="737"/>
      <c r="P6" s="737"/>
      <c r="Q6" s="737"/>
      <c r="R6" s="737"/>
      <c r="S6" s="737"/>
      <c r="T6" s="737"/>
      <c r="U6" s="737"/>
      <c r="V6" s="737"/>
      <c r="W6" s="737"/>
      <c r="X6" s="737"/>
      <c r="Y6" s="737"/>
      <c r="Z6" s="737" t="s">
        <v>412</v>
      </c>
      <c r="AA6" s="737"/>
      <c r="AB6" s="737" t="s">
        <v>113</v>
      </c>
      <c r="AC6" s="737"/>
      <c r="AD6" s="737" t="s">
        <v>112</v>
      </c>
      <c r="AE6" s="737"/>
      <c r="AF6" s="737" t="s">
        <v>117</v>
      </c>
      <c r="AG6" s="737"/>
      <c r="AH6" s="248"/>
      <c r="AI6" s="248"/>
      <c r="AJ6" s="737" t="s">
        <v>354</v>
      </c>
      <c r="AK6" s="737"/>
      <c r="AL6" s="737"/>
      <c r="AM6" s="742"/>
    </row>
    <row r="7" spans="1:39" s="43" customFormat="1" ht="15">
      <c r="A7" s="249"/>
      <c r="B7" s="250"/>
      <c r="C7" s="250"/>
      <c r="D7" s="250"/>
      <c r="E7" s="251"/>
      <c r="F7" s="251"/>
      <c r="G7" s="251"/>
      <c r="H7" s="251"/>
      <c r="I7" s="252" t="s">
        <v>80</v>
      </c>
      <c r="J7" s="251"/>
      <c r="K7" s="251" t="s">
        <v>83</v>
      </c>
      <c r="L7" s="251" t="s">
        <v>83</v>
      </c>
      <c r="M7" s="251" t="s">
        <v>85</v>
      </c>
      <c r="N7" s="738" t="s">
        <v>2</v>
      </c>
      <c r="O7" s="739"/>
      <c r="P7" s="738" t="s">
        <v>3</v>
      </c>
      <c r="Q7" s="739"/>
      <c r="R7" s="738" t="s">
        <v>4</v>
      </c>
      <c r="S7" s="739"/>
      <c r="T7" s="727" t="s">
        <v>11</v>
      </c>
      <c r="U7" s="727"/>
      <c r="V7" s="727" t="s">
        <v>95</v>
      </c>
      <c r="W7" s="727"/>
      <c r="X7" s="727" t="s">
        <v>0</v>
      </c>
      <c r="Y7" s="727"/>
      <c r="Z7" s="726" t="s">
        <v>413</v>
      </c>
      <c r="AA7" s="726"/>
      <c r="AB7" s="759"/>
      <c r="AC7" s="759"/>
      <c r="AD7" s="727" t="s">
        <v>106</v>
      </c>
      <c r="AE7" s="727"/>
      <c r="AF7" s="727" t="s">
        <v>118</v>
      </c>
      <c r="AG7" s="727"/>
      <c r="AH7" s="727" t="s">
        <v>401</v>
      </c>
      <c r="AI7" s="727"/>
      <c r="AJ7" s="727"/>
      <c r="AK7" s="727"/>
      <c r="AL7" s="253" t="s">
        <v>95</v>
      </c>
      <c r="AM7" s="254"/>
    </row>
    <row r="8" spans="1:39" s="43" customFormat="1" ht="13.5" thickBot="1">
      <c r="A8" s="255"/>
      <c r="B8" s="256"/>
      <c r="C8" s="256"/>
      <c r="D8" s="256"/>
      <c r="E8" s="257" t="s">
        <v>733</v>
      </c>
      <c r="F8" s="257" t="s">
        <v>734</v>
      </c>
      <c r="G8" s="257" t="s">
        <v>735</v>
      </c>
      <c r="H8" s="257" t="s">
        <v>507</v>
      </c>
      <c r="I8" s="258" t="s">
        <v>81</v>
      </c>
      <c r="J8" s="259" t="s">
        <v>1</v>
      </c>
      <c r="K8" s="259" t="s">
        <v>82</v>
      </c>
      <c r="L8" s="259" t="s">
        <v>84</v>
      </c>
      <c r="M8" s="259" t="s">
        <v>80</v>
      </c>
      <c r="N8" s="260" t="s">
        <v>7</v>
      </c>
      <c r="O8" s="261" t="s">
        <v>6</v>
      </c>
      <c r="P8" s="260" t="s">
        <v>7</v>
      </c>
      <c r="Q8" s="261" t="s">
        <v>6</v>
      </c>
      <c r="R8" s="260" t="s">
        <v>7</v>
      </c>
      <c r="S8" s="261" t="s">
        <v>6</v>
      </c>
      <c r="T8" s="260" t="s">
        <v>7</v>
      </c>
      <c r="U8" s="261" t="s">
        <v>6</v>
      </c>
      <c r="V8" s="261" t="s">
        <v>114</v>
      </c>
      <c r="W8" s="260" t="s">
        <v>96</v>
      </c>
      <c r="X8" s="260" t="s">
        <v>7</v>
      </c>
      <c r="Y8" s="262" t="s">
        <v>5</v>
      </c>
      <c r="Z8" s="260" t="s">
        <v>7</v>
      </c>
      <c r="AA8" s="261" t="s">
        <v>6</v>
      </c>
      <c r="AB8" s="263" t="s">
        <v>7</v>
      </c>
      <c r="AC8" s="264" t="s">
        <v>6</v>
      </c>
      <c r="AD8" s="262" t="s">
        <v>6</v>
      </c>
      <c r="AE8" s="262" t="s">
        <v>6</v>
      </c>
      <c r="AF8" s="261" t="s">
        <v>6</v>
      </c>
      <c r="AG8" s="260" t="s">
        <v>96</v>
      </c>
      <c r="AH8" s="260" t="s">
        <v>7</v>
      </c>
      <c r="AI8" s="262" t="s">
        <v>5</v>
      </c>
      <c r="AJ8" s="260" t="s">
        <v>7</v>
      </c>
      <c r="AK8" s="261" t="s">
        <v>6</v>
      </c>
      <c r="AL8" s="260" t="s">
        <v>96</v>
      </c>
      <c r="AM8" s="265"/>
    </row>
    <row r="9" spans="1:39" s="57" customFormat="1" ht="12.75">
      <c r="A9" s="266"/>
      <c r="B9" s="267"/>
      <c r="C9" s="267"/>
      <c r="D9" s="267"/>
      <c r="E9" s="447"/>
      <c r="F9" s="447"/>
      <c r="G9" s="447"/>
      <c r="H9" s="267"/>
      <c r="I9" s="268" t="s">
        <v>87</v>
      </c>
      <c r="J9" s="267"/>
      <c r="K9" s="267" t="s">
        <v>90</v>
      </c>
      <c r="L9" s="267" t="s">
        <v>92</v>
      </c>
      <c r="M9" s="267" t="s">
        <v>93</v>
      </c>
      <c r="N9" s="740" t="s">
        <v>97</v>
      </c>
      <c r="O9" s="741"/>
      <c r="P9" s="740" t="s">
        <v>98</v>
      </c>
      <c r="Q9" s="741"/>
      <c r="R9" s="740" t="s">
        <v>99</v>
      </c>
      <c r="S9" s="741"/>
      <c r="T9" s="725" t="s">
        <v>115</v>
      </c>
      <c r="U9" s="725"/>
      <c r="V9" s="725" t="s">
        <v>101</v>
      </c>
      <c r="W9" s="725"/>
      <c r="X9" s="725" t="s">
        <v>116</v>
      </c>
      <c r="Y9" s="725"/>
      <c r="Z9" s="269"/>
      <c r="AA9" s="270"/>
      <c r="AB9" s="271"/>
      <c r="AC9" s="272"/>
      <c r="AD9" s="725" t="s">
        <v>105</v>
      </c>
      <c r="AE9" s="725"/>
      <c r="AF9" s="725" t="s">
        <v>119</v>
      </c>
      <c r="AG9" s="725"/>
      <c r="AH9" s="725" t="s">
        <v>406</v>
      </c>
      <c r="AI9" s="725"/>
      <c r="AJ9" s="269"/>
      <c r="AK9" s="270"/>
      <c r="AL9" s="273" t="s">
        <v>101</v>
      </c>
      <c r="AM9" s="274"/>
    </row>
    <row r="10" spans="1:39" s="57" customFormat="1" ht="17.25" customHeight="1" thickBot="1">
      <c r="A10" s="275"/>
      <c r="B10" s="439"/>
      <c r="C10" s="439"/>
      <c r="D10" s="460"/>
      <c r="E10" s="439" t="s">
        <v>736</v>
      </c>
      <c r="F10" s="439" t="s">
        <v>737</v>
      </c>
      <c r="G10" s="439" t="s">
        <v>738</v>
      </c>
      <c r="H10" s="439" t="s">
        <v>508</v>
      </c>
      <c r="I10" s="459" t="s">
        <v>88</v>
      </c>
      <c r="J10" s="460" t="s">
        <v>89</v>
      </c>
      <c r="K10" s="460" t="s">
        <v>91</v>
      </c>
      <c r="L10" s="460" t="s">
        <v>91</v>
      </c>
      <c r="M10" s="460" t="s">
        <v>94</v>
      </c>
      <c r="N10" s="461" t="s">
        <v>103</v>
      </c>
      <c r="O10" s="462" t="s">
        <v>100</v>
      </c>
      <c r="P10" s="461" t="s">
        <v>103</v>
      </c>
      <c r="Q10" s="462" t="s">
        <v>100</v>
      </c>
      <c r="R10" s="461" t="s">
        <v>103</v>
      </c>
      <c r="S10" s="462" t="s">
        <v>100</v>
      </c>
      <c r="T10" s="461" t="s">
        <v>103</v>
      </c>
      <c r="U10" s="462" t="s">
        <v>100</v>
      </c>
      <c r="V10" s="462" t="s">
        <v>100</v>
      </c>
      <c r="W10" s="461" t="s">
        <v>102</v>
      </c>
      <c r="X10" s="461" t="s">
        <v>103</v>
      </c>
      <c r="Y10" s="463" t="s">
        <v>104</v>
      </c>
      <c r="Z10" s="461" t="s">
        <v>103</v>
      </c>
      <c r="AA10" s="462" t="s">
        <v>100</v>
      </c>
      <c r="AB10" s="464" t="s">
        <v>103</v>
      </c>
      <c r="AC10" s="465" t="s">
        <v>100</v>
      </c>
      <c r="AD10" s="463" t="s">
        <v>100</v>
      </c>
      <c r="AE10" s="463" t="s">
        <v>100</v>
      </c>
      <c r="AF10" s="462" t="s">
        <v>100</v>
      </c>
      <c r="AG10" s="461" t="s">
        <v>102</v>
      </c>
      <c r="AH10" s="461" t="s">
        <v>103</v>
      </c>
      <c r="AI10" s="463" t="s">
        <v>104</v>
      </c>
      <c r="AJ10" s="461" t="s">
        <v>103</v>
      </c>
      <c r="AK10" s="462" t="s">
        <v>102</v>
      </c>
      <c r="AL10" s="461" t="s">
        <v>102</v>
      </c>
      <c r="AM10" s="276"/>
    </row>
    <row r="11" spans="1:39" s="68" customFormat="1" ht="12.75" customHeight="1">
      <c r="A11" s="432">
        <v>1</v>
      </c>
      <c r="B11" s="593"/>
      <c r="C11" s="596"/>
      <c r="D11" s="574" t="s">
        <v>418</v>
      </c>
      <c r="E11" s="542" t="s">
        <v>749</v>
      </c>
      <c r="F11" s="543" t="s">
        <v>750</v>
      </c>
      <c r="G11" s="542"/>
      <c r="H11" s="542" t="s">
        <v>749</v>
      </c>
      <c r="I11" s="600">
        <v>40872</v>
      </c>
      <c r="J11" s="542" t="s">
        <v>10</v>
      </c>
      <c r="K11" s="543">
        <v>277</v>
      </c>
      <c r="L11" s="520">
        <v>354</v>
      </c>
      <c r="M11" s="520">
        <v>3</v>
      </c>
      <c r="N11" s="601">
        <v>299242</v>
      </c>
      <c r="O11" s="602">
        <v>29409</v>
      </c>
      <c r="P11" s="601">
        <v>515976</v>
      </c>
      <c r="Q11" s="602">
        <v>50500</v>
      </c>
      <c r="R11" s="601">
        <v>500345</v>
      </c>
      <c r="S11" s="602">
        <v>48845</v>
      </c>
      <c r="T11" s="603">
        <f aca="true" t="shared" si="0" ref="T11:T42">SUM(N11+P11+R11)</f>
        <v>1315563</v>
      </c>
      <c r="U11" s="604">
        <f aca="true" t="shared" si="1" ref="U11:U42">O11+Q11+S11</f>
        <v>128754</v>
      </c>
      <c r="V11" s="544">
        <f>IF(T11&lt;&gt;0,U11/L11,"")</f>
        <v>363.7118644067797</v>
      </c>
      <c r="W11" s="545">
        <f aca="true" t="shared" si="2" ref="W11:W24">IF(T11&lt;&gt;0,T11/U11,"")</f>
        <v>10.217647607064634</v>
      </c>
      <c r="X11" s="546">
        <v>1841107</v>
      </c>
      <c r="Y11" s="547">
        <f aca="true" t="shared" si="3" ref="Y11:Y36">IF(X11&lt;&gt;0,-(X11-T11)/X11,"")</f>
        <v>-0.28545000372058765</v>
      </c>
      <c r="Z11" s="605">
        <f aca="true" t="shared" si="4" ref="Z11:Z42">AB11-T11</f>
        <v>769032</v>
      </c>
      <c r="AA11" s="544">
        <f aca="true" t="shared" si="5" ref="AA11:AA42">AC11-U11</f>
        <v>93456</v>
      </c>
      <c r="AB11" s="606">
        <v>2084595</v>
      </c>
      <c r="AC11" s="607">
        <v>222210</v>
      </c>
      <c r="AD11" s="547">
        <f aca="true" t="shared" si="6" ref="AD11:AD42">U11*1/AC11</f>
        <v>0.5794248683677602</v>
      </c>
      <c r="AE11" s="547">
        <f aca="true" t="shared" si="7" ref="AE11:AE42">AA11*1/AC11</f>
        <v>0.42057513163223975</v>
      </c>
      <c r="AF11" s="544">
        <f aca="true" t="shared" si="8" ref="AF11:AF42">AC11/L11</f>
        <v>627.7118644067797</v>
      </c>
      <c r="AG11" s="545">
        <f aca="true" t="shared" si="9" ref="AG11:AG42">AB11/AC11</f>
        <v>9.38119346564061</v>
      </c>
      <c r="AH11" s="526">
        <v>2856646</v>
      </c>
      <c r="AI11" s="547">
        <f aca="true" t="shared" si="10" ref="AI11:AI17">IF(AH11&lt;&gt;0,-(AH11-AB11)/AH11,"")</f>
        <v>-0.27026484905725107</v>
      </c>
      <c r="AJ11" s="526">
        <v>7895123</v>
      </c>
      <c r="AK11" s="608">
        <v>836033</v>
      </c>
      <c r="AL11" s="548">
        <f>AJ11/AK11</f>
        <v>9.443554261614075</v>
      </c>
      <c r="AM11" s="432">
        <v>1</v>
      </c>
    </row>
    <row r="12" spans="1:39" s="68" customFormat="1" ht="12.75" customHeight="1">
      <c r="A12" s="434">
        <v>2</v>
      </c>
      <c r="B12" s="549"/>
      <c r="C12" s="425"/>
      <c r="D12" s="576" t="s">
        <v>418</v>
      </c>
      <c r="E12" s="21" t="s">
        <v>780</v>
      </c>
      <c r="F12" s="21" t="s">
        <v>787</v>
      </c>
      <c r="G12" s="21"/>
      <c r="H12" s="21" t="s">
        <v>780</v>
      </c>
      <c r="I12" s="360">
        <v>40879</v>
      </c>
      <c r="J12" s="345" t="s">
        <v>28</v>
      </c>
      <c r="K12" s="21">
        <v>35</v>
      </c>
      <c r="L12" s="550">
        <v>140</v>
      </c>
      <c r="M12" s="550">
        <v>2</v>
      </c>
      <c r="N12" s="551">
        <v>157780.5</v>
      </c>
      <c r="O12" s="552">
        <v>17380</v>
      </c>
      <c r="P12" s="551">
        <v>313769.5</v>
      </c>
      <c r="Q12" s="552">
        <v>33401</v>
      </c>
      <c r="R12" s="551">
        <v>327915.5</v>
      </c>
      <c r="S12" s="552">
        <v>34320</v>
      </c>
      <c r="T12" s="18">
        <f t="shared" si="0"/>
        <v>799465.5</v>
      </c>
      <c r="U12" s="19">
        <f t="shared" si="1"/>
        <v>85101</v>
      </c>
      <c r="V12" s="186">
        <f>IF(T12&lt;&gt;0,U12/L12,"")</f>
        <v>607.8642857142858</v>
      </c>
      <c r="W12" s="161">
        <f t="shared" si="2"/>
        <v>9.39431381534882</v>
      </c>
      <c r="X12" s="553">
        <v>1087872.75</v>
      </c>
      <c r="Y12" s="554">
        <f t="shared" si="3"/>
        <v>-0.2651111998163388</v>
      </c>
      <c r="Z12" s="234">
        <f t="shared" si="4"/>
        <v>395024.25</v>
      </c>
      <c r="AA12" s="186">
        <f t="shared" si="5"/>
        <v>50160</v>
      </c>
      <c r="AB12" s="583">
        <v>1194489.75</v>
      </c>
      <c r="AC12" s="584">
        <v>135261</v>
      </c>
      <c r="AD12" s="554">
        <f t="shared" si="6"/>
        <v>0.6291613990729035</v>
      </c>
      <c r="AE12" s="554">
        <f t="shared" si="7"/>
        <v>0.37083860092709653</v>
      </c>
      <c r="AF12" s="186">
        <f t="shared" si="8"/>
        <v>966.15</v>
      </c>
      <c r="AG12" s="161">
        <f t="shared" si="9"/>
        <v>8.830998957570918</v>
      </c>
      <c r="AH12" s="18">
        <v>1709882.25</v>
      </c>
      <c r="AI12" s="554">
        <f t="shared" si="10"/>
        <v>-0.3014198784740879</v>
      </c>
      <c r="AJ12" s="18">
        <f>1709882.25+1194489.75</f>
        <v>2904372</v>
      </c>
      <c r="AK12" s="19">
        <f>195314+135261</f>
        <v>330575</v>
      </c>
      <c r="AL12" s="216">
        <f>+AJ12/AK12</f>
        <v>8.785818649323149</v>
      </c>
      <c r="AM12" s="434">
        <v>2</v>
      </c>
    </row>
    <row r="13" spans="1:39" s="68" customFormat="1" ht="12.75" customHeight="1">
      <c r="A13" s="434">
        <v>3</v>
      </c>
      <c r="B13" s="440"/>
      <c r="C13" s="429" t="s">
        <v>416</v>
      </c>
      <c r="D13" s="576" t="s">
        <v>418</v>
      </c>
      <c r="E13" s="12" t="s">
        <v>687</v>
      </c>
      <c r="F13" s="12" t="s">
        <v>693</v>
      </c>
      <c r="G13" s="12"/>
      <c r="H13" s="12" t="s">
        <v>687</v>
      </c>
      <c r="I13" s="359">
        <v>40851</v>
      </c>
      <c r="J13" s="345" t="s">
        <v>28</v>
      </c>
      <c r="K13" s="14">
        <v>247</v>
      </c>
      <c r="L13" s="550">
        <v>163</v>
      </c>
      <c r="M13" s="550">
        <v>6</v>
      </c>
      <c r="N13" s="551">
        <v>153049.5</v>
      </c>
      <c r="O13" s="552">
        <v>21627</v>
      </c>
      <c r="P13" s="551">
        <v>200784</v>
      </c>
      <c r="Q13" s="552">
        <v>27267</v>
      </c>
      <c r="R13" s="551">
        <v>267847.5</v>
      </c>
      <c r="S13" s="552">
        <v>39566</v>
      </c>
      <c r="T13" s="18">
        <f t="shared" si="0"/>
        <v>621681</v>
      </c>
      <c r="U13" s="19">
        <f t="shared" si="1"/>
        <v>88460</v>
      </c>
      <c r="V13" s="186">
        <f>IF(T13&lt;&gt;0,U13/L13,"")</f>
        <v>542.6993865030674</v>
      </c>
      <c r="W13" s="161">
        <f t="shared" si="2"/>
        <v>7.0278204838345015</v>
      </c>
      <c r="X13" s="553">
        <v>1119411</v>
      </c>
      <c r="Y13" s="554">
        <f t="shared" si="3"/>
        <v>-0.4446356164089865</v>
      </c>
      <c r="Z13" s="234">
        <f t="shared" si="4"/>
        <v>567804.5</v>
      </c>
      <c r="AA13" s="186">
        <f t="shared" si="5"/>
        <v>89810</v>
      </c>
      <c r="AB13" s="583">
        <v>1189485.5</v>
      </c>
      <c r="AC13" s="584">
        <v>178270</v>
      </c>
      <c r="AD13" s="554">
        <f t="shared" si="6"/>
        <v>0.4962136085712683</v>
      </c>
      <c r="AE13" s="554">
        <f t="shared" si="7"/>
        <v>0.5037863914287317</v>
      </c>
      <c r="AF13" s="186">
        <f t="shared" si="8"/>
        <v>1093.6809815950921</v>
      </c>
      <c r="AG13" s="161">
        <f t="shared" si="9"/>
        <v>6.6723817804453915</v>
      </c>
      <c r="AH13" s="18">
        <v>1906742.5</v>
      </c>
      <c r="AI13" s="554">
        <f t="shared" si="10"/>
        <v>-0.3761687800004458</v>
      </c>
      <c r="AJ13" s="18">
        <f>2260223+2366876.75+3859638+3137342+1906742.5+252.25+1189485.5</f>
        <v>14720560</v>
      </c>
      <c r="AK13" s="19">
        <f>286038+329194+554088+452220+278080+42+178270</f>
        <v>2077932</v>
      </c>
      <c r="AL13" s="216">
        <f>+AJ13/AK13</f>
        <v>7.084235672774662</v>
      </c>
      <c r="AM13" s="434">
        <v>3</v>
      </c>
    </row>
    <row r="14" spans="1:39" s="68" customFormat="1" ht="12.75" customHeight="1">
      <c r="A14" s="434">
        <v>4</v>
      </c>
      <c r="B14" s="549"/>
      <c r="C14" s="555"/>
      <c r="D14" s="576" t="s">
        <v>418</v>
      </c>
      <c r="E14" s="556" t="s">
        <v>765</v>
      </c>
      <c r="F14" s="556" t="s">
        <v>788</v>
      </c>
      <c r="G14" s="344"/>
      <c r="H14" s="556" t="s">
        <v>765</v>
      </c>
      <c r="I14" s="360">
        <v>40879</v>
      </c>
      <c r="J14" s="345" t="s">
        <v>30</v>
      </c>
      <c r="K14" s="21">
        <v>202</v>
      </c>
      <c r="L14" s="21">
        <v>202</v>
      </c>
      <c r="M14" s="21">
        <v>2</v>
      </c>
      <c r="N14" s="557">
        <v>134525.5</v>
      </c>
      <c r="O14" s="558">
        <v>14450</v>
      </c>
      <c r="P14" s="557">
        <v>264244</v>
      </c>
      <c r="Q14" s="558">
        <v>27623</v>
      </c>
      <c r="R14" s="557">
        <v>293256.5</v>
      </c>
      <c r="S14" s="558">
        <v>30719</v>
      </c>
      <c r="T14" s="18">
        <f t="shared" si="0"/>
        <v>692026</v>
      </c>
      <c r="U14" s="19">
        <f t="shared" si="1"/>
        <v>72792</v>
      </c>
      <c r="V14" s="19">
        <f>U14/L14</f>
        <v>360.35643564356434</v>
      </c>
      <c r="W14" s="161">
        <f t="shared" si="2"/>
        <v>9.506896362237608</v>
      </c>
      <c r="X14" s="553">
        <v>680101.5</v>
      </c>
      <c r="Y14" s="554">
        <f t="shared" si="3"/>
        <v>0.017533412292135807</v>
      </c>
      <c r="Z14" s="234">
        <f t="shared" si="4"/>
        <v>396587</v>
      </c>
      <c r="AA14" s="186">
        <f t="shared" si="5"/>
        <v>51255</v>
      </c>
      <c r="AB14" s="589">
        <v>1088613</v>
      </c>
      <c r="AC14" s="590">
        <v>124047</v>
      </c>
      <c r="AD14" s="554">
        <f t="shared" si="6"/>
        <v>0.5868098382064862</v>
      </c>
      <c r="AE14" s="554">
        <f t="shared" si="7"/>
        <v>0.41319016179351375</v>
      </c>
      <c r="AF14" s="186">
        <f t="shared" si="8"/>
        <v>614.0940594059406</v>
      </c>
      <c r="AG14" s="161">
        <f t="shared" si="9"/>
        <v>8.775810781397373</v>
      </c>
      <c r="AH14" s="16">
        <v>1080241.5</v>
      </c>
      <c r="AI14" s="554">
        <f t="shared" si="10"/>
        <v>0.007749655979704538</v>
      </c>
      <c r="AJ14" s="16">
        <f>1080241.5+1088613</f>
        <v>2168854.5</v>
      </c>
      <c r="AK14" s="17">
        <f>121812+124047</f>
        <v>245859</v>
      </c>
      <c r="AL14" s="216">
        <f>+AJ14/AK14</f>
        <v>8.821537954681341</v>
      </c>
      <c r="AM14" s="434">
        <v>4</v>
      </c>
    </row>
    <row r="15" spans="1:39" s="68" customFormat="1" ht="12.75" customHeight="1">
      <c r="A15" s="434">
        <v>5</v>
      </c>
      <c r="B15" s="440"/>
      <c r="C15" s="425"/>
      <c r="D15" s="577"/>
      <c r="E15" s="556" t="s">
        <v>689</v>
      </c>
      <c r="F15" s="21" t="s">
        <v>690</v>
      </c>
      <c r="G15" s="14" t="s">
        <v>691</v>
      </c>
      <c r="H15" s="14" t="s">
        <v>692</v>
      </c>
      <c r="I15" s="371">
        <v>40865</v>
      </c>
      <c r="J15" s="345" t="s">
        <v>30</v>
      </c>
      <c r="K15" s="14">
        <v>269</v>
      </c>
      <c r="L15" s="21">
        <v>269</v>
      </c>
      <c r="M15" s="21">
        <v>4</v>
      </c>
      <c r="N15" s="557">
        <v>127989.5</v>
      </c>
      <c r="O15" s="558">
        <v>13996</v>
      </c>
      <c r="P15" s="557">
        <v>282103</v>
      </c>
      <c r="Q15" s="558">
        <v>30833</v>
      </c>
      <c r="R15" s="557">
        <v>260234</v>
      </c>
      <c r="S15" s="558">
        <v>28081</v>
      </c>
      <c r="T15" s="18">
        <f t="shared" si="0"/>
        <v>670326.5</v>
      </c>
      <c r="U15" s="19">
        <f t="shared" si="1"/>
        <v>72910</v>
      </c>
      <c r="V15" s="186">
        <f aca="true" t="shared" si="11" ref="V15:V24">IF(T15&lt;&gt;0,U15/L15,"")</f>
        <v>271.04089219330854</v>
      </c>
      <c r="W15" s="161">
        <f t="shared" si="2"/>
        <v>9.19388972706076</v>
      </c>
      <c r="X15" s="18">
        <v>1055094.5</v>
      </c>
      <c r="Y15" s="554">
        <f t="shared" si="3"/>
        <v>-0.36467633941793837</v>
      </c>
      <c r="Z15" s="234">
        <f t="shared" si="4"/>
        <v>301540</v>
      </c>
      <c r="AA15" s="186">
        <f t="shared" si="5"/>
        <v>39252</v>
      </c>
      <c r="AB15" s="589">
        <v>971866.5</v>
      </c>
      <c r="AC15" s="590">
        <v>112162</v>
      </c>
      <c r="AD15" s="554">
        <f t="shared" si="6"/>
        <v>0.6500419036750414</v>
      </c>
      <c r="AE15" s="554">
        <f t="shared" si="7"/>
        <v>0.34995809632495856</v>
      </c>
      <c r="AF15" s="186">
        <f t="shared" si="8"/>
        <v>416.95910780669146</v>
      </c>
      <c r="AG15" s="161">
        <f t="shared" si="9"/>
        <v>8.664846382910433</v>
      </c>
      <c r="AH15" s="16">
        <v>1490952</v>
      </c>
      <c r="AI15" s="554">
        <f t="shared" si="10"/>
        <v>-0.3481570835278399</v>
      </c>
      <c r="AJ15" s="16">
        <f>5909490.25+3097966.75+1490952+971866.5</f>
        <v>11470275.5</v>
      </c>
      <c r="AK15" s="17">
        <f>649738+347416+170125+112162</f>
        <v>1279441</v>
      </c>
      <c r="AL15" s="216">
        <f>+AJ15/AK15</f>
        <v>8.96506794764276</v>
      </c>
      <c r="AM15" s="434">
        <v>5</v>
      </c>
    </row>
    <row r="16" spans="1:39" s="68" customFormat="1" ht="12.75" customHeight="1">
      <c r="A16" s="434">
        <v>6</v>
      </c>
      <c r="B16" s="549"/>
      <c r="C16" s="429" t="s">
        <v>416</v>
      </c>
      <c r="D16" s="580"/>
      <c r="E16" s="345" t="s">
        <v>766</v>
      </c>
      <c r="F16" s="21" t="s">
        <v>789</v>
      </c>
      <c r="G16" s="345" t="s">
        <v>697</v>
      </c>
      <c r="H16" s="345" t="s">
        <v>767</v>
      </c>
      <c r="I16" s="359">
        <v>40879</v>
      </c>
      <c r="J16" s="345" t="s">
        <v>10</v>
      </c>
      <c r="K16" s="21">
        <v>114</v>
      </c>
      <c r="L16" s="12">
        <v>110</v>
      </c>
      <c r="M16" s="12">
        <v>2</v>
      </c>
      <c r="N16" s="16">
        <v>59723</v>
      </c>
      <c r="O16" s="17">
        <v>5535</v>
      </c>
      <c r="P16" s="16">
        <v>204805</v>
      </c>
      <c r="Q16" s="17">
        <v>17173</v>
      </c>
      <c r="R16" s="16">
        <v>193503</v>
      </c>
      <c r="S16" s="17">
        <v>16572</v>
      </c>
      <c r="T16" s="18">
        <f t="shared" si="0"/>
        <v>458031</v>
      </c>
      <c r="U16" s="19">
        <f t="shared" si="1"/>
        <v>39280</v>
      </c>
      <c r="V16" s="186">
        <f t="shared" si="11"/>
        <v>357.09090909090907</v>
      </c>
      <c r="W16" s="161">
        <f t="shared" si="2"/>
        <v>11.66066700610998</v>
      </c>
      <c r="X16" s="559">
        <v>567087</v>
      </c>
      <c r="Y16" s="554">
        <f t="shared" si="3"/>
        <v>-0.19230911659057606</v>
      </c>
      <c r="Z16" s="234">
        <f t="shared" si="4"/>
        <v>99919</v>
      </c>
      <c r="AA16" s="186">
        <f t="shared" si="5"/>
        <v>11252</v>
      </c>
      <c r="AB16" s="591">
        <v>557950</v>
      </c>
      <c r="AC16" s="592">
        <v>50532</v>
      </c>
      <c r="AD16" s="554">
        <f t="shared" si="6"/>
        <v>0.7773292171297396</v>
      </c>
      <c r="AE16" s="554">
        <f t="shared" si="7"/>
        <v>0.22267078287026043</v>
      </c>
      <c r="AF16" s="186">
        <f t="shared" si="8"/>
        <v>459.3818181818182</v>
      </c>
      <c r="AG16" s="161">
        <f t="shared" si="9"/>
        <v>11.041518245864006</v>
      </c>
      <c r="AH16" s="156">
        <v>670703</v>
      </c>
      <c r="AI16" s="554">
        <f t="shared" si="10"/>
        <v>-0.16811166790665913</v>
      </c>
      <c r="AJ16" s="156">
        <v>1228653</v>
      </c>
      <c r="AK16" s="236">
        <v>108930</v>
      </c>
      <c r="AL16" s="396">
        <f>AJ16/AK16</f>
        <v>11.279289451941613</v>
      </c>
      <c r="AM16" s="434">
        <v>6</v>
      </c>
    </row>
    <row r="17" spans="1:39" s="68" customFormat="1" ht="12.75" customHeight="1">
      <c r="A17" s="434">
        <v>7</v>
      </c>
      <c r="B17" s="440"/>
      <c r="C17" s="425"/>
      <c r="D17" s="575"/>
      <c r="E17" s="21" t="s">
        <v>768</v>
      </c>
      <c r="F17" s="21" t="s">
        <v>790</v>
      </c>
      <c r="G17" s="21" t="s">
        <v>695</v>
      </c>
      <c r="H17" s="21" t="s">
        <v>769</v>
      </c>
      <c r="I17" s="360">
        <v>40879</v>
      </c>
      <c r="J17" s="345" t="s">
        <v>8</v>
      </c>
      <c r="K17" s="21">
        <v>100</v>
      </c>
      <c r="L17" s="14">
        <v>90</v>
      </c>
      <c r="M17" s="14">
        <v>2</v>
      </c>
      <c r="N17" s="156">
        <v>67429</v>
      </c>
      <c r="O17" s="236">
        <v>4918</v>
      </c>
      <c r="P17" s="156">
        <v>127158</v>
      </c>
      <c r="Q17" s="236">
        <v>9325</v>
      </c>
      <c r="R17" s="156">
        <v>123968</v>
      </c>
      <c r="S17" s="236">
        <v>9114</v>
      </c>
      <c r="T17" s="18">
        <f t="shared" si="0"/>
        <v>318555</v>
      </c>
      <c r="U17" s="19">
        <f t="shared" si="1"/>
        <v>23357</v>
      </c>
      <c r="V17" s="186">
        <f t="shared" si="11"/>
        <v>259.52222222222224</v>
      </c>
      <c r="W17" s="161">
        <f t="shared" si="2"/>
        <v>13.63852378302008</v>
      </c>
      <c r="X17" s="553">
        <v>348686</v>
      </c>
      <c r="Y17" s="554">
        <f t="shared" si="3"/>
        <v>-0.08641299048427525</v>
      </c>
      <c r="Z17" s="234">
        <f t="shared" si="4"/>
        <v>150819</v>
      </c>
      <c r="AA17" s="186">
        <f t="shared" si="5"/>
        <v>13657</v>
      </c>
      <c r="AB17" s="587">
        <v>469374</v>
      </c>
      <c r="AC17" s="588">
        <v>37014</v>
      </c>
      <c r="AD17" s="554">
        <f t="shared" si="6"/>
        <v>0.6310315015939915</v>
      </c>
      <c r="AE17" s="554">
        <f t="shared" si="7"/>
        <v>0.36896849840600854</v>
      </c>
      <c r="AF17" s="186">
        <f t="shared" si="8"/>
        <v>411.26666666666665</v>
      </c>
      <c r="AG17" s="161">
        <f t="shared" si="9"/>
        <v>12.680985573026422</v>
      </c>
      <c r="AH17" s="18">
        <v>529301</v>
      </c>
      <c r="AI17" s="554">
        <f t="shared" si="10"/>
        <v>-0.11321913240292386</v>
      </c>
      <c r="AJ17" s="13">
        <v>998675</v>
      </c>
      <c r="AK17" s="312">
        <v>80828</v>
      </c>
      <c r="AL17" s="216">
        <f>+AJ17/AK17</f>
        <v>12.35555748008116</v>
      </c>
      <c r="AM17" s="434">
        <v>7</v>
      </c>
    </row>
    <row r="18" spans="1:39" s="68" customFormat="1" ht="12.75" customHeight="1">
      <c r="A18" s="434">
        <v>8</v>
      </c>
      <c r="B18" s="427" t="s">
        <v>414</v>
      </c>
      <c r="C18" s="426"/>
      <c r="D18" s="576" t="s">
        <v>418</v>
      </c>
      <c r="E18" s="354" t="s">
        <v>791</v>
      </c>
      <c r="F18" s="21" t="s">
        <v>792</v>
      </c>
      <c r="G18" s="354"/>
      <c r="H18" s="354" t="s">
        <v>791</v>
      </c>
      <c r="I18" s="360">
        <v>40886</v>
      </c>
      <c r="J18" s="345" t="s">
        <v>23</v>
      </c>
      <c r="K18" s="354">
        <v>161</v>
      </c>
      <c r="L18" s="21">
        <v>161</v>
      </c>
      <c r="M18" s="21">
        <v>1</v>
      </c>
      <c r="N18" s="551">
        <v>47687</v>
      </c>
      <c r="O18" s="552">
        <v>5273</v>
      </c>
      <c r="P18" s="551">
        <v>101287</v>
      </c>
      <c r="Q18" s="552">
        <v>10749</v>
      </c>
      <c r="R18" s="551">
        <v>116864</v>
      </c>
      <c r="S18" s="552">
        <v>12863</v>
      </c>
      <c r="T18" s="18">
        <f t="shared" si="0"/>
        <v>265838</v>
      </c>
      <c r="U18" s="19">
        <f t="shared" si="1"/>
        <v>28885</v>
      </c>
      <c r="V18" s="186">
        <f t="shared" si="11"/>
        <v>179.40993788819875</v>
      </c>
      <c r="W18" s="161">
        <f t="shared" si="2"/>
        <v>9.20332352432058</v>
      </c>
      <c r="X18" s="553"/>
      <c r="Y18" s="554">
        <f t="shared" si="3"/>
      </c>
      <c r="Z18" s="234">
        <f t="shared" si="4"/>
        <v>176333</v>
      </c>
      <c r="AA18" s="186">
        <f t="shared" si="5"/>
        <v>22613</v>
      </c>
      <c r="AB18" s="583">
        <v>442171</v>
      </c>
      <c r="AC18" s="584">
        <v>51498</v>
      </c>
      <c r="AD18" s="554">
        <f t="shared" si="6"/>
        <v>0.5608955687599518</v>
      </c>
      <c r="AE18" s="554">
        <f t="shared" si="7"/>
        <v>0.43910443124004817</v>
      </c>
      <c r="AF18" s="186">
        <f t="shared" si="8"/>
        <v>319.8633540372671</v>
      </c>
      <c r="AG18" s="161">
        <f t="shared" si="9"/>
        <v>8.58617810400404</v>
      </c>
      <c r="AH18" s="18"/>
      <c r="AI18" s="554"/>
      <c r="AJ18" s="18">
        <v>442171</v>
      </c>
      <c r="AK18" s="19">
        <v>51498</v>
      </c>
      <c r="AL18" s="396">
        <f aca="true" t="shared" si="12" ref="AL18:AL36">AJ18/AK18</f>
        <v>8.58617810400404</v>
      </c>
      <c r="AM18" s="434">
        <v>8</v>
      </c>
    </row>
    <row r="19" spans="1:39" s="68" customFormat="1" ht="12.75" customHeight="1">
      <c r="A19" s="434">
        <v>9</v>
      </c>
      <c r="B19" s="549"/>
      <c r="C19" s="425"/>
      <c r="D19" s="575"/>
      <c r="E19" s="21" t="s">
        <v>679</v>
      </c>
      <c r="F19" s="21" t="s">
        <v>694</v>
      </c>
      <c r="G19" s="21" t="s">
        <v>695</v>
      </c>
      <c r="H19" s="21" t="s">
        <v>680</v>
      </c>
      <c r="I19" s="360">
        <v>40858</v>
      </c>
      <c r="J19" s="345" t="s">
        <v>8</v>
      </c>
      <c r="K19" s="21">
        <v>132</v>
      </c>
      <c r="L19" s="14">
        <v>73</v>
      </c>
      <c r="M19" s="14">
        <v>5</v>
      </c>
      <c r="N19" s="156">
        <v>51198</v>
      </c>
      <c r="O19" s="236">
        <v>4511</v>
      </c>
      <c r="P19" s="156">
        <v>93277</v>
      </c>
      <c r="Q19" s="236">
        <v>8253</v>
      </c>
      <c r="R19" s="156">
        <v>87423</v>
      </c>
      <c r="S19" s="236">
        <v>7860</v>
      </c>
      <c r="T19" s="18">
        <f t="shared" si="0"/>
        <v>231898</v>
      </c>
      <c r="U19" s="19">
        <f t="shared" si="1"/>
        <v>20624</v>
      </c>
      <c r="V19" s="186">
        <f t="shared" si="11"/>
        <v>282.52054794520546</v>
      </c>
      <c r="W19" s="161">
        <f t="shared" si="2"/>
        <v>11.244084561675718</v>
      </c>
      <c r="X19" s="553">
        <v>301301</v>
      </c>
      <c r="Y19" s="554">
        <f t="shared" si="3"/>
        <v>-0.23034440642414064</v>
      </c>
      <c r="Z19" s="234">
        <f t="shared" si="4"/>
        <v>132755</v>
      </c>
      <c r="AA19" s="186">
        <f t="shared" si="5"/>
        <v>14228</v>
      </c>
      <c r="AB19" s="587">
        <v>364653</v>
      </c>
      <c r="AC19" s="588">
        <v>34852</v>
      </c>
      <c r="AD19" s="554">
        <f t="shared" si="6"/>
        <v>0.5917594399173649</v>
      </c>
      <c r="AE19" s="554">
        <f t="shared" si="7"/>
        <v>0.40824056008263515</v>
      </c>
      <c r="AF19" s="186">
        <f t="shared" si="8"/>
        <v>477.4246575342466</v>
      </c>
      <c r="AG19" s="161">
        <f t="shared" si="9"/>
        <v>10.462900263973372</v>
      </c>
      <c r="AH19" s="156">
        <v>473207</v>
      </c>
      <c r="AI19" s="554">
        <f>IF(AH19&lt;&gt;0,-(AH19-AB19)/AH19,"")</f>
        <v>-0.22940066398003411</v>
      </c>
      <c r="AJ19" s="13">
        <v>5839909</v>
      </c>
      <c r="AK19" s="312">
        <v>522583</v>
      </c>
      <c r="AL19" s="396">
        <f t="shared" si="12"/>
        <v>11.175084149312166</v>
      </c>
      <c r="AM19" s="434">
        <v>9</v>
      </c>
    </row>
    <row r="20" spans="1:39" s="68" customFormat="1" ht="12.75" customHeight="1">
      <c r="A20" s="434">
        <v>10</v>
      </c>
      <c r="B20" s="427" t="s">
        <v>414</v>
      </c>
      <c r="C20" s="426"/>
      <c r="D20" s="576" t="s">
        <v>418</v>
      </c>
      <c r="E20" s="345" t="s">
        <v>793</v>
      </c>
      <c r="F20" s="21" t="s">
        <v>794</v>
      </c>
      <c r="G20" s="345"/>
      <c r="H20" s="345" t="s">
        <v>793</v>
      </c>
      <c r="I20" s="360">
        <v>40886</v>
      </c>
      <c r="J20" s="345" t="s">
        <v>134</v>
      </c>
      <c r="K20" s="21">
        <v>82</v>
      </c>
      <c r="L20" s="12">
        <v>82</v>
      </c>
      <c r="M20" s="12">
        <v>1</v>
      </c>
      <c r="N20" s="13">
        <v>42745</v>
      </c>
      <c r="O20" s="312">
        <v>4432</v>
      </c>
      <c r="P20" s="13">
        <v>79775</v>
      </c>
      <c r="Q20" s="312">
        <v>8158</v>
      </c>
      <c r="R20" s="13">
        <v>90499</v>
      </c>
      <c r="S20" s="312">
        <v>9116</v>
      </c>
      <c r="T20" s="18">
        <f t="shared" si="0"/>
        <v>213019</v>
      </c>
      <c r="U20" s="19">
        <f t="shared" si="1"/>
        <v>21706</v>
      </c>
      <c r="V20" s="186">
        <f t="shared" si="11"/>
        <v>264.7073170731707</v>
      </c>
      <c r="W20" s="161">
        <f t="shared" si="2"/>
        <v>9.81383027734267</v>
      </c>
      <c r="X20" s="559"/>
      <c r="Y20" s="554">
        <f t="shared" si="3"/>
      </c>
      <c r="Z20" s="234">
        <f t="shared" si="4"/>
        <v>141994.5</v>
      </c>
      <c r="AA20" s="186">
        <f t="shared" si="5"/>
        <v>17958</v>
      </c>
      <c r="AB20" s="581">
        <v>355013.5</v>
      </c>
      <c r="AC20" s="582">
        <v>39664</v>
      </c>
      <c r="AD20" s="554">
        <f t="shared" si="6"/>
        <v>0.547246873739411</v>
      </c>
      <c r="AE20" s="554">
        <f t="shared" si="7"/>
        <v>0.45275312626058895</v>
      </c>
      <c r="AF20" s="186">
        <f t="shared" si="8"/>
        <v>483.7073170731707</v>
      </c>
      <c r="AG20" s="161">
        <f t="shared" si="9"/>
        <v>8.950521883824123</v>
      </c>
      <c r="AH20" s="156"/>
      <c r="AI20" s="554"/>
      <c r="AJ20" s="199">
        <v>355013.5</v>
      </c>
      <c r="AK20" s="201">
        <v>39664</v>
      </c>
      <c r="AL20" s="396">
        <f t="shared" si="12"/>
        <v>8.950521883824123</v>
      </c>
      <c r="AM20" s="434">
        <v>10</v>
      </c>
    </row>
    <row r="21" spans="1:39" s="68" customFormat="1" ht="12.75" customHeight="1">
      <c r="A21" s="434">
        <v>11</v>
      </c>
      <c r="B21" s="427" t="s">
        <v>414</v>
      </c>
      <c r="C21" s="431"/>
      <c r="D21" s="580"/>
      <c r="E21" s="345" t="s">
        <v>795</v>
      </c>
      <c r="F21" s="21" t="s">
        <v>796</v>
      </c>
      <c r="G21" s="345" t="s">
        <v>697</v>
      </c>
      <c r="H21" s="345" t="s">
        <v>797</v>
      </c>
      <c r="I21" s="360">
        <v>40886</v>
      </c>
      <c r="J21" s="345" t="s">
        <v>10</v>
      </c>
      <c r="K21" s="21">
        <v>25</v>
      </c>
      <c r="L21" s="12">
        <v>25</v>
      </c>
      <c r="M21" s="12">
        <v>1</v>
      </c>
      <c r="N21" s="16">
        <v>44826</v>
      </c>
      <c r="O21" s="17">
        <v>3185</v>
      </c>
      <c r="P21" s="16">
        <v>70696</v>
      </c>
      <c r="Q21" s="17">
        <v>4980</v>
      </c>
      <c r="R21" s="16">
        <v>60481</v>
      </c>
      <c r="S21" s="17">
        <v>4274</v>
      </c>
      <c r="T21" s="18">
        <f t="shared" si="0"/>
        <v>176003</v>
      </c>
      <c r="U21" s="19">
        <f t="shared" si="1"/>
        <v>12439</v>
      </c>
      <c r="V21" s="186">
        <f t="shared" si="11"/>
        <v>497.56</v>
      </c>
      <c r="W21" s="161">
        <f t="shared" si="2"/>
        <v>14.149288528016722</v>
      </c>
      <c r="X21" s="559"/>
      <c r="Y21" s="554">
        <f t="shared" si="3"/>
      </c>
      <c r="Z21" s="234">
        <f t="shared" si="4"/>
        <v>68996</v>
      </c>
      <c r="AA21" s="186">
        <f t="shared" si="5"/>
        <v>6730</v>
      </c>
      <c r="AB21" s="591">
        <v>244999</v>
      </c>
      <c r="AC21" s="592">
        <v>19169</v>
      </c>
      <c r="AD21" s="554">
        <f t="shared" si="6"/>
        <v>0.6489123063279253</v>
      </c>
      <c r="AE21" s="554">
        <f t="shared" si="7"/>
        <v>0.3510876936720747</v>
      </c>
      <c r="AF21" s="186">
        <f t="shared" si="8"/>
        <v>766.76</v>
      </c>
      <c r="AG21" s="161">
        <f t="shared" si="9"/>
        <v>12.781000573843185</v>
      </c>
      <c r="AH21" s="156"/>
      <c r="AI21" s="554"/>
      <c r="AJ21" s="156">
        <v>244999</v>
      </c>
      <c r="AK21" s="236">
        <v>19169</v>
      </c>
      <c r="AL21" s="396">
        <f t="shared" si="12"/>
        <v>12.781000573843185</v>
      </c>
      <c r="AM21" s="434">
        <v>11</v>
      </c>
    </row>
    <row r="22" spans="1:39" s="68" customFormat="1" ht="12.75" customHeight="1">
      <c r="A22" s="434">
        <v>12</v>
      </c>
      <c r="B22" s="549"/>
      <c r="C22" s="426"/>
      <c r="D22" s="577"/>
      <c r="E22" s="354" t="s">
        <v>770</v>
      </c>
      <c r="F22" s="21" t="s">
        <v>798</v>
      </c>
      <c r="G22" s="354" t="s">
        <v>799</v>
      </c>
      <c r="H22" s="354" t="s">
        <v>771</v>
      </c>
      <c r="I22" s="359">
        <v>40879</v>
      </c>
      <c r="J22" s="345" t="s">
        <v>23</v>
      </c>
      <c r="K22" s="354">
        <v>38</v>
      </c>
      <c r="L22" s="21">
        <v>38</v>
      </c>
      <c r="M22" s="21">
        <v>2</v>
      </c>
      <c r="N22" s="551">
        <v>28805</v>
      </c>
      <c r="O22" s="552">
        <v>2448</v>
      </c>
      <c r="P22" s="551">
        <v>51284</v>
      </c>
      <c r="Q22" s="552">
        <v>4261</v>
      </c>
      <c r="R22" s="551">
        <v>52601</v>
      </c>
      <c r="S22" s="552">
        <v>4348</v>
      </c>
      <c r="T22" s="18">
        <f t="shared" si="0"/>
        <v>132690</v>
      </c>
      <c r="U22" s="19">
        <f t="shared" si="1"/>
        <v>11057</v>
      </c>
      <c r="V22" s="186">
        <f t="shared" si="11"/>
        <v>290.9736842105263</v>
      </c>
      <c r="W22" s="161">
        <f t="shared" si="2"/>
        <v>12.000542642669801</v>
      </c>
      <c r="X22" s="553">
        <v>164224</v>
      </c>
      <c r="Y22" s="554">
        <f t="shared" si="3"/>
        <v>-0.19201821901792673</v>
      </c>
      <c r="Z22" s="234">
        <f t="shared" si="4"/>
        <v>66320</v>
      </c>
      <c r="AA22" s="186">
        <f t="shared" si="5"/>
        <v>7424</v>
      </c>
      <c r="AB22" s="583">
        <v>199010</v>
      </c>
      <c r="AC22" s="584">
        <v>18481</v>
      </c>
      <c r="AD22" s="554">
        <f t="shared" si="6"/>
        <v>0.5982901358151616</v>
      </c>
      <c r="AE22" s="554">
        <f t="shared" si="7"/>
        <v>0.4017098641848385</v>
      </c>
      <c r="AF22" s="186">
        <f t="shared" si="8"/>
        <v>486.3421052631579</v>
      </c>
      <c r="AG22" s="161">
        <f t="shared" si="9"/>
        <v>10.768356690655267</v>
      </c>
      <c r="AH22" s="18">
        <v>241091</v>
      </c>
      <c r="AI22" s="554">
        <f>IF(AH22&lt;&gt;0,-(AH22-AB22)/AH22,"")</f>
        <v>-0.17454405183105134</v>
      </c>
      <c r="AJ22" s="18">
        <v>440101</v>
      </c>
      <c r="AK22" s="19">
        <v>40365</v>
      </c>
      <c r="AL22" s="396">
        <f t="shared" si="12"/>
        <v>10.903034807382634</v>
      </c>
      <c r="AM22" s="434">
        <v>12</v>
      </c>
    </row>
    <row r="23" spans="1:39" s="68" customFormat="1" ht="12.75" customHeight="1">
      <c r="A23" s="434">
        <v>13</v>
      </c>
      <c r="B23" s="424"/>
      <c r="C23" s="425"/>
      <c r="D23" s="576" t="s">
        <v>418</v>
      </c>
      <c r="E23" s="556" t="s">
        <v>662</v>
      </c>
      <c r="F23" s="556" t="s">
        <v>691</v>
      </c>
      <c r="G23" s="556"/>
      <c r="H23" s="556" t="s">
        <v>662</v>
      </c>
      <c r="I23" s="360">
        <v>40844</v>
      </c>
      <c r="J23" s="345" t="s">
        <v>30</v>
      </c>
      <c r="K23" s="21">
        <v>278</v>
      </c>
      <c r="L23" s="21">
        <v>80</v>
      </c>
      <c r="M23" s="21">
        <v>7</v>
      </c>
      <c r="N23" s="557">
        <v>14612.5</v>
      </c>
      <c r="O23" s="558">
        <v>1899</v>
      </c>
      <c r="P23" s="557">
        <v>31573.5</v>
      </c>
      <c r="Q23" s="558">
        <v>3808</v>
      </c>
      <c r="R23" s="557">
        <v>30876.5</v>
      </c>
      <c r="S23" s="558">
        <v>3680</v>
      </c>
      <c r="T23" s="18">
        <f t="shared" si="0"/>
        <v>77062.5</v>
      </c>
      <c r="U23" s="19">
        <f t="shared" si="1"/>
        <v>9387</v>
      </c>
      <c r="V23" s="186">
        <f t="shared" si="11"/>
        <v>117.3375</v>
      </c>
      <c r="W23" s="161">
        <f t="shared" si="2"/>
        <v>8.209491850431448</v>
      </c>
      <c r="X23" s="553">
        <v>250987</v>
      </c>
      <c r="Y23" s="554">
        <f t="shared" si="3"/>
        <v>-0.6929621852924653</v>
      </c>
      <c r="Z23" s="234">
        <f t="shared" si="4"/>
        <v>38094.5</v>
      </c>
      <c r="AA23" s="186">
        <f t="shared" si="5"/>
        <v>5491</v>
      </c>
      <c r="AB23" s="589">
        <v>115157</v>
      </c>
      <c r="AC23" s="590">
        <v>14878</v>
      </c>
      <c r="AD23" s="554">
        <f t="shared" si="6"/>
        <v>0.630931576824842</v>
      </c>
      <c r="AE23" s="554">
        <f t="shared" si="7"/>
        <v>0.369068423175158</v>
      </c>
      <c r="AF23" s="186">
        <f t="shared" si="8"/>
        <v>185.975</v>
      </c>
      <c r="AG23" s="161">
        <f t="shared" si="9"/>
        <v>7.740086033068961</v>
      </c>
      <c r="AH23" s="16">
        <v>353523.5</v>
      </c>
      <c r="AI23" s="554">
        <f>IF(AH23&lt;&gt;0,-(AH23-AB23)/AH23,"")</f>
        <v>-0.674259278378948</v>
      </c>
      <c r="AJ23" s="16">
        <f>2021467.25+4147826.75+1641146.5+1086471.5+837723.5+353523.5+115157</f>
        <v>10203316</v>
      </c>
      <c r="AK23" s="17">
        <f>231121+459388+190384+130345+104513+46481+14878</f>
        <v>1177110</v>
      </c>
      <c r="AL23" s="396">
        <f t="shared" si="12"/>
        <v>8.668107483582673</v>
      </c>
      <c r="AM23" s="434">
        <v>13</v>
      </c>
    </row>
    <row r="24" spans="1:39" s="68" customFormat="1" ht="12.75" customHeight="1">
      <c r="A24" s="434">
        <v>14</v>
      </c>
      <c r="B24" s="424"/>
      <c r="C24" s="425"/>
      <c r="D24" s="576" t="s">
        <v>418</v>
      </c>
      <c r="E24" s="21" t="s">
        <v>772</v>
      </c>
      <c r="F24" s="21" t="s">
        <v>800</v>
      </c>
      <c r="G24" s="21"/>
      <c r="H24" s="21" t="s">
        <v>772</v>
      </c>
      <c r="I24" s="360">
        <v>40879</v>
      </c>
      <c r="J24" s="345" t="s">
        <v>8</v>
      </c>
      <c r="K24" s="21">
        <v>39</v>
      </c>
      <c r="L24" s="14">
        <v>34</v>
      </c>
      <c r="M24" s="14">
        <v>2</v>
      </c>
      <c r="N24" s="156">
        <v>8560</v>
      </c>
      <c r="O24" s="236">
        <v>843</v>
      </c>
      <c r="P24" s="156">
        <v>15064</v>
      </c>
      <c r="Q24" s="236">
        <v>1484</v>
      </c>
      <c r="R24" s="156">
        <v>16523</v>
      </c>
      <c r="S24" s="236">
        <v>1620</v>
      </c>
      <c r="T24" s="18">
        <f t="shared" si="0"/>
        <v>40147</v>
      </c>
      <c r="U24" s="19">
        <f t="shared" si="1"/>
        <v>3947</v>
      </c>
      <c r="V24" s="186">
        <f t="shared" si="11"/>
        <v>116.08823529411765</v>
      </c>
      <c r="W24" s="161">
        <f t="shared" si="2"/>
        <v>10.171522675449708</v>
      </c>
      <c r="X24" s="553">
        <v>70386</v>
      </c>
      <c r="Y24" s="554">
        <f t="shared" si="3"/>
        <v>-0.4296166851362487</v>
      </c>
      <c r="Z24" s="234">
        <f t="shared" si="4"/>
        <v>24264</v>
      </c>
      <c r="AA24" s="186">
        <f t="shared" si="5"/>
        <v>2812</v>
      </c>
      <c r="AB24" s="587">
        <v>64411</v>
      </c>
      <c r="AC24" s="588">
        <v>6759</v>
      </c>
      <c r="AD24" s="554">
        <f t="shared" si="6"/>
        <v>0.5839621245746413</v>
      </c>
      <c r="AE24" s="554">
        <f t="shared" si="7"/>
        <v>0.4160378754253588</v>
      </c>
      <c r="AF24" s="186">
        <f t="shared" si="8"/>
        <v>198.7941176470588</v>
      </c>
      <c r="AG24" s="161">
        <f t="shared" si="9"/>
        <v>9.529664151501702</v>
      </c>
      <c r="AH24" s="18">
        <v>120217</v>
      </c>
      <c r="AI24" s="554">
        <f>IF(AH24&lt;&gt;0,-(AH24-AB24)/AH24,"")</f>
        <v>-0.4642105525840771</v>
      </c>
      <c r="AJ24" s="13">
        <v>184628</v>
      </c>
      <c r="AK24" s="312">
        <v>19637</v>
      </c>
      <c r="AL24" s="396">
        <f t="shared" si="12"/>
        <v>9.402047155879208</v>
      </c>
      <c r="AM24" s="434">
        <v>14</v>
      </c>
    </row>
    <row r="25" spans="1:39" s="68" customFormat="1" ht="12.75" customHeight="1">
      <c r="A25" s="434">
        <v>15</v>
      </c>
      <c r="B25" s="424"/>
      <c r="C25" s="425"/>
      <c r="D25" s="575"/>
      <c r="E25" s="556" t="s">
        <v>754</v>
      </c>
      <c r="F25" s="21" t="s">
        <v>755</v>
      </c>
      <c r="G25" s="344" t="s">
        <v>720</v>
      </c>
      <c r="H25" s="556" t="s">
        <v>756</v>
      </c>
      <c r="I25" s="360">
        <v>40872</v>
      </c>
      <c r="J25" s="345" t="s">
        <v>30</v>
      </c>
      <c r="K25" s="21">
        <v>20</v>
      </c>
      <c r="L25" s="21">
        <v>13</v>
      </c>
      <c r="M25" s="21">
        <v>3</v>
      </c>
      <c r="N25" s="557">
        <v>9802.5</v>
      </c>
      <c r="O25" s="558">
        <v>737</v>
      </c>
      <c r="P25" s="557">
        <v>15226</v>
      </c>
      <c r="Q25" s="558">
        <v>1126</v>
      </c>
      <c r="R25" s="557">
        <v>14412</v>
      </c>
      <c r="S25" s="558">
        <v>1062</v>
      </c>
      <c r="T25" s="18">
        <f t="shared" si="0"/>
        <v>39440.5</v>
      </c>
      <c r="U25" s="19">
        <f t="shared" si="1"/>
        <v>2925</v>
      </c>
      <c r="V25" s="560">
        <f>+U25/L25</f>
        <v>225</v>
      </c>
      <c r="W25" s="561">
        <f>+T25/U25</f>
        <v>13.483931623931625</v>
      </c>
      <c r="X25" s="553">
        <v>76973</v>
      </c>
      <c r="Y25" s="554">
        <f t="shared" si="3"/>
        <v>-0.4876060436776532</v>
      </c>
      <c r="Z25" s="234">
        <f t="shared" si="4"/>
        <v>22159</v>
      </c>
      <c r="AA25" s="186">
        <f t="shared" si="5"/>
        <v>2127</v>
      </c>
      <c r="AB25" s="589">
        <v>61599.5</v>
      </c>
      <c r="AC25" s="590">
        <v>5052</v>
      </c>
      <c r="AD25" s="554">
        <f t="shared" si="6"/>
        <v>0.578978622327791</v>
      </c>
      <c r="AE25" s="554">
        <f t="shared" si="7"/>
        <v>0.42102137767220904</v>
      </c>
      <c r="AF25" s="186">
        <f t="shared" si="8"/>
        <v>388.61538461538464</v>
      </c>
      <c r="AG25" s="161">
        <f t="shared" si="9"/>
        <v>12.193091844813935</v>
      </c>
      <c r="AH25" s="16">
        <v>122916.5</v>
      </c>
      <c r="AI25" s="554">
        <f>IF(AH25&lt;&gt;0,-(AH25-AB25)/AH25,"")</f>
        <v>-0.49885084589945206</v>
      </c>
      <c r="AJ25" s="16">
        <f>176767+122916.5+61599.5</f>
        <v>361283</v>
      </c>
      <c r="AK25" s="17">
        <f>14023+9525+5052</f>
        <v>28600</v>
      </c>
      <c r="AL25" s="396">
        <f t="shared" si="12"/>
        <v>12.632272727272728</v>
      </c>
      <c r="AM25" s="434">
        <v>15</v>
      </c>
    </row>
    <row r="26" spans="1:39" s="68" customFormat="1" ht="12.75" customHeight="1">
      <c r="A26" s="434">
        <v>16</v>
      </c>
      <c r="B26" s="424"/>
      <c r="C26" s="425"/>
      <c r="D26" s="575"/>
      <c r="E26" s="354" t="s">
        <v>751</v>
      </c>
      <c r="F26" s="21" t="s">
        <v>752</v>
      </c>
      <c r="G26" s="354" t="s">
        <v>704</v>
      </c>
      <c r="H26" s="354" t="s">
        <v>753</v>
      </c>
      <c r="I26" s="359">
        <v>40872</v>
      </c>
      <c r="J26" s="345" t="s">
        <v>23</v>
      </c>
      <c r="K26" s="354">
        <v>55</v>
      </c>
      <c r="L26" s="21">
        <v>23</v>
      </c>
      <c r="M26" s="21">
        <v>3</v>
      </c>
      <c r="N26" s="551">
        <v>10679</v>
      </c>
      <c r="O26" s="552">
        <v>753</v>
      </c>
      <c r="P26" s="551">
        <v>17815</v>
      </c>
      <c r="Q26" s="552">
        <v>1273</v>
      </c>
      <c r="R26" s="551">
        <v>12240</v>
      </c>
      <c r="S26" s="552">
        <v>879</v>
      </c>
      <c r="T26" s="18">
        <f t="shared" si="0"/>
        <v>40734</v>
      </c>
      <c r="U26" s="19">
        <f t="shared" si="1"/>
        <v>2905</v>
      </c>
      <c r="V26" s="186">
        <f>IF(T26&lt;&gt;0,U26/L26,"")</f>
        <v>126.30434782608695</v>
      </c>
      <c r="W26" s="161">
        <f>IF(T26&lt;&gt;0,T26/U26,"")</f>
        <v>14.022030981067125</v>
      </c>
      <c r="X26" s="553">
        <v>181173</v>
      </c>
      <c r="Y26" s="554">
        <f t="shared" si="3"/>
        <v>-0.7751651736185855</v>
      </c>
      <c r="Z26" s="234">
        <f t="shared" si="4"/>
        <v>15742</v>
      </c>
      <c r="AA26" s="186">
        <f t="shared" si="5"/>
        <v>1482</v>
      </c>
      <c r="AB26" s="583">
        <v>56476</v>
      </c>
      <c r="AC26" s="584">
        <v>4387</v>
      </c>
      <c r="AD26" s="554">
        <f t="shared" si="6"/>
        <v>0.6621837246409847</v>
      </c>
      <c r="AE26" s="554">
        <f t="shared" si="7"/>
        <v>0.33781627535901526</v>
      </c>
      <c r="AF26" s="186">
        <f t="shared" si="8"/>
        <v>190.7391304347826</v>
      </c>
      <c r="AG26" s="161">
        <f t="shared" si="9"/>
        <v>12.87348985639389</v>
      </c>
      <c r="AH26" s="18">
        <v>264094</v>
      </c>
      <c r="AI26" s="554">
        <f>IF(AH26&lt;&gt;0,-(AH26-AB26)/AH26,"")</f>
        <v>-0.7861519004596849</v>
      </c>
      <c r="AJ26" s="18">
        <v>752918</v>
      </c>
      <c r="AK26" s="19">
        <v>62579</v>
      </c>
      <c r="AL26" s="396">
        <f t="shared" si="12"/>
        <v>12.031480209015804</v>
      </c>
      <c r="AM26" s="434">
        <v>16</v>
      </c>
    </row>
    <row r="27" spans="1:39" s="68" customFormat="1" ht="12.75" customHeight="1">
      <c r="A27" s="434">
        <v>17</v>
      </c>
      <c r="B27" s="427" t="s">
        <v>414</v>
      </c>
      <c r="C27" s="425"/>
      <c r="D27" s="575"/>
      <c r="E27" s="556" t="s">
        <v>801</v>
      </c>
      <c r="F27" s="21" t="s">
        <v>802</v>
      </c>
      <c r="G27" s="344" t="s">
        <v>709</v>
      </c>
      <c r="H27" s="556" t="s">
        <v>801</v>
      </c>
      <c r="I27" s="360">
        <v>40886</v>
      </c>
      <c r="J27" s="345" t="s">
        <v>30</v>
      </c>
      <c r="K27" s="21">
        <v>9</v>
      </c>
      <c r="L27" s="21">
        <v>9</v>
      </c>
      <c r="M27" s="21">
        <v>1</v>
      </c>
      <c r="N27" s="557">
        <v>6299.5</v>
      </c>
      <c r="O27" s="558">
        <v>412</v>
      </c>
      <c r="P27" s="557">
        <v>13596</v>
      </c>
      <c r="Q27" s="558">
        <v>893</v>
      </c>
      <c r="R27" s="557">
        <v>13878</v>
      </c>
      <c r="S27" s="558">
        <v>908</v>
      </c>
      <c r="T27" s="18">
        <f t="shared" si="0"/>
        <v>33773.5</v>
      </c>
      <c r="U27" s="19">
        <f t="shared" si="1"/>
        <v>2213</v>
      </c>
      <c r="V27" s="560">
        <f>+U27/L27</f>
        <v>245.88888888888889</v>
      </c>
      <c r="W27" s="561">
        <f>+T27/U27</f>
        <v>15.261409850881156</v>
      </c>
      <c r="X27" s="553"/>
      <c r="Y27" s="554">
        <f t="shared" si="3"/>
      </c>
      <c r="Z27" s="234">
        <f t="shared" si="4"/>
        <v>22096</v>
      </c>
      <c r="AA27" s="186">
        <f t="shared" si="5"/>
        <v>1689</v>
      </c>
      <c r="AB27" s="589">
        <v>55869.5</v>
      </c>
      <c r="AC27" s="590">
        <v>3902</v>
      </c>
      <c r="AD27" s="554">
        <f t="shared" si="6"/>
        <v>0.5671450538185546</v>
      </c>
      <c r="AE27" s="554">
        <f t="shared" si="7"/>
        <v>0.43285494618144543</v>
      </c>
      <c r="AF27" s="186">
        <f t="shared" si="8"/>
        <v>433.55555555555554</v>
      </c>
      <c r="AG27" s="161">
        <f t="shared" si="9"/>
        <v>14.318170169144029</v>
      </c>
      <c r="AH27" s="16"/>
      <c r="AI27" s="554"/>
      <c r="AJ27" s="16">
        <f>55869.5</f>
        <v>55869.5</v>
      </c>
      <c r="AK27" s="17">
        <f>3902</f>
        <v>3902</v>
      </c>
      <c r="AL27" s="396">
        <f t="shared" si="12"/>
        <v>14.318170169144029</v>
      </c>
      <c r="AM27" s="434">
        <v>17</v>
      </c>
    </row>
    <row r="28" spans="1:39" s="68" customFormat="1" ht="12.75" customHeight="1">
      <c r="A28" s="434">
        <v>18</v>
      </c>
      <c r="B28" s="440"/>
      <c r="C28" s="425"/>
      <c r="D28" s="575"/>
      <c r="E28" s="556" t="s">
        <v>663</v>
      </c>
      <c r="F28" s="21" t="s">
        <v>708</v>
      </c>
      <c r="G28" s="556" t="s">
        <v>709</v>
      </c>
      <c r="H28" s="344" t="s">
        <v>664</v>
      </c>
      <c r="I28" s="360">
        <v>40844</v>
      </c>
      <c r="J28" s="345" t="s">
        <v>30</v>
      </c>
      <c r="K28" s="21">
        <v>65</v>
      </c>
      <c r="L28" s="21">
        <v>11</v>
      </c>
      <c r="M28" s="21">
        <v>7</v>
      </c>
      <c r="N28" s="557">
        <v>2274.5</v>
      </c>
      <c r="O28" s="558">
        <v>292</v>
      </c>
      <c r="P28" s="557">
        <v>3785.5</v>
      </c>
      <c r="Q28" s="558">
        <v>452</v>
      </c>
      <c r="R28" s="557">
        <v>3349.5</v>
      </c>
      <c r="S28" s="558">
        <v>524</v>
      </c>
      <c r="T28" s="18">
        <f t="shared" si="0"/>
        <v>9409.5</v>
      </c>
      <c r="U28" s="19">
        <f t="shared" si="1"/>
        <v>1268</v>
      </c>
      <c r="V28" s="186">
        <f>IF(T28&lt;&gt;0,U28/L28,"")</f>
        <v>115.27272727272727</v>
      </c>
      <c r="W28" s="161">
        <f>IF(T28&lt;&gt;0,T28/U28,"")</f>
        <v>7.420741324921136</v>
      </c>
      <c r="X28" s="553">
        <v>10071.5</v>
      </c>
      <c r="Y28" s="554">
        <f t="shared" si="3"/>
        <v>-0.06573003028347317</v>
      </c>
      <c r="Z28" s="234">
        <f t="shared" si="4"/>
        <v>7844</v>
      </c>
      <c r="AA28" s="186">
        <f t="shared" si="5"/>
        <v>1140</v>
      </c>
      <c r="AB28" s="589">
        <v>17253.5</v>
      </c>
      <c r="AC28" s="590">
        <v>2408</v>
      </c>
      <c r="AD28" s="554">
        <f t="shared" si="6"/>
        <v>0.526578073089701</v>
      </c>
      <c r="AE28" s="554">
        <f t="shared" si="7"/>
        <v>0.473421926910299</v>
      </c>
      <c r="AF28" s="186">
        <f t="shared" si="8"/>
        <v>218.9090909090909</v>
      </c>
      <c r="AG28" s="161">
        <f t="shared" si="9"/>
        <v>7.1650747508305646</v>
      </c>
      <c r="AH28" s="16">
        <v>16414.5</v>
      </c>
      <c r="AI28" s="554">
        <f>IF(AH28&lt;&gt;0,-(AH28-AB28)/AH28,"")</f>
        <v>0.05111334490846508</v>
      </c>
      <c r="AJ28" s="16">
        <f>436701.5+604505+232735.5+57290.5+18114+16414.5+17253.5</f>
        <v>1383014.5</v>
      </c>
      <c r="AK28" s="17">
        <f>39979+54264+21249+5324+1678+2463+2408</f>
        <v>127365</v>
      </c>
      <c r="AL28" s="396">
        <f t="shared" si="12"/>
        <v>10.8586699642759</v>
      </c>
      <c r="AM28" s="434">
        <v>18</v>
      </c>
    </row>
    <row r="29" spans="1:39" s="68" customFormat="1" ht="12.75" customHeight="1">
      <c r="A29" s="434">
        <v>19</v>
      </c>
      <c r="B29" s="424"/>
      <c r="C29" s="425"/>
      <c r="D29" s="576" t="s">
        <v>418</v>
      </c>
      <c r="E29" s="556" t="s">
        <v>682</v>
      </c>
      <c r="F29" s="556" t="s">
        <v>707</v>
      </c>
      <c r="G29" s="556"/>
      <c r="H29" s="556" t="s">
        <v>682</v>
      </c>
      <c r="I29" s="360">
        <v>40858</v>
      </c>
      <c r="J29" s="345" t="s">
        <v>30</v>
      </c>
      <c r="K29" s="21">
        <v>32</v>
      </c>
      <c r="L29" s="21">
        <v>19</v>
      </c>
      <c r="M29" s="21">
        <v>5</v>
      </c>
      <c r="N29" s="557">
        <v>2146</v>
      </c>
      <c r="O29" s="558">
        <v>320</v>
      </c>
      <c r="P29" s="557">
        <v>3716</v>
      </c>
      <c r="Q29" s="558">
        <v>567</v>
      </c>
      <c r="R29" s="557">
        <v>4124.5</v>
      </c>
      <c r="S29" s="558">
        <v>607</v>
      </c>
      <c r="T29" s="18">
        <f t="shared" si="0"/>
        <v>9986.5</v>
      </c>
      <c r="U29" s="19">
        <f t="shared" si="1"/>
        <v>1494</v>
      </c>
      <c r="V29" s="186">
        <f>IF(T29&lt;&gt;0,U29/L29,"")</f>
        <v>78.63157894736842</v>
      </c>
      <c r="W29" s="161">
        <f>IF(T29&lt;&gt;0,T29/U29,"")</f>
        <v>6.684404283801874</v>
      </c>
      <c r="X29" s="553">
        <v>8423.5</v>
      </c>
      <c r="Y29" s="554">
        <f t="shared" si="3"/>
        <v>0.1855523238558794</v>
      </c>
      <c r="Z29" s="234">
        <f t="shared" si="4"/>
        <v>6873</v>
      </c>
      <c r="AA29" s="186">
        <f t="shared" si="5"/>
        <v>1087</v>
      </c>
      <c r="AB29" s="589">
        <v>16859.5</v>
      </c>
      <c r="AC29" s="590">
        <v>2581</v>
      </c>
      <c r="AD29" s="554">
        <f t="shared" si="6"/>
        <v>0.578845408756296</v>
      </c>
      <c r="AE29" s="554">
        <f t="shared" si="7"/>
        <v>0.42115459124370397</v>
      </c>
      <c r="AF29" s="186">
        <f t="shared" si="8"/>
        <v>135.8421052631579</v>
      </c>
      <c r="AG29" s="161">
        <f t="shared" si="9"/>
        <v>6.5321580782642386</v>
      </c>
      <c r="AH29" s="16">
        <v>15734</v>
      </c>
      <c r="AI29" s="554">
        <f>IF(AH29&lt;&gt;0,-(AH29-AB29)/AH29,"")</f>
        <v>0.07153298589042838</v>
      </c>
      <c r="AJ29" s="16">
        <f>119417+74006.5+30939.5+15734+16859.5</f>
        <v>256956.5</v>
      </c>
      <c r="AK29" s="17">
        <f>12383+8559+4204+1986+2581</f>
        <v>29713</v>
      </c>
      <c r="AL29" s="396">
        <f t="shared" si="12"/>
        <v>8.647948709319154</v>
      </c>
      <c r="AM29" s="434">
        <v>19</v>
      </c>
    </row>
    <row r="30" spans="1:39" s="68" customFormat="1" ht="12.75" customHeight="1">
      <c r="A30" s="434">
        <v>20</v>
      </c>
      <c r="B30" s="424"/>
      <c r="C30" s="425"/>
      <c r="D30" s="576" t="s">
        <v>418</v>
      </c>
      <c r="E30" s="21" t="s">
        <v>681</v>
      </c>
      <c r="F30" s="21" t="s">
        <v>698</v>
      </c>
      <c r="G30" s="21"/>
      <c r="H30" s="21" t="s">
        <v>681</v>
      </c>
      <c r="I30" s="360">
        <v>40858</v>
      </c>
      <c r="J30" s="345" t="s">
        <v>28</v>
      </c>
      <c r="K30" s="21">
        <v>130</v>
      </c>
      <c r="L30" s="550">
        <v>17</v>
      </c>
      <c r="M30" s="550">
        <v>5</v>
      </c>
      <c r="N30" s="551">
        <v>1827</v>
      </c>
      <c r="O30" s="552">
        <v>223</v>
      </c>
      <c r="P30" s="551">
        <v>3720.5</v>
      </c>
      <c r="Q30" s="552">
        <v>447</v>
      </c>
      <c r="R30" s="551">
        <v>3323.5</v>
      </c>
      <c r="S30" s="552">
        <v>395</v>
      </c>
      <c r="T30" s="18">
        <f t="shared" si="0"/>
        <v>8871</v>
      </c>
      <c r="U30" s="19">
        <f t="shared" si="1"/>
        <v>1065</v>
      </c>
      <c r="V30" s="186">
        <f>IF(T30&lt;&gt;0,U30/L30,"")</f>
        <v>62.64705882352941</v>
      </c>
      <c r="W30" s="161">
        <f>IF(T30&lt;&gt;0,T30/U30,"")</f>
        <v>8.329577464788732</v>
      </c>
      <c r="X30" s="553">
        <v>11037</v>
      </c>
      <c r="Y30" s="554">
        <f t="shared" si="3"/>
        <v>-0.19624898070127753</v>
      </c>
      <c r="Z30" s="234">
        <f t="shared" si="4"/>
        <v>4919</v>
      </c>
      <c r="AA30" s="186">
        <f t="shared" si="5"/>
        <v>699</v>
      </c>
      <c r="AB30" s="583">
        <v>13790</v>
      </c>
      <c r="AC30" s="584">
        <v>1764</v>
      </c>
      <c r="AD30" s="554">
        <f t="shared" si="6"/>
        <v>0.6037414965986394</v>
      </c>
      <c r="AE30" s="554">
        <f t="shared" si="7"/>
        <v>0.39625850340136054</v>
      </c>
      <c r="AF30" s="186">
        <f t="shared" si="8"/>
        <v>103.76470588235294</v>
      </c>
      <c r="AG30" s="161">
        <f t="shared" si="9"/>
        <v>7.817460317460317</v>
      </c>
      <c r="AH30" s="18">
        <v>18371</v>
      </c>
      <c r="AI30" s="554">
        <f>IF(AH30&lt;&gt;0,-(AH30-AB30)/AH30,"")</f>
        <v>-0.24936040498611942</v>
      </c>
      <c r="AJ30" s="18">
        <f>665902+436506+215139.5+18371+13790</f>
        <v>1349708.5</v>
      </c>
      <c r="AK30" s="19">
        <f>66262+44749+24699+2311+1764</f>
        <v>139785</v>
      </c>
      <c r="AL30" s="396">
        <f t="shared" si="12"/>
        <v>9.655603247844905</v>
      </c>
      <c r="AM30" s="434">
        <v>20</v>
      </c>
    </row>
    <row r="31" spans="1:39" s="68" customFormat="1" ht="12.75" customHeight="1">
      <c r="A31" s="434">
        <v>21</v>
      </c>
      <c r="B31" s="427" t="s">
        <v>414</v>
      </c>
      <c r="C31" s="425"/>
      <c r="D31" s="576" t="s">
        <v>418</v>
      </c>
      <c r="E31" s="21" t="s">
        <v>803</v>
      </c>
      <c r="F31" s="21" t="s">
        <v>804</v>
      </c>
      <c r="G31" s="21"/>
      <c r="H31" s="344" t="s">
        <v>803</v>
      </c>
      <c r="I31" s="360">
        <v>40886</v>
      </c>
      <c r="J31" s="345" t="s">
        <v>21</v>
      </c>
      <c r="K31" s="354">
        <v>8</v>
      </c>
      <c r="L31" s="12">
        <v>8</v>
      </c>
      <c r="M31" s="12">
        <v>1</v>
      </c>
      <c r="N31" s="156">
        <v>1336</v>
      </c>
      <c r="O31" s="236">
        <v>169</v>
      </c>
      <c r="P31" s="156">
        <v>3148</v>
      </c>
      <c r="Q31" s="236">
        <v>362</v>
      </c>
      <c r="R31" s="156">
        <v>2691</v>
      </c>
      <c r="S31" s="236">
        <v>328</v>
      </c>
      <c r="T31" s="18">
        <f t="shared" si="0"/>
        <v>7175</v>
      </c>
      <c r="U31" s="19">
        <f t="shared" si="1"/>
        <v>859</v>
      </c>
      <c r="V31" s="186">
        <f>IF(T31&lt;&gt;0,U31/L31,"")</f>
        <v>107.375</v>
      </c>
      <c r="W31" s="161">
        <f>IF(T31&lt;&gt;0,T31/U31,"")</f>
        <v>8.352735739231665</v>
      </c>
      <c r="X31" s="553"/>
      <c r="Y31" s="554">
        <f t="shared" si="3"/>
      </c>
      <c r="Z31" s="234">
        <f t="shared" si="4"/>
        <v>4217</v>
      </c>
      <c r="AA31" s="186">
        <f t="shared" si="5"/>
        <v>533</v>
      </c>
      <c r="AB31" s="585">
        <v>11392</v>
      </c>
      <c r="AC31" s="586">
        <v>1392</v>
      </c>
      <c r="AD31" s="554">
        <f t="shared" si="6"/>
        <v>0.6170977011494253</v>
      </c>
      <c r="AE31" s="554">
        <f t="shared" si="7"/>
        <v>0.3829022988505747</v>
      </c>
      <c r="AF31" s="186">
        <f t="shared" si="8"/>
        <v>174</v>
      </c>
      <c r="AG31" s="161">
        <f t="shared" si="9"/>
        <v>8.183908045977011</v>
      </c>
      <c r="AH31" s="553"/>
      <c r="AI31" s="554"/>
      <c r="AJ31" s="24">
        <v>11392</v>
      </c>
      <c r="AK31" s="19">
        <v>1392</v>
      </c>
      <c r="AL31" s="396">
        <f t="shared" si="12"/>
        <v>8.183908045977011</v>
      </c>
      <c r="AM31" s="434">
        <v>21</v>
      </c>
    </row>
    <row r="32" spans="1:39" s="68" customFormat="1" ht="12.75" customHeight="1">
      <c r="A32" s="434">
        <v>22</v>
      </c>
      <c r="B32" s="440"/>
      <c r="C32" s="425"/>
      <c r="D32" s="576" t="s">
        <v>418</v>
      </c>
      <c r="E32" s="14" t="s">
        <v>661</v>
      </c>
      <c r="F32" s="14" t="s">
        <v>699</v>
      </c>
      <c r="G32" s="14"/>
      <c r="H32" s="14" t="s">
        <v>661</v>
      </c>
      <c r="I32" s="371">
        <v>40844</v>
      </c>
      <c r="J32" s="345" t="s">
        <v>28</v>
      </c>
      <c r="K32" s="14">
        <v>245</v>
      </c>
      <c r="L32" s="550">
        <v>14</v>
      </c>
      <c r="M32" s="550">
        <v>7</v>
      </c>
      <c r="N32" s="551">
        <v>1166</v>
      </c>
      <c r="O32" s="552">
        <v>233</v>
      </c>
      <c r="P32" s="551">
        <v>2194</v>
      </c>
      <c r="Q32" s="552">
        <v>446</v>
      </c>
      <c r="R32" s="551">
        <v>2074</v>
      </c>
      <c r="S32" s="552">
        <v>415</v>
      </c>
      <c r="T32" s="18">
        <f t="shared" si="0"/>
        <v>5434</v>
      </c>
      <c r="U32" s="19">
        <f t="shared" si="1"/>
        <v>1094</v>
      </c>
      <c r="V32" s="186">
        <f>IF(T32&lt;&gt;0,U32/L32,"")</f>
        <v>78.14285714285714</v>
      </c>
      <c r="W32" s="161">
        <f>IF(T32&lt;&gt;0,T32/U32,"")</f>
        <v>4.96709323583181</v>
      </c>
      <c r="X32" s="553">
        <v>65793</v>
      </c>
      <c r="Y32" s="554">
        <f t="shared" si="3"/>
        <v>-0.9174076269511954</v>
      </c>
      <c r="Z32" s="234">
        <f t="shared" si="4"/>
        <v>2920</v>
      </c>
      <c r="AA32" s="186">
        <f t="shared" si="5"/>
        <v>601</v>
      </c>
      <c r="AB32" s="583">
        <v>8354</v>
      </c>
      <c r="AC32" s="584">
        <v>1695</v>
      </c>
      <c r="AD32" s="554">
        <f t="shared" si="6"/>
        <v>0.6454277286135693</v>
      </c>
      <c r="AE32" s="554">
        <f t="shared" si="7"/>
        <v>0.35457227138643066</v>
      </c>
      <c r="AF32" s="186">
        <f t="shared" si="8"/>
        <v>121.07142857142857</v>
      </c>
      <c r="AG32" s="161">
        <f t="shared" si="9"/>
        <v>4.928613569321534</v>
      </c>
      <c r="AH32" s="18">
        <v>69427</v>
      </c>
      <c r="AI32" s="554">
        <f>IF(AH32&lt;&gt;0,-(AH32-AB32)/AH32,"")</f>
        <v>-0.8796721736500209</v>
      </c>
      <c r="AJ32" s="18">
        <f>2095427.5+1865707+650031+295029.5+57559.5+69427+8354</f>
        <v>5041535.5</v>
      </c>
      <c r="AK32" s="19">
        <f>212522+189875+68849+32548+6112+10910+1695</f>
        <v>522511</v>
      </c>
      <c r="AL32" s="396">
        <f t="shared" si="12"/>
        <v>9.648668640468813</v>
      </c>
      <c r="AM32" s="434">
        <v>22</v>
      </c>
    </row>
    <row r="33" spans="1:39" s="68" customFormat="1" ht="12.75" customHeight="1">
      <c r="A33" s="434">
        <v>23</v>
      </c>
      <c r="B33" s="427" t="s">
        <v>414</v>
      </c>
      <c r="C33" s="425"/>
      <c r="D33" s="575"/>
      <c r="E33" s="345" t="s">
        <v>805</v>
      </c>
      <c r="F33" s="345" t="s">
        <v>806</v>
      </c>
      <c r="G33" s="345" t="s">
        <v>720</v>
      </c>
      <c r="H33" s="345" t="s">
        <v>807</v>
      </c>
      <c r="I33" s="360">
        <v>40886</v>
      </c>
      <c r="J33" s="345" t="s">
        <v>59</v>
      </c>
      <c r="K33" s="21">
        <v>3</v>
      </c>
      <c r="L33" s="21">
        <v>3</v>
      </c>
      <c r="M33" s="21">
        <v>1</v>
      </c>
      <c r="N33" s="18">
        <v>968</v>
      </c>
      <c r="O33" s="19">
        <v>133</v>
      </c>
      <c r="P33" s="18">
        <v>1626</v>
      </c>
      <c r="Q33" s="19">
        <v>209</v>
      </c>
      <c r="R33" s="18">
        <v>1969</v>
      </c>
      <c r="S33" s="19">
        <v>258</v>
      </c>
      <c r="T33" s="18">
        <f t="shared" si="0"/>
        <v>4563</v>
      </c>
      <c r="U33" s="19">
        <f t="shared" si="1"/>
        <v>600</v>
      </c>
      <c r="V33" s="19">
        <f>U33/L33</f>
        <v>200</v>
      </c>
      <c r="W33" s="188">
        <f>T33/U33</f>
        <v>7.605</v>
      </c>
      <c r="X33" s="562"/>
      <c r="Y33" s="554">
        <f t="shared" si="3"/>
      </c>
      <c r="Z33" s="234">
        <f t="shared" si="4"/>
        <v>2646</v>
      </c>
      <c r="AA33" s="186">
        <f t="shared" si="5"/>
        <v>396</v>
      </c>
      <c r="AB33" s="583">
        <v>7209</v>
      </c>
      <c r="AC33" s="584">
        <v>996</v>
      </c>
      <c r="AD33" s="554">
        <f t="shared" si="6"/>
        <v>0.6024096385542169</v>
      </c>
      <c r="AE33" s="554">
        <f t="shared" si="7"/>
        <v>0.39759036144578314</v>
      </c>
      <c r="AF33" s="186">
        <f t="shared" si="8"/>
        <v>332</v>
      </c>
      <c r="AG33" s="161">
        <f t="shared" si="9"/>
        <v>7.2379518072289155</v>
      </c>
      <c r="AH33" s="18"/>
      <c r="AI33" s="554"/>
      <c r="AJ33" s="18">
        <v>7209</v>
      </c>
      <c r="AK33" s="19">
        <v>996</v>
      </c>
      <c r="AL33" s="396">
        <f t="shared" si="12"/>
        <v>7.2379518072289155</v>
      </c>
      <c r="AM33" s="434">
        <v>23</v>
      </c>
    </row>
    <row r="34" spans="1:39" s="68" customFormat="1" ht="12.75" customHeight="1">
      <c r="A34" s="434">
        <v>24</v>
      </c>
      <c r="B34" s="424"/>
      <c r="C34" s="429" t="s">
        <v>416</v>
      </c>
      <c r="D34" s="577"/>
      <c r="E34" s="14" t="s">
        <v>372</v>
      </c>
      <c r="F34" s="14" t="s">
        <v>696</v>
      </c>
      <c r="G34" s="345" t="s">
        <v>697</v>
      </c>
      <c r="H34" s="14" t="s">
        <v>445</v>
      </c>
      <c r="I34" s="371">
        <v>40760</v>
      </c>
      <c r="J34" s="345" t="s">
        <v>10</v>
      </c>
      <c r="K34" s="354">
        <v>184</v>
      </c>
      <c r="L34" s="12">
        <v>20</v>
      </c>
      <c r="M34" s="12">
        <v>19</v>
      </c>
      <c r="N34" s="16">
        <v>673</v>
      </c>
      <c r="O34" s="17">
        <v>127</v>
      </c>
      <c r="P34" s="16">
        <v>1556</v>
      </c>
      <c r="Q34" s="17">
        <v>292</v>
      </c>
      <c r="R34" s="16">
        <v>2336</v>
      </c>
      <c r="S34" s="17">
        <v>434</v>
      </c>
      <c r="T34" s="18">
        <f t="shared" si="0"/>
        <v>4565</v>
      </c>
      <c r="U34" s="19">
        <f t="shared" si="1"/>
        <v>853</v>
      </c>
      <c r="V34" s="186">
        <f>IF(T34&lt;&gt;0,U34/L34,"")</f>
        <v>42.65</v>
      </c>
      <c r="W34" s="161">
        <f>+T34/U34</f>
        <v>5.351699882766706</v>
      </c>
      <c r="X34" s="553">
        <v>3728</v>
      </c>
      <c r="Y34" s="554">
        <f t="shared" si="3"/>
        <v>0.22451716738197425</v>
      </c>
      <c r="Z34" s="234">
        <f t="shared" si="4"/>
        <v>1380</v>
      </c>
      <c r="AA34" s="186">
        <f t="shared" si="5"/>
        <v>300</v>
      </c>
      <c r="AB34" s="591">
        <v>5945</v>
      </c>
      <c r="AC34" s="592">
        <v>1153</v>
      </c>
      <c r="AD34" s="554">
        <f t="shared" si="6"/>
        <v>0.7398091934084996</v>
      </c>
      <c r="AE34" s="554">
        <f t="shared" si="7"/>
        <v>0.26019080659150046</v>
      </c>
      <c r="AF34" s="186">
        <f t="shared" si="8"/>
        <v>57.65</v>
      </c>
      <c r="AG34" s="161">
        <f t="shared" si="9"/>
        <v>5.156114483954901</v>
      </c>
      <c r="AH34" s="156">
        <v>6287</v>
      </c>
      <c r="AI34" s="554">
        <f>IF(AH34&lt;&gt;0,-(AH34-AB34)/AH34,"")</f>
        <v>-0.054397964052807384</v>
      </c>
      <c r="AJ34" s="156">
        <v>11497872</v>
      </c>
      <c r="AK34" s="236">
        <v>1140789</v>
      </c>
      <c r="AL34" s="396">
        <f t="shared" si="12"/>
        <v>10.078876987768991</v>
      </c>
      <c r="AM34" s="434">
        <v>24</v>
      </c>
    </row>
    <row r="35" spans="1:39" s="68" customFormat="1" ht="12.75" customHeight="1">
      <c r="A35" s="434">
        <v>25</v>
      </c>
      <c r="B35" s="424"/>
      <c r="C35" s="431"/>
      <c r="D35" s="577"/>
      <c r="E35" s="563" t="s">
        <v>674</v>
      </c>
      <c r="F35" s="563" t="s">
        <v>694</v>
      </c>
      <c r="G35" s="563" t="s">
        <v>706</v>
      </c>
      <c r="H35" s="344" t="s">
        <v>673</v>
      </c>
      <c r="I35" s="360">
        <v>40851</v>
      </c>
      <c r="J35" s="345" t="s">
        <v>23</v>
      </c>
      <c r="K35" s="21">
        <v>72</v>
      </c>
      <c r="L35" s="21">
        <v>6</v>
      </c>
      <c r="M35" s="21">
        <v>6</v>
      </c>
      <c r="N35" s="551">
        <v>1055</v>
      </c>
      <c r="O35" s="552">
        <v>206</v>
      </c>
      <c r="P35" s="551">
        <v>1770</v>
      </c>
      <c r="Q35" s="552">
        <v>286</v>
      </c>
      <c r="R35" s="551">
        <v>1176</v>
      </c>
      <c r="S35" s="552">
        <v>216</v>
      </c>
      <c r="T35" s="18">
        <f t="shared" si="0"/>
        <v>4001</v>
      </c>
      <c r="U35" s="19">
        <f t="shared" si="1"/>
        <v>708</v>
      </c>
      <c r="V35" s="186">
        <f>IF(T35&lt;&gt;0,U35/L35,"")</f>
        <v>118</v>
      </c>
      <c r="W35" s="161">
        <f>IF(T35&lt;&gt;0,T35/U35,"")</f>
        <v>5.651129943502825</v>
      </c>
      <c r="X35" s="553">
        <v>6597</v>
      </c>
      <c r="Y35" s="554">
        <f t="shared" si="3"/>
        <v>-0.39351220251629526</v>
      </c>
      <c r="Z35" s="234">
        <f t="shared" si="4"/>
        <v>1879</v>
      </c>
      <c r="AA35" s="186">
        <f t="shared" si="5"/>
        <v>332</v>
      </c>
      <c r="AB35" s="583">
        <v>5880</v>
      </c>
      <c r="AC35" s="584">
        <v>1040</v>
      </c>
      <c r="AD35" s="554">
        <f t="shared" si="6"/>
        <v>0.6807692307692308</v>
      </c>
      <c r="AE35" s="554">
        <f t="shared" si="7"/>
        <v>0.3192307692307692</v>
      </c>
      <c r="AF35" s="186">
        <f t="shared" si="8"/>
        <v>173.33333333333334</v>
      </c>
      <c r="AG35" s="161">
        <f t="shared" si="9"/>
        <v>5.653846153846154</v>
      </c>
      <c r="AH35" s="18">
        <v>8825</v>
      </c>
      <c r="AI35" s="554">
        <f>IF(AH35&lt;&gt;0,-(AH35-AB35)/AH35,"")</f>
        <v>-0.3337110481586402</v>
      </c>
      <c r="AJ35" s="18">
        <v>1108759</v>
      </c>
      <c r="AK35" s="19">
        <v>101952</v>
      </c>
      <c r="AL35" s="396">
        <f t="shared" si="12"/>
        <v>10.875304064657879</v>
      </c>
      <c r="AM35" s="434">
        <v>25</v>
      </c>
    </row>
    <row r="36" spans="1:39" s="68" customFormat="1" ht="12.75" customHeight="1">
      <c r="A36" s="434">
        <v>26</v>
      </c>
      <c r="B36" s="457"/>
      <c r="C36" s="425"/>
      <c r="D36" s="576" t="s">
        <v>418</v>
      </c>
      <c r="E36" s="345" t="s">
        <v>700</v>
      </c>
      <c r="F36" s="345" t="s">
        <v>701</v>
      </c>
      <c r="G36" s="345"/>
      <c r="H36" s="345" t="s">
        <v>700</v>
      </c>
      <c r="I36" s="359">
        <v>40865</v>
      </c>
      <c r="J36" s="345" t="s">
        <v>21</v>
      </c>
      <c r="K36" s="354">
        <v>64</v>
      </c>
      <c r="L36" s="12">
        <v>12</v>
      </c>
      <c r="M36" s="12">
        <v>4</v>
      </c>
      <c r="N36" s="156">
        <v>676</v>
      </c>
      <c r="O36" s="236">
        <v>89</v>
      </c>
      <c r="P36" s="156">
        <v>1065</v>
      </c>
      <c r="Q36" s="236">
        <v>133</v>
      </c>
      <c r="R36" s="156">
        <v>1069</v>
      </c>
      <c r="S36" s="236">
        <v>133</v>
      </c>
      <c r="T36" s="18">
        <f t="shared" si="0"/>
        <v>2810</v>
      </c>
      <c r="U36" s="19">
        <f t="shared" si="1"/>
        <v>355</v>
      </c>
      <c r="V36" s="19">
        <f>U36/L36</f>
        <v>29.583333333333332</v>
      </c>
      <c r="W36" s="188">
        <f>T36/U36</f>
        <v>7.915492957746479</v>
      </c>
      <c r="X36" s="562">
        <v>12628.5</v>
      </c>
      <c r="Y36" s="554">
        <f t="shared" si="3"/>
        <v>-0.7774874292275409</v>
      </c>
      <c r="Z36" s="234">
        <f t="shared" si="4"/>
        <v>2289</v>
      </c>
      <c r="AA36" s="186">
        <f t="shared" si="5"/>
        <v>350</v>
      </c>
      <c r="AB36" s="585">
        <v>5099</v>
      </c>
      <c r="AC36" s="586">
        <v>705</v>
      </c>
      <c r="AD36" s="554">
        <f t="shared" si="6"/>
        <v>0.5035460992907801</v>
      </c>
      <c r="AE36" s="554">
        <f t="shared" si="7"/>
        <v>0.49645390070921985</v>
      </c>
      <c r="AF36" s="186">
        <f t="shared" si="8"/>
        <v>58.75</v>
      </c>
      <c r="AG36" s="161">
        <f t="shared" si="9"/>
        <v>7.232624113475177</v>
      </c>
      <c r="AH36" s="18">
        <v>20115</v>
      </c>
      <c r="AI36" s="554">
        <f>IF(AH36&lt;&gt;0,-(AH36-AB36)/AH36,"")</f>
        <v>-0.7465075814069103</v>
      </c>
      <c r="AJ36" s="24">
        <f>256046+137037.5+20115+5099</f>
        <v>418297.5</v>
      </c>
      <c r="AK36" s="19">
        <f>25390+13650+2140+705</f>
        <v>41885</v>
      </c>
      <c r="AL36" s="396">
        <f t="shared" si="12"/>
        <v>9.986809120210099</v>
      </c>
      <c r="AM36" s="434">
        <v>26</v>
      </c>
    </row>
    <row r="37" spans="1:39" s="68" customFormat="1" ht="12.75" customHeight="1">
      <c r="A37" s="434">
        <v>27</v>
      </c>
      <c r="B37" s="424"/>
      <c r="C37" s="425"/>
      <c r="D37" s="575"/>
      <c r="E37" s="556" t="s">
        <v>777</v>
      </c>
      <c r="F37" s="21" t="s">
        <v>822</v>
      </c>
      <c r="G37" s="556" t="s">
        <v>709</v>
      </c>
      <c r="H37" s="556" t="s">
        <v>446</v>
      </c>
      <c r="I37" s="360">
        <v>40781</v>
      </c>
      <c r="J37" s="345" t="s">
        <v>30</v>
      </c>
      <c r="K37" s="21">
        <v>96</v>
      </c>
      <c r="L37" s="21">
        <v>3</v>
      </c>
      <c r="M37" s="21">
        <v>15</v>
      </c>
      <c r="N37" s="557">
        <v>0</v>
      </c>
      <c r="O37" s="558">
        <v>0</v>
      </c>
      <c r="P37" s="557">
        <v>0</v>
      </c>
      <c r="Q37" s="558">
        <v>0</v>
      </c>
      <c r="R37" s="557">
        <v>0</v>
      </c>
      <c r="S37" s="558">
        <v>0</v>
      </c>
      <c r="T37" s="18">
        <f t="shared" si="0"/>
        <v>0</v>
      </c>
      <c r="U37" s="19">
        <f t="shared" si="1"/>
        <v>0</v>
      </c>
      <c r="V37" s="560"/>
      <c r="W37" s="561"/>
      <c r="X37" s="553"/>
      <c r="Y37" s="554"/>
      <c r="Z37" s="234">
        <f t="shared" si="4"/>
        <v>5098.5</v>
      </c>
      <c r="AA37" s="186">
        <f t="shared" si="5"/>
        <v>1206</v>
      </c>
      <c r="AB37" s="589">
        <v>5098.5</v>
      </c>
      <c r="AC37" s="590">
        <v>1206</v>
      </c>
      <c r="AD37" s="554">
        <f t="shared" si="6"/>
        <v>0</v>
      </c>
      <c r="AE37" s="554">
        <f t="shared" si="7"/>
        <v>1</v>
      </c>
      <c r="AF37" s="186">
        <f t="shared" si="8"/>
        <v>402</v>
      </c>
      <c r="AG37" s="161">
        <f t="shared" si="9"/>
        <v>4.227611940298507</v>
      </c>
      <c r="AH37" s="16"/>
      <c r="AI37" s="554"/>
      <c r="AJ37" s="16">
        <f>29056+844874+618474.25+386880.75+207889+130968.5+129398.5+101615+71628.5+47296.5+22263.5+13505+4171.5+5940+3840+5098.5</f>
        <v>2622899.5</v>
      </c>
      <c r="AK37" s="17">
        <f>4385+80857+63348+40336+22079+15879+16790+12949+9380+7537+4227+2497+926+1486+944+1206</f>
        <v>284826</v>
      </c>
      <c r="AL37" s="216">
        <f>+AJ37/AK37</f>
        <v>9.208778341864857</v>
      </c>
      <c r="AM37" s="434">
        <v>27</v>
      </c>
    </row>
    <row r="38" spans="1:39" s="68" customFormat="1" ht="12.75" customHeight="1">
      <c r="A38" s="434">
        <v>28</v>
      </c>
      <c r="B38" s="424"/>
      <c r="C38" s="429" t="s">
        <v>416</v>
      </c>
      <c r="D38" s="577"/>
      <c r="E38" s="563" t="s">
        <v>389</v>
      </c>
      <c r="F38" s="563" t="s">
        <v>713</v>
      </c>
      <c r="G38" s="563" t="s">
        <v>706</v>
      </c>
      <c r="H38" s="344" t="s">
        <v>442</v>
      </c>
      <c r="I38" s="360">
        <v>40774</v>
      </c>
      <c r="J38" s="345" t="s">
        <v>23</v>
      </c>
      <c r="K38" s="21">
        <v>123</v>
      </c>
      <c r="L38" s="21">
        <v>8</v>
      </c>
      <c r="M38" s="21">
        <v>17</v>
      </c>
      <c r="N38" s="551">
        <v>333</v>
      </c>
      <c r="O38" s="552">
        <v>53</v>
      </c>
      <c r="P38" s="551">
        <v>1796</v>
      </c>
      <c r="Q38" s="552">
        <v>289</v>
      </c>
      <c r="R38" s="551">
        <v>729</v>
      </c>
      <c r="S38" s="552">
        <v>121</v>
      </c>
      <c r="T38" s="18">
        <f t="shared" si="0"/>
        <v>2858</v>
      </c>
      <c r="U38" s="19">
        <f t="shared" si="1"/>
        <v>463</v>
      </c>
      <c r="V38" s="186">
        <f>IF(T38&lt;&gt;0,U38/L38,"")</f>
        <v>57.875</v>
      </c>
      <c r="W38" s="161">
        <f>IF(T38&lt;&gt;0,T38/U38,"")</f>
        <v>6.172786177105832</v>
      </c>
      <c r="X38" s="553">
        <v>3541</v>
      </c>
      <c r="Y38" s="554">
        <f>IF(X38&lt;&gt;0,-(X38-T38)/X38,"")</f>
        <v>-0.19288336628071168</v>
      </c>
      <c r="Z38" s="234">
        <f t="shared" si="4"/>
        <v>1910</v>
      </c>
      <c r="AA38" s="186">
        <f t="shared" si="5"/>
        <v>319</v>
      </c>
      <c r="AB38" s="583">
        <v>4768</v>
      </c>
      <c r="AC38" s="584">
        <v>782</v>
      </c>
      <c r="AD38" s="554">
        <f t="shared" si="6"/>
        <v>0.592071611253197</v>
      </c>
      <c r="AE38" s="554">
        <f t="shared" si="7"/>
        <v>0.4079283887468031</v>
      </c>
      <c r="AF38" s="186">
        <f t="shared" si="8"/>
        <v>97.75</v>
      </c>
      <c r="AG38" s="161">
        <f t="shared" si="9"/>
        <v>6.0971867007672635</v>
      </c>
      <c r="AH38" s="18">
        <v>6403</v>
      </c>
      <c r="AI38" s="554">
        <f>IF(AH38&lt;&gt;0,-(AH38-AB38)/AH38,"")</f>
        <v>-0.2553490551304076</v>
      </c>
      <c r="AJ38" s="18">
        <v>7018175</v>
      </c>
      <c r="AK38" s="19">
        <v>686964</v>
      </c>
      <c r="AL38" s="396">
        <f>AJ38/AK38</f>
        <v>10.216219481661339</v>
      </c>
      <c r="AM38" s="434">
        <v>28</v>
      </c>
    </row>
    <row r="39" spans="1:39" s="68" customFormat="1" ht="12.75" customHeight="1">
      <c r="A39" s="434">
        <v>29</v>
      </c>
      <c r="B39" s="424"/>
      <c r="C39" s="429" t="s">
        <v>416</v>
      </c>
      <c r="D39" s="575"/>
      <c r="E39" s="556" t="s">
        <v>813</v>
      </c>
      <c r="F39" s="21" t="s">
        <v>822</v>
      </c>
      <c r="G39" s="556" t="s">
        <v>709</v>
      </c>
      <c r="H39" s="556" t="s">
        <v>818</v>
      </c>
      <c r="I39" s="360">
        <v>40172</v>
      </c>
      <c r="J39" s="345" t="s">
        <v>30</v>
      </c>
      <c r="K39" s="21">
        <v>60</v>
      </c>
      <c r="L39" s="21">
        <v>1</v>
      </c>
      <c r="M39" s="21">
        <v>38</v>
      </c>
      <c r="N39" s="557">
        <v>0</v>
      </c>
      <c r="O39" s="558">
        <v>0</v>
      </c>
      <c r="P39" s="557">
        <v>0</v>
      </c>
      <c r="Q39" s="558">
        <v>0</v>
      </c>
      <c r="R39" s="557">
        <v>0</v>
      </c>
      <c r="S39" s="558">
        <v>0</v>
      </c>
      <c r="T39" s="18">
        <f t="shared" si="0"/>
        <v>0</v>
      </c>
      <c r="U39" s="19">
        <f t="shared" si="1"/>
        <v>0</v>
      </c>
      <c r="V39" s="560"/>
      <c r="W39" s="561"/>
      <c r="X39" s="553"/>
      <c r="Y39" s="554"/>
      <c r="Z39" s="234">
        <f t="shared" si="4"/>
        <v>4277</v>
      </c>
      <c r="AA39" s="186">
        <f t="shared" si="5"/>
        <v>1068</v>
      </c>
      <c r="AB39" s="589">
        <v>4277</v>
      </c>
      <c r="AC39" s="590">
        <v>1068</v>
      </c>
      <c r="AD39" s="554">
        <f t="shared" si="6"/>
        <v>0</v>
      </c>
      <c r="AE39" s="554">
        <f t="shared" si="7"/>
        <v>1</v>
      </c>
      <c r="AF39" s="186">
        <f t="shared" si="8"/>
        <v>1068</v>
      </c>
      <c r="AG39" s="161">
        <f t="shared" si="9"/>
        <v>4.004681647940075</v>
      </c>
      <c r="AH39" s="16"/>
      <c r="AI39" s="554"/>
      <c r="AJ39" s="16">
        <f>421775.5+397095.5+287050+215248.5+189819.5+180729.5+86816.5+23840+19148+14942.5+8798.5+9599+13618.5+4298+4028+3310+8547+6712.5+1803+1172+973+2291+380.5+3015+1103.5+65+2061.5+1262+1020+2232+2970+5074+2970+1188+250+200+70+4277</f>
        <v>1929754.5</v>
      </c>
      <c r="AK39" s="17">
        <f>43739+40732+31780+27356+25902+24895+12153+4496+3179+3069+1650+2236+3335+954+829+540+1945+1297+429+261+173+594+53+613+200+10+480+240+102+533+743+1267+742+297+28+20+7+1068</f>
        <v>237947</v>
      </c>
      <c r="AL39" s="216">
        <f>+AJ39/AK39</f>
        <v>8.110018197329657</v>
      </c>
      <c r="AM39" s="434">
        <v>29</v>
      </c>
    </row>
    <row r="40" spans="1:39" s="68" customFormat="1" ht="12.75" customHeight="1">
      <c r="A40" s="434">
        <v>30</v>
      </c>
      <c r="B40" s="424"/>
      <c r="C40" s="431"/>
      <c r="D40" s="577"/>
      <c r="E40" s="354" t="s">
        <v>645</v>
      </c>
      <c r="F40" s="354" t="s">
        <v>710</v>
      </c>
      <c r="G40" s="563" t="s">
        <v>706</v>
      </c>
      <c r="H40" s="354" t="s">
        <v>645</v>
      </c>
      <c r="I40" s="359">
        <v>40837</v>
      </c>
      <c r="J40" s="345" t="s">
        <v>23</v>
      </c>
      <c r="K40" s="354">
        <v>112</v>
      </c>
      <c r="L40" s="21">
        <v>3</v>
      </c>
      <c r="M40" s="21">
        <v>8</v>
      </c>
      <c r="N40" s="551">
        <v>614</v>
      </c>
      <c r="O40" s="552">
        <v>95</v>
      </c>
      <c r="P40" s="551">
        <v>1364</v>
      </c>
      <c r="Q40" s="552">
        <v>210</v>
      </c>
      <c r="R40" s="551">
        <v>950</v>
      </c>
      <c r="S40" s="552">
        <v>140</v>
      </c>
      <c r="T40" s="18">
        <f t="shared" si="0"/>
        <v>2928</v>
      </c>
      <c r="U40" s="19">
        <f t="shared" si="1"/>
        <v>445</v>
      </c>
      <c r="V40" s="186">
        <f>IF(T40&lt;&gt;0,U40/L40,"")</f>
        <v>148.33333333333334</v>
      </c>
      <c r="W40" s="161">
        <f>IF(T40&lt;&gt;0,T40/U40,"")</f>
        <v>6.579775280898876</v>
      </c>
      <c r="X40" s="553">
        <v>1659</v>
      </c>
      <c r="Y40" s="554">
        <f>IF(X40&lt;&gt;0,-(X40-T40)/X40,"")</f>
        <v>0.7649186256781193</v>
      </c>
      <c r="Z40" s="234">
        <f t="shared" si="4"/>
        <v>1206</v>
      </c>
      <c r="AA40" s="186">
        <f t="shared" si="5"/>
        <v>191</v>
      </c>
      <c r="AB40" s="583">
        <v>4134</v>
      </c>
      <c r="AC40" s="584">
        <v>636</v>
      </c>
      <c r="AD40" s="554">
        <f t="shared" si="6"/>
        <v>0.699685534591195</v>
      </c>
      <c r="AE40" s="554">
        <f t="shared" si="7"/>
        <v>0.300314465408805</v>
      </c>
      <c r="AF40" s="186">
        <f t="shared" si="8"/>
        <v>212</v>
      </c>
      <c r="AG40" s="161">
        <f t="shared" si="9"/>
        <v>6.5</v>
      </c>
      <c r="AH40" s="18">
        <v>2399</v>
      </c>
      <c r="AI40" s="554">
        <f>IF(AH40&lt;&gt;0,-(AH40-AB40)/AH40,"")</f>
        <v>0.7232180075031263</v>
      </c>
      <c r="AJ40" s="18">
        <v>2328081</v>
      </c>
      <c r="AK40" s="19">
        <v>244283</v>
      </c>
      <c r="AL40" s="396">
        <f>AJ40/AK40</f>
        <v>9.530262032151235</v>
      </c>
      <c r="AM40" s="434">
        <v>30</v>
      </c>
    </row>
    <row r="41" spans="1:39" s="68" customFormat="1" ht="12.75" customHeight="1">
      <c r="A41" s="434">
        <v>31</v>
      </c>
      <c r="B41" s="424"/>
      <c r="C41" s="425"/>
      <c r="D41" s="575"/>
      <c r="E41" s="556" t="s">
        <v>374</v>
      </c>
      <c r="F41" s="21" t="s">
        <v>822</v>
      </c>
      <c r="G41" s="556" t="s">
        <v>709</v>
      </c>
      <c r="H41" s="556" t="s">
        <v>455</v>
      </c>
      <c r="I41" s="360">
        <v>40760</v>
      </c>
      <c r="J41" s="345" t="s">
        <v>30</v>
      </c>
      <c r="K41" s="21">
        <v>101</v>
      </c>
      <c r="L41" s="21">
        <v>3</v>
      </c>
      <c r="M41" s="21">
        <v>16</v>
      </c>
      <c r="N41" s="557">
        <v>0</v>
      </c>
      <c r="O41" s="558">
        <v>0</v>
      </c>
      <c r="P41" s="557">
        <v>0</v>
      </c>
      <c r="Q41" s="558">
        <v>0</v>
      </c>
      <c r="R41" s="557">
        <v>0</v>
      </c>
      <c r="S41" s="558">
        <v>0</v>
      </c>
      <c r="T41" s="18">
        <f t="shared" si="0"/>
        <v>0</v>
      </c>
      <c r="U41" s="19">
        <f t="shared" si="1"/>
        <v>0</v>
      </c>
      <c r="V41" s="560"/>
      <c r="W41" s="561"/>
      <c r="X41" s="553"/>
      <c r="Y41" s="554"/>
      <c r="Z41" s="234">
        <f t="shared" si="4"/>
        <v>4039</v>
      </c>
      <c r="AA41" s="186">
        <f t="shared" si="5"/>
        <v>1009</v>
      </c>
      <c r="AB41" s="589">
        <v>4039</v>
      </c>
      <c r="AC41" s="590">
        <v>1009</v>
      </c>
      <c r="AD41" s="554">
        <f t="shared" si="6"/>
        <v>0</v>
      </c>
      <c r="AE41" s="554">
        <f t="shared" si="7"/>
        <v>1</v>
      </c>
      <c r="AF41" s="186">
        <f t="shared" si="8"/>
        <v>336.3333333333333</v>
      </c>
      <c r="AG41" s="161">
        <f t="shared" si="9"/>
        <v>4.002973240832508</v>
      </c>
      <c r="AH41" s="16"/>
      <c r="AI41" s="554"/>
      <c r="AJ41" s="16">
        <f>1123387+667871.5+450599+390225.5+158633+89754+30860+15969.5+11575.5+6763.5+3494.5+5145+1782+1782+950.5+4039</f>
        <v>2962831.5</v>
      </c>
      <c r="AK41" s="17">
        <f>108166+64485+43907+41233+19918+12468+4923+2605+2337+1591+622+1207+446+446+238+1009</f>
        <v>305601</v>
      </c>
      <c r="AL41" s="216">
        <f>+AJ41/AK41</f>
        <v>9.695097529131122</v>
      </c>
      <c r="AM41" s="434">
        <v>31</v>
      </c>
    </row>
    <row r="42" spans="1:39" s="68" customFormat="1" ht="12.75" customHeight="1">
      <c r="A42" s="434">
        <v>32</v>
      </c>
      <c r="B42" s="424"/>
      <c r="C42" s="429" t="s">
        <v>416</v>
      </c>
      <c r="D42" s="577"/>
      <c r="E42" s="354" t="s">
        <v>216</v>
      </c>
      <c r="F42" s="21" t="s">
        <v>710</v>
      </c>
      <c r="G42" s="354" t="s">
        <v>706</v>
      </c>
      <c r="H42" s="354" t="s">
        <v>216</v>
      </c>
      <c r="I42" s="359">
        <v>40704</v>
      </c>
      <c r="J42" s="345" t="s">
        <v>23</v>
      </c>
      <c r="K42" s="354">
        <v>144</v>
      </c>
      <c r="L42" s="21">
        <v>5</v>
      </c>
      <c r="M42" s="21">
        <v>27</v>
      </c>
      <c r="N42" s="551">
        <v>356</v>
      </c>
      <c r="O42" s="552">
        <v>97</v>
      </c>
      <c r="P42" s="551">
        <v>645</v>
      </c>
      <c r="Q42" s="552">
        <v>128</v>
      </c>
      <c r="R42" s="551">
        <v>812</v>
      </c>
      <c r="S42" s="552">
        <v>152</v>
      </c>
      <c r="T42" s="18">
        <f t="shared" si="0"/>
        <v>1813</v>
      </c>
      <c r="U42" s="19">
        <f t="shared" si="1"/>
        <v>377</v>
      </c>
      <c r="V42" s="186">
        <f>IF(T42&lt;&gt;0,U42/L42,"")</f>
        <v>75.4</v>
      </c>
      <c r="W42" s="161">
        <f>IF(T42&lt;&gt;0,T42/U42,"")</f>
        <v>4.809018567639257</v>
      </c>
      <c r="X42" s="553">
        <v>558</v>
      </c>
      <c r="Y42" s="554">
        <f>IF(X42&lt;&gt;0,-(X42-T42)/X42,"")</f>
        <v>2.24910394265233</v>
      </c>
      <c r="Z42" s="234">
        <f t="shared" si="4"/>
        <v>804</v>
      </c>
      <c r="AA42" s="186">
        <f t="shared" si="5"/>
        <v>261</v>
      </c>
      <c r="AB42" s="583">
        <v>2617</v>
      </c>
      <c r="AC42" s="584">
        <v>638</v>
      </c>
      <c r="AD42" s="554">
        <f t="shared" si="6"/>
        <v>0.5909090909090909</v>
      </c>
      <c r="AE42" s="554">
        <f t="shared" si="7"/>
        <v>0.4090909090909091</v>
      </c>
      <c r="AF42" s="186">
        <f t="shared" si="8"/>
        <v>127.6</v>
      </c>
      <c r="AG42" s="161">
        <f t="shared" si="9"/>
        <v>4.101880877742946</v>
      </c>
      <c r="AH42" s="18">
        <v>810</v>
      </c>
      <c r="AI42" s="554">
        <f>IF(AH42&lt;&gt;0,-(AH42-AB42)/AH42,"")</f>
        <v>2.230864197530864</v>
      </c>
      <c r="AJ42" s="18">
        <v>3754519</v>
      </c>
      <c r="AK42" s="19">
        <v>343531</v>
      </c>
      <c r="AL42" s="396">
        <f>AJ42/AK42</f>
        <v>10.929199984863084</v>
      </c>
      <c r="AM42" s="434">
        <v>32</v>
      </c>
    </row>
    <row r="43" spans="1:39" s="68" customFormat="1" ht="12.75" customHeight="1">
      <c r="A43" s="434">
        <v>33</v>
      </c>
      <c r="B43" s="430"/>
      <c r="C43" s="431"/>
      <c r="D43" s="580"/>
      <c r="E43" s="345" t="s">
        <v>773</v>
      </c>
      <c r="F43" s="21" t="s">
        <v>722</v>
      </c>
      <c r="G43" s="345" t="s">
        <v>697</v>
      </c>
      <c r="H43" s="345" t="s">
        <v>774</v>
      </c>
      <c r="I43" s="359">
        <v>40737</v>
      </c>
      <c r="J43" s="345" t="s">
        <v>10</v>
      </c>
      <c r="K43" s="21">
        <v>276</v>
      </c>
      <c r="L43" s="12">
        <v>1</v>
      </c>
      <c r="M43" s="12">
        <v>19</v>
      </c>
      <c r="N43" s="16">
        <v>425</v>
      </c>
      <c r="O43" s="17">
        <v>85</v>
      </c>
      <c r="P43" s="16">
        <v>485</v>
      </c>
      <c r="Q43" s="17">
        <v>97</v>
      </c>
      <c r="R43" s="16">
        <v>510</v>
      </c>
      <c r="S43" s="17">
        <v>102</v>
      </c>
      <c r="T43" s="18">
        <f aca="true" t="shared" si="13" ref="T43:T74">SUM(N43+P43+R43)</f>
        <v>1420</v>
      </c>
      <c r="U43" s="19">
        <f aca="true" t="shared" si="14" ref="U43:U74">O43+Q43+S43</f>
        <v>284</v>
      </c>
      <c r="V43" s="186">
        <f>IF(T43&lt;&gt;0,U43/L43,"")</f>
        <v>284</v>
      </c>
      <c r="W43" s="161">
        <f>IF(T43&lt;&gt;0,T43/U43,"")</f>
        <v>5</v>
      </c>
      <c r="X43" s="559">
        <v>1405</v>
      </c>
      <c r="Y43" s="554">
        <f>IF(X43&lt;&gt;0,-(X43-T43)/X43,"")</f>
        <v>0.010676156583629894</v>
      </c>
      <c r="Z43" s="234">
        <f aca="true" t="shared" si="15" ref="Z43:Z74">AB43-T43</f>
        <v>960</v>
      </c>
      <c r="AA43" s="186">
        <f aca="true" t="shared" si="16" ref="AA43:AA74">AC43-U43</f>
        <v>192</v>
      </c>
      <c r="AB43" s="591">
        <v>2380</v>
      </c>
      <c r="AC43" s="592">
        <v>476</v>
      </c>
      <c r="AD43" s="554">
        <f aca="true" t="shared" si="17" ref="AD43:AD74">U43*1/AC43</f>
        <v>0.5966386554621849</v>
      </c>
      <c r="AE43" s="554">
        <f aca="true" t="shared" si="18" ref="AE43:AE74">AA43*1/AC43</f>
        <v>0.40336134453781514</v>
      </c>
      <c r="AF43" s="186">
        <f aca="true" t="shared" si="19" ref="AF43:AF74">AC43/L43</f>
        <v>476</v>
      </c>
      <c r="AG43" s="161">
        <f aca="true" t="shared" si="20" ref="AG43:AG74">AB43/AC43</f>
        <v>5</v>
      </c>
      <c r="AH43" s="156">
        <v>2380</v>
      </c>
      <c r="AI43" s="554">
        <f>IF(AH43&lt;&gt;0,-(AH43-AB43)/AH43,"")</f>
        <v>0</v>
      </c>
      <c r="AJ43" s="156">
        <v>7925707</v>
      </c>
      <c r="AK43" s="236">
        <v>798414</v>
      </c>
      <c r="AL43" s="396">
        <f>AJ43/AK43</f>
        <v>9.926813658077139</v>
      </c>
      <c r="AM43" s="434">
        <v>33</v>
      </c>
    </row>
    <row r="44" spans="1:39" s="68" customFormat="1" ht="12.75" customHeight="1">
      <c r="A44" s="434">
        <v>34</v>
      </c>
      <c r="B44" s="424"/>
      <c r="C44" s="425"/>
      <c r="D44" s="575"/>
      <c r="E44" s="556" t="s">
        <v>829</v>
      </c>
      <c r="F44" s="21"/>
      <c r="G44" s="556" t="s">
        <v>823</v>
      </c>
      <c r="H44" s="556" t="s">
        <v>616</v>
      </c>
      <c r="I44" s="360">
        <v>40606</v>
      </c>
      <c r="J44" s="345" t="s">
        <v>30</v>
      </c>
      <c r="K44" s="21">
        <v>3</v>
      </c>
      <c r="L44" s="21">
        <v>1</v>
      </c>
      <c r="M44" s="21">
        <v>13</v>
      </c>
      <c r="N44" s="557">
        <v>0</v>
      </c>
      <c r="O44" s="558">
        <v>0</v>
      </c>
      <c r="P44" s="557">
        <v>0</v>
      </c>
      <c r="Q44" s="558">
        <v>0</v>
      </c>
      <c r="R44" s="557">
        <v>0</v>
      </c>
      <c r="S44" s="558">
        <v>0</v>
      </c>
      <c r="T44" s="18">
        <f t="shared" si="13"/>
        <v>0</v>
      </c>
      <c r="U44" s="19">
        <f t="shared" si="14"/>
        <v>0</v>
      </c>
      <c r="V44" s="560"/>
      <c r="W44" s="561"/>
      <c r="X44" s="553"/>
      <c r="Y44" s="554"/>
      <c r="Z44" s="234">
        <f t="shared" si="15"/>
        <v>2376</v>
      </c>
      <c r="AA44" s="186">
        <f t="shared" si="16"/>
        <v>594</v>
      </c>
      <c r="AB44" s="589">
        <v>2376</v>
      </c>
      <c r="AC44" s="590">
        <v>594</v>
      </c>
      <c r="AD44" s="554">
        <f t="shared" si="17"/>
        <v>0</v>
      </c>
      <c r="AE44" s="554">
        <f t="shared" si="18"/>
        <v>1</v>
      </c>
      <c r="AF44" s="186">
        <f t="shared" si="19"/>
        <v>594</v>
      </c>
      <c r="AG44" s="161">
        <f t="shared" si="20"/>
        <v>4</v>
      </c>
      <c r="AH44" s="16"/>
      <c r="AI44" s="554"/>
      <c r="AJ44" s="16">
        <f>3944+1062+155+222+677+559+950+399+2357.5+328+280+302+2376</f>
        <v>13611.5</v>
      </c>
      <c r="AK44" s="17">
        <f>424+116+24+26+92+116+142+57+222+50+33+48+594</f>
        <v>1944</v>
      </c>
      <c r="AL44" s="216">
        <f aca="true" t="shared" si="21" ref="AL44:AL49">+AJ44/AK44</f>
        <v>7.001800411522634</v>
      </c>
      <c r="AM44" s="434">
        <v>34</v>
      </c>
    </row>
    <row r="45" spans="1:39" s="68" customFormat="1" ht="12.75" customHeight="1">
      <c r="A45" s="434">
        <v>35</v>
      </c>
      <c r="B45" s="424"/>
      <c r="C45" s="425"/>
      <c r="D45" s="576" t="s">
        <v>418</v>
      </c>
      <c r="E45" s="556" t="s">
        <v>814</v>
      </c>
      <c r="F45" s="21" t="s">
        <v>825</v>
      </c>
      <c r="G45" s="556"/>
      <c r="H45" s="556" t="s">
        <v>819</v>
      </c>
      <c r="I45" s="360">
        <v>40109</v>
      </c>
      <c r="J45" s="345" t="s">
        <v>30</v>
      </c>
      <c r="K45" s="21">
        <v>25</v>
      </c>
      <c r="L45" s="21">
        <v>1</v>
      </c>
      <c r="M45" s="21">
        <v>27</v>
      </c>
      <c r="N45" s="557">
        <v>0</v>
      </c>
      <c r="O45" s="558">
        <v>0</v>
      </c>
      <c r="P45" s="557">
        <v>0</v>
      </c>
      <c r="Q45" s="558">
        <v>0</v>
      </c>
      <c r="R45" s="557">
        <v>0</v>
      </c>
      <c r="S45" s="558">
        <v>0</v>
      </c>
      <c r="T45" s="18">
        <f t="shared" si="13"/>
        <v>0</v>
      </c>
      <c r="U45" s="19">
        <f t="shared" si="14"/>
        <v>0</v>
      </c>
      <c r="V45" s="560"/>
      <c r="W45" s="561"/>
      <c r="X45" s="553"/>
      <c r="Y45" s="554"/>
      <c r="Z45" s="234">
        <f t="shared" si="15"/>
        <v>2376</v>
      </c>
      <c r="AA45" s="186">
        <f t="shared" si="16"/>
        <v>594</v>
      </c>
      <c r="AB45" s="589">
        <v>2376</v>
      </c>
      <c r="AC45" s="590">
        <v>594</v>
      </c>
      <c r="AD45" s="554">
        <f t="shared" si="17"/>
        <v>0</v>
      </c>
      <c r="AE45" s="554">
        <f t="shared" si="18"/>
        <v>1</v>
      </c>
      <c r="AF45" s="186">
        <f t="shared" si="19"/>
        <v>594</v>
      </c>
      <c r="AG45" s="161">
        <f t="shared" si="20"/>
        <v>4</v>
      </c>
      <c r="AH45" s="16"/>
      <c r="AI45" s="554"/>
      <c r="AJ45" s="16">
        <f>601657.24+2020+2376</f>
        <v>606053.24</v>
      </c>
      <c r="AK45" s="17">
        <f>90424+505+594</f>
        <v>91523</v>
      </c>
      <c r="AL45" s="216">
        <f t="shared" si="21"/>
        <v>6.621868164286573</v>
      </c>
      <c r="AM45" s="434">
        <v>35</v>
      </c>
    </row>
    <row r="46" spans="1:39" s="68" customFormat="1" ht="12.75" customHeight="1">
      <c r="A46" s="434">
        <v>36</v>
      </c>
      <c r="B46" s="424"/>
      <c r="C46" s="425"/>
      <c r="D46" s="576" t="s">
        <v>418</v>
      </c>
      <c r="E46" s="556" t="s">
        <v>386</v>
      </c>
      <c r="F46" s="21" t="s">
        <v>824</v>
      </c>
      <c r="G46" s="556"/>
      <c r="H46" s="556" t="s">
        <v>386</v>
      </c>
      <c r="I46" s="360">
        <v>39801</v>
      </c>
      <c r="J46" s="345" t="s">
        <v>30</v>
      </c>
      <c r="K46" s="21">
        <v>42</v>
      </c>
      <c r="L46" s="21">
        <v>1</v>
      </c>
      <c r="M46" s="21">
        <v>43</v>
      </c>
      <c r="N46" s="557">
        <v>0</v>
      </c>
      <c r="O46" s="558">
        <v>0</v>
      </c>
      <c r="P46" s="557">
        <v>0</v>
      </c>
      <c r="Q46" s="558">
        <v>0</v>
      </c>
      <c r="R46" s="557">
        <v>0</v>
      </c>
      <c r="S46" s="558">
        <v>0</v>
      </c>
      <c r="T46" s="18">
        <f t="shared" si="13"/>
        <v>0</v>
      </c>
      <c r="U46" s="19">
        <f t="shared" si="14"/>
        <v>0</v>
      </c>
      <c r="V46" s="560"/>
      <c r="W46" s="561"/>
      <c r="X46" s="553"/>
      <c r="Y46" s="554"/>
      <c r="Z46" s="234">
        <f t="shared" si="15"/>
        <v>2376</v>
      </c>
      <c r="AA46" s="186">
        <f t="shared" si="16"/>
        <v>594</v>
      </c>
      <c r="AB46" s="589">
        <v>2376</v>
      </c>
      <c r="AC46" s="590">
        <v>594</v>
      </c>
      <c r="AD46" s="554">
        <f t="shared" si="17"/>
        <v>0</v>
      </c>
      <c r="AE46" s="554">
        <f t="shared" si="18"/>
        <v>1</v>
      </c>
      <c r="AF46" s="186">
        <f t="shared" si="19"/>
        <v>594</v>
      </c>
      <c r="AG46" s="161">
        <f t="shared" si="20"/>
        <v>4</v>
      </c>
      <c r="AH46" s="16"/>
      <c r="AI46" s="554"/>
      <c r="AJ46" s="16">
        <f>295344+204961.5+145464.5+116108.5+111972.5+49984+26327+32042+18579+20005+19180+15980+2686.5+3166.5+366+13433+4493+735.5+607.5+2528+83+198+248+2348+825+2700+2268+393+2002+2063+343+1188+2020+398.46+291.4+240.58+592+2376+1308+1780+1188+712+2376</f>
        <v>1111905.44</v>
      </c>
      <c r="AK46" s="17">
        <f>36142+24747+19417+15404+14719+7567+3314+5289+3173+3275+3534+2826+540+724+52+2536+882+130+150+615+21+66+51+497+165+675+506+78+241+404+59+297+505+86+63+59+148+594+327+445+297+178+594</f>
        <v>151392</v>
      </c>
      <c r="AL46" s="216">
        <f t="shared" si="21"/>
        <v>7.344545550623547</v>
      </c>
      <c r="AM46" s="434">
        <v>36</v>
      </c>
    </row>
    <row r="47" spans="1:39" s="68" customFormat="1" ht="12.75" customHeight="1">
      <c r="A47" s="434">
        <v>37</v>
      </c>
      <c r="B47" s="424"/>
      <c r="C47" s="425"/>
      <c r="D47" s="576" t="s">
        <v>418</v>
      </c>
      <c r="E47" s="556" t="s">
        <v>429</v>
      </c>
      <c r="F47" s="21" t="s">
        <v>826</v>
      </c>
      <c r="G47" s="556"/>
      <c r="H47" s="556" t="s">
        <v>429</v>
      </c>
      <c r="I47" s="360">
        <v>40809</v>
      </c>
      <c r="J47" s="345" t="s">
        <v>30</v>
      </c>
      <c r="K47" s="21">
        <v>66</v>
      </c>
      <c r="L47" s="21">
        <v>2</v>
      </c>
      <c r="M47" s="21">
        <v>12</v>
      </c>
      <c r="N47" s="557">
        <v>0</v>
      </c>
      <c r="O47" s="558">
        <v>0</v>
      </c>
      <c r="P47" s="557">
        <v>0</v>
      </c>
      <c r="Q47" s="558">
        <v>0</v>
      </c>
      <c r="R47" s="557">
        <v>0</v>
      </c>
      <c r="S47" s="558">
        <v>0</v>
      </c>
      <c r="T47" s="18">
        <f t="shared" si="13"/>
        <v>0</v>
      </c>
      <c r="U47" s="19">
        <f t="shared" si="14"/>
        <v>0</v>
      </c>
      <c r="V47" s="560"/>
      <c r="W47" s="561"/>
      <c r="X47" s="553"/>
      <c r="Y47" s="554"/>
      <c r="Z47" s="234">
        <f t="shared" si="15"/>
        <v>2257</v>
      </c>
      <c r="AA47" s="186">
        <f t="shared" si="16"/>
        <v>565</v>
      </c>
      <c r="AB47" s="589">
        <v>2257</v>
      </c>
      <c r="AC47" s="590">
        <v>565</v>
      </c>
      <c r="AD47" s="554">
        <f t="shared" si="17"/>
        <v>0</v>
      </c>
      <c r="AE47" s="554">
        <f t="shared" si="18"/>
        <v>1</v>
      </c>
      <c r="AF47" s="186">
        <f t="shared" si="19"/>
        <v>282.5</v>
      </c>
      <c r="AG47" s="161">
        <f t="shared" si="20"/>
        <v>3.994690265486726</v>
      </c>
      <c r="AH47" s="16"/>
      <c r="AI47" s="554"/>
      <c r="AJ47" s="16">
        <f>382290+386122+344313.5+244996+104138.75+43618.5+27632+12528+6812+832+1782+2257</f>
        <v>1557321.75</v>
      </c>
      <c r="AK47" s="17">
        <f>34863+36137+32260+23896+12188+5940+2894+1417+1234+90+446+565</f>
        <v>151930</v>
      </c>
      <c r="AL47" s="216">
        <f t="shared" si="21"/>
        <v>10.250258342657803</v>
      </c>
      <c r="AM47" s="434">
        <v>37</v>
      </c>
    </row>
    <row r="48" spans="1:39" s="68" customFormat="1" ht="12.75" customHeight="1">
      <c r="A48" s="434">
        <v>38</v>
      </c>
      <c r="B48" s="424"/>
      <c r="C48" s="425"/>
      <c r="D48" s="575"/>
      <c r="E48" s="556" t="s">
        <v>631</v>
      </c>
      <c r="F48" s="21"/>
      <c r="G48" s="556" t="s">
        <v>691</v>
      </c>
      <c r="H48" s="556" t="s">
        <v>632</v>
      </c>
      <c r="I48" s="360">
        <v>40830</v>
      </c>
      <c r="J48" s="345" t="s">
        <v>30</v>
      </c>
      <c r="K48" s="21">
        <v>98</v>
      </c>
      <c r="L48" s="21">
        <v>2</v>
      </c>
      <c r="M48" s="21">
        <v>9</v>
      </c>
      <c r="N48" s="557">
        <v>0</v>
      </c>
      <c r="O48" s="558">
        <v>0</v>
      </c>
      <c r="P48" s="557">
        <v>0</v>
      </c>
      <c r="Q48" s="558">
        <v>0</v>
      </c>
      <c r="R48" s="557">
        <v>0</v>
      </c>
      <c r="S48" s="558">
        <v>0</v>
      </c>
      <c r="T48" s="18">
        <f t="shared" si="13"/>
        <v>0</v>
      </c>
      <c r="U48" s="19">
        <f t="shared" si="14"/>
        <v>0</v>
      </c>
      <c r="V48" s="560"/>
      <c r="W48" s="561"/>
      <c r="X48" s="553"/>
      <c r="Y48" s="554"/>
      <c r="Z48" s="234">
        <f t="shared" si="15"/>
        <v>1930</v>
      </c>
      <c r="AA48" s="186">
        <f t="shared" si="16"/>
        <v>617</v>
      </c>
      <c r="AB48" s="589">
        <v>1930</v>
      </c>
      <c r="AC48" s="590">
        <v>617</v>
      </c>
      <c r="AD48" s="554">
        <f t="shared" si="17"/>
        <v>0</v>
      </c>
      <c r="AE48" s="554">
        <f t="shared" si="18"/>
        <v>1</v>
      </c>
      <c r="AF48" s="186">
        <f t="shared" si="19"/>
        <v>308.5</v>
      </c>
      <c r="AG48" s="161">
        <f t="shared" si="20"/>
        <v>3.1280388978930307</v>
      </c>
      <c r="AH48" s="16"/>
      <c r="AI48" s="554"/>
      <c r="AJ48" s="16">
        <f>573965.5+340647.5+298149+37925.5+16221+796+1713.5+3994+1930</f>
        <v>1275342</v>
      </c>
      <c r="AK48" s="17">
        <f>50953+31140+27249+4634+2655+127+438+632+617</f>
        <v>118445</v>
      </c>
      <c r="AL48" s="216">
        <f t="shared" si="21"/>
        <v>10.767377263708894</v>
      </c>
      <c r="AM48" s="434">
        <v>38</v>
      </c>
    </row>
    <row r="49" spans="1:39" s="68" customFormat="1" ht="12.75" customHeight="1">
      <c r="A49" s="434">
        <v>39</v>
      </c>
      <c r="B49" s="457"/>
      <c r="C49" s="425"/>
      <c r="D49" s="577"/>
      <c r="E49" s="12" t="s">
        <v>757</v>
      </c>
      <c r="F49" s="12" t="s">
        <v>758</v>
      </c>
      <c r="G49" s="12" t="s">
        <v>759</v>
      </c>
      <c r="H49" s="12" t="s">
        <v>760</v>
      </c>
      <c r="I49" s="371">
        <v>40872</v>
      </c>
      <c r="J49" s="345" t="s">
        <v>21</v>
      </c>
      <c r="K49" s="14">
        <v>21</v>
      </c>
      <c r="L49" s="12">
        <v>2</v>
      </c>
      <c r="M49" s="12">
        <v>3</v>
      </c>
      <c r="N49" s="156">
        <v>100</v>
      </c>
      <c r="O49" s="236">
        <v>10</v>
      </c>
      <c r="P49" s="156">
        <v>30</v>
      </c>
      <c r="Q49" s="236">
        <v>3</v>
      </c>
      <c r="R49" s="156">
        <v>110</v>
      </c>
      <c r="S49" s="236">
        <v>11</v>
      </c>
      <c r="T49" s="18">
        <f t="shared" si="13"/>
        <v>240</v>
      </c>
      <c r="U49" s="19">
        <f t="shared" si="14"/>
        <v>24</v>
      </c>
      <c r="V49" s="186">
        <f>IF(T49&lt;&gt;0,U49/L49,"")</f>
        <v>12</v>
      </c>
      <c r="W49" s="161">
        <f>IF(T49&lt;&gt;0,T49/U49,"")</f>
        <v>10</v>
      </c>
      <c r="X49" s="553">
        <v>468</v>
      </c>
      <c r="Y49" s="554">
        <f>IF(X49&lt;&gt;0,-(X49-T49)/X49,"")</f>
        <v>-0.48717948717948717</v>
      </c>
      <c r="Z49" s="234">
        <f t="shared" si="15"/>
        <v>1542</v>
      </c>
      <c r="AA49" s="186">
        <f t="shared" si="16"/>
        <v>332</v>
      </c>
      <c r="AB49" s="585">
        <v>1782</v>
      </c>
      <c r="AC49" s="586">
        <v>356</v>
      </c>
      <c r="AD49" s="554">
        <f t="shared" si="17"/>
        <v>0.06741573033707865</v>
      </c>
      <c r="AE49" s="554">
        <f t="shared" si="18"/>
        <v>0.9325842696629213</v>
      </c>
      <c r="AF49" s="186">
        <f t="shared" si="19"/>
        <v>178</v>
      </c>
      <c r="AG49" s="161">
        <f t="shared" si="20"/>
        <v>5.00561797752809</v>
      </c>
      <c r="AH49" s="553">
        <v>740</v>
      </c>
      <c r="AI49" s="554">
        <f>IF(AH49&lt;&gt;0,-(AH49-AB49)/AH49,"")</f>
        <v>1.4081081081081082</v>
      </c>
      <c r="AJ49" s="24">
        <f>48871+740+512</f>
        <v>50123</v>
      </c>
      <c r="AK49" s="19">
        <f>5142+80+52</f>
        <v>5274</v>
      </c>
      <c r="AL49" s="216">
        <f t="shared" si="21"/>
        <v>9.503792188092529</v>
      </c>
      <c r="AM49" s="434">
        <v>39</v>
      </c>
    </row>
    <row r="50" spans="1:39" s="68" customFormat="1" ht="12.75" customHeight="1">
      <c r="A50" s="434">
        <v>40</v>
      </c>
      <c r="B50" s="430"/>
      <c r="C50" s="426"/>
      <c r="D50" s="575"/>
      <c r="E50" s="345" t="s">
        <v>415</v>
      </c>
      <c r="F50" s="21" t="s">
        <v>719</v>
      </c>
      <c r="G50" s="345" t="s">
        <v>697</v>
      </c>
      <c r="H50" s="345" t="s">
        <v>438</v>
      </c>
      <c r="I50" s="359">
        <v>40795</v>
      </c>
      <c r="J50" s="345" t="s">
        <v>10</v>
      </c>
      <c r="K50" s="14">
        <v>142</v>
      </c>
      <c r="L50" s="12">
        <v>3</v>
      </c>
      <c r="M50" s="12">
        <v>14</v>
      </c>
      <c r="N50" s="16">
        <v>90</v>
      </c>
      <c r="O50" s="17">
        <v>15</v>
      </c>
      <c r="P50" s="16">
        <v>600</v>
      </c>
      <c r="Q50" s="17">
        <v>99</v>
      </c>
      <c r="R50" s="16">
        <v>452</v>
      </c>
      <c r="S50" s="17">
        <v>73</v>
      </c>
      <c r="T50" s="18">
        <f t="shared" si="13"/>
        <v>1142</v>
      </c>
      <c r="U50" s="19">
        <f t="shared" si="14"/>
        <v>187</v>
      </c>
      <c r="V50" s="186">
        <f>IF(T50&lt;&gt;0,U50/L50,"")</f>
        <v>62.333333333333336</v>
      </c>
      <c r="W50" s="161">
        <f>IF(T50&lt;&gt;0,T50/U50,"")</f>
        <v>6.106951871657754</v>
      </c>
      <c r="X50" s="553">
        <v>762</v>
      </c>
      <c r="Y50" s="554">
        <f>IF(X50&lt;&gt;0,-(X50-T50)/X50,"")</f>
        <v>0.49868766404199477</v>
      </c>
      <c r="Z50" s="234">
        <f t="shared" si="15"/>
        <v>560</v>
      </c>
      <c r="AA50" s="186">
        <f t="shared" si="16"/>
        <v>90</v>
      </c>
      <c r="AB50" s="591">
        <v>1702</v>
      </c>
      <c r="AC50" s="592">
        <v>277</v>
      </c>
      <c r="AD50" s="554">
        <f t="shared" si="17"/>
        <v>0.6750902527075813</v>
      </c>
      <c r="AE50" s="554">
        <f t="shared" si="18"/>
        <v>0.3249097472924188</v>
      </c>
      <c r="AF50" s="186">
        <f t="shared" si="19"/>
        <v>92.33333333333333</v>
      </c>
      <c r="AG50" s="161">
        <f t="shared" si="20"/>
        <v>6.144404332129964</v>
      </c>
      <c r="AH50" s="156">
        <v>1337</v>
      </c>
      <c r="AI50" s="554">
        <f>IF(AH50&lt;&gt;0,-(AH50-AB50)/AH50,"")</f>
        <v>0.27299925205684367</v>
      </c>
      <c r="AJ50" s="156">
        <v>4009597</v>
      </c>
      <c r="AK50" s="236">
        <v>389859</v>
      </c>
      <c r="AL50" s="396">
        <f>AJ50/AK50</f>
        <v>10.284736276448665</v>
      </c>
      <c r="AM50" s="434">
        <v>40</v>
      </c>
    </row>
    <row r="51" spans="1:39" s="68" customFormat="1" ht="12.75" customHeight="1">
      <c r="A51" s="434">
        <v>41</v>
      </c>
      <c r="B51" s="424"/>
      <c r="C51" s="425"/>
      <c r="D51" s="575"/>
      <c r="E51" s="556" t="s">
        <v>363</v>
      </c>
      <c r="F51" s="21" t="s">
        <v>822</v>
      </c>
      <c r="G51" s="556" t="s">
        <v>709</v>
      </c>
      <c r="H51" s="556" t="s">
        <v>486</v>
      </c>
      <c r="I51" s="360">
        <v>40746</v>
      </c>
      <c r="J51" s="345" t="s">
        <v>30</v>
      </c>
      <c r="K51" s="21">
        <v>8</v>
      </c>
      <c r="L51" s="21">
        <v>1</v>
      </c>
      <c r="M51" s="21">
        <v>11</v>
      </c>
      <c r="N51" s="557">
        <v>0</v>
      </c>
      <c r="O51" s="558">
        <v>0</v>
      </c>
      <c r="P51" s="557">
        <v>0</v>
      </c>
      <c r="Q51" s="558">
        <v>0</v>
      </c>
      <c r="R51" s="557">
        <v>0</v>
      </c>
      <c r="S51" s="558">
        <v>0</v>
      </c>
      <c r="T51" s="18">
        <f t="shared" si="13"/>
        <v>0</v>
      </c>
      <c r="U51" s="19">
        <f t="shared" si="14"/>
        <v>0</v>
      </c>
      <c r="V51" s="560"/>
      <c r="W51" s="561"/>
      <c r="X51" s="553"/>
      <c r="Y51" s="554"/>
      <c r="Z51" s="234">
        <f t="shared" si="15"/>
        <v>1663</v>
      </c>
      <c r="AA51" s="186">
        <f t="shared" si="16"/>
        <v>416</v>
      </c>
      <c r="AB51" s="589">
        <v>1663</v>
      </c>
      <c r="AC51" s="590">
        <v>416</v>
      </c>
      <c r="AD51" s="554">
        <f t="shared" si="17"/>
        <v>0</v>
      </c>
      <c r="AE51" s="554">
        <f t="shared" si="18"/>
        <v>1</v>
      </c>
      <c r="AF51" s="186">
        <f t="shared" si="19"/>
        <v>416</v>
      </c>
      <c r="AG51" s="161">
        <f t="shared" si="20"/>
        <v>3.9975961538461537</v>
      </c>
      <c r="AH51" s="16"/>
      <c r="AI51" s="554"/>
      <c r="AJ51" s="16">
        <f>34995.5+29767+4050+6340+3008.5+4152+1152+3132.5+792+962+1663</f>
        <v>90014.5</v>
      </c>
      <c r="AK51" s="17">
        <f>2476+2114+377+695+481+799+155+438+105+135+416</f>
        <v>8191</v>
      </c>
      <c r="AL51" s="216">
        <f>+AJ51/AK51</f>
        <v>10.989439628860945</v>
      </c>
      <c r="AM51" s="434">
        <v>41</v>
      </c>
    </row>
    <row r="52" spans="1:39" s="68" customFormat="1" ht="12.75" customHeight="1">
      <c r="A52" s="434">
        <v>42</v>
      </c>
      <c r="B52" s="424"/>
      <c r="C52" s="425"/>
      <c r="D52" s="575"/>
      <c r="E52" s="556" t="s">
        <v>382</v>
      </c>
      <c r="F52" s="21"/>
      <c r="G52" s="556" t="s">
        <v>740</v>
      </c>
      <c r="H52" s="556" t="s">
        <v>686</v>
      </c>
      <c r="I52" s="360">
        <v>40767</v>
      </c>
      <c r="J52" s="345" t="s">
        <v>30</v>
      </c>
      <c r="K52" s="21">
        <v>39</v>
      </c>
      <c r="L52" s="21">
        <v>2</v>
      </c>
      <c r="M52" s="21">
        <v>16</v>
      </c>
      <c r="N52" s="557">
        <v>0</v>
      </c>
      <c r="O52" s="558">
        <v>0</v>
      </c>
      <c r="P52" s="557">
        <v>0</v>
      </c>
      <c r="Q52" s="558">
        <v>0</v>
      </c>
      <c r="R52" s="557">
        <v>0</v>
      </c>
      <c r="S52" s="558">
        <v>0</v>
      </c>
      <c r="T52" s="18">
        <f t="shared" si="13"/>
        <v>0</v>
      </c>
      <c r="U52" s="19">
        <f t="shared" si="14"/>
        <v>0</v>
      </c>
      <c r="V52" s="560"/>
      <c r="W52" s="561"/>
      <c r="X52" s="553"/>
      <c r="Y52" s="554"/>
      <c r="Z52" s="234">
        <f t="shared" si="15"/>
        <v>1437</v>
      </c>
      <c r="AA52" s="186">
        <f t="shared" si="16"/>
        <v>204</v>
      </c>
      <c r="AB52" s="589">
        <v>1437</v>
      </c>
      <c r="AC52" s="590">
        <v>204</v>
      </c>
      <c r="AD52" s="554">
        <f t="shared" si="17"/>
        <v>0</v>
      </c>
      <c r="AE52" s="554">
        <f t="shared" si="18"/>
        <v>1</v>
      </c>
      <c r="AF52" s="186">
        <f t="shared" si="19"/>
        <v>102</v>
      </c>
      <c r="AG52" s="161">
        <f t="shared" si="20"/>
        <v>7.044117647058823</v>
      </c>
      <c r="AH52" s="16"/>
      <c r="AI52" s="554"/>
      <c r="AJ52" s="16">
        <f>227782+93706+36180+21819+14718.5+11547.5+9757.5+8598+8681+8538+4936.5+48+662+5495+26+1437</f>
        <v>453932</v>
      </c>
      <c r="AK52" s="17">
        <f>21125+9522+4298+2881+1947+1746+1401+1176+1202+1176+682+7+103+939+4+204</f>
        <v>48413</v>
      </c>
      <c r="AL52" s="216">
        <f>+AJ52/AK52</f>
        <v>9.376241918492967</v>
      </c>
      <c r="AM52" s="434">
        <v>42</v>
      </c>
    </row>
    <row r="53" spans="1:39" s="68" customFormat="1" ht="12.75" customHeight="1">
      <c r="A53" s="434">
        <v>43</v>
      </c>
      <c r="B53" s="424"/>
      <c r="C53" s="425"/>
      <c r="D53" s="575"/>
      <c r="E53" s="556" t="s">
        <v>313</v>
      </c>
      <c r="F53" s="21" t="s">
        <v>822</v>
      </c>
      <c r="G53" s="556" t="s">
        <v>709</v>
      </c>
      <c r="H53" s="556" t="s">
        <v>820</v>
      </c>
      <c r="I53" s="360">
        <v>40410</v>
      </c>
      <c r="J53" s="345" t="s">
        <v>30</v>
      </c>
      <c r="K53" s="21">
        <v>100</v>
      </c>
      <c r="L53" s="21">
        <v>1</v>
      </c>
      <c r="M53" s="21">
        <v>20</v>
      </c>
      <c r="N53" s="557">
        <v>0</v>
      </c>
      <c r="O53" s="558">
        <v>0</v>
      </c>
      <c r="P53" s="557">
        <v>0</v>
      </c>
      <c r="Q53" s="558">
        <v>0</v>
      </c>
      <c r="R53" s="557">
        <v>0</v>
      </c>
      <c r="S53" s="558">
        <v>0</v>
      </c>
      <c r="T53" s="18">
        <f t="shared" si="13"/>
        <v>0</v>
      </c>
      <c r="U53" s="19">
        <f t="shared" si="14"/>
        <v>0</v>
      </c>
      <c r="V53" s="560"/>
      <c r="W53" s="561"/>
      <c r="X53" s="553"/>
      <c r="Y53" s="554"/>
      <c r="Z53" s="234">
        <f t="shared" si="15"/>
        <v>1425.5</v>
      </c>
      <c r="AA53" s="186">
        <f t="shared" si="16"/>
        <v>356</v>
      </c>
      <c r="AB53" s="589">
        <v>1425.5</v>
      </c>
      <c r="AC53" s="590">
        <v>356</v>
      </c>
      <c r="AD53" s="554">
        <f t="shared" si="17"/>
        <v>0</v>
      </c>
      <c r="AE53" s="554">
        <f t="shared" si="18"/>
        <v>1</v>
      </c>
      <c r="AF53" s="186">
        <f t="shared" si="19"/>
        <v>356</v>
      </c>
      <c r="AG53" s="161">
        <f t="shared" si="20"/>
        <v>4.004213483146067</v>
      </c>
      <c r="AH53" s="16"/>
      <c r="AI53" s="554"/>
      <c r="AJ53" s="16">
        <f>4793.5+233907+173006+95171+69286+22212.5+11921.5+10683+6473+5548+3621+5930+360+5346+2138.5+6058.5+4752+950.5+1782+1782+1425.5</f>
        <v>667147.5</v>
      </c>
      <c r="AK53" s="17">
        <f>312+25267+17706+10642+10638+3791+2335+2134+1501+1673+635+1434+72+1336+534+1515+1188+238+445+446+356</f>
        <v>84198</v>
      </c>
      <c r="AL53" s="216">
        <f>+AJ53/AK53</f>
        <v>7.923555191334711</v>
      </c>
      <c r="AM53" s="434">
        <v>43</v>
      </c>
    </row>
    <row r="54" spans="1:39" s="68" customFormat="1" ht="12.75" customHeight="1">
      <c r="A54" s="434">
        <v>44</v>
      </c>
      <c r="B54" s="424"/>
      <c r="C54" s="425"/>
      <c r="D54" s="576" t="s">
        <v>418</v>
      </c>
      <c r="E54" s="556" t="s">
        <v>38</v>
      </c>
      <c r="F54" s="21" t="s">
        <v>742</v>
      </c>
      <c r="G54" s="556"/>
      <c r="H54" s="556" t="s">
        <v>38</v>
      </c>
      <c r="I54" s="360">
        <v>40648</v>
      </c>
      <c r="J54" s="345" t="s">
        <v>30</v>
      </c>
      <c r="K54" s="21">
        <v>28</v>
      </c>
      <c r="L54" s="21">
        <v>1</v>
      </c>
      <c r="M54" s="21">
        <v>24</v>
      </c>
      <c r="N54" s="557">
        <v>0</v>
      </c>
      <c r="O54" s="558">
        <v>0</v>
      </c>
      <c r="P54" s="557">
        <v>0</v>
      </c>
      <c r="Q54" s="558">
        <v>0</v>
      </c>
      <c r="R54" s="557">
        <v>0</v>
      </c>
      <c r="S54" s="558">
        <v>0</v>
      </c>
      <c r="T54" s="18">
        <f t="shared" si="13"/>
        <v>0</v>
      </c>
      <c r="U54" s="19">
        <f t="shared" si="14"/>
        <v>0</v>
      </c>
      <c r="V54" s="560"/>
      <c r="W54" s="561"/>
      <c r="X54" s="553"/>
      <c r="Y54" s="554"/>
      <c r="Z54" s="234">
        <f t="shared" si="15"/>
        <v>1425.5</v>
      </c>
      <c r="AA54" s="186">
        <f t="shared" si="16"/>
        <v>356</v>
      </c>
      <c r="AB54" s="589">
        <v>1425.5</v>
      </c>
      <c r="AC54" s="590">
        <v>356</v>
      </c>
      <c r="AD54" s="554">
        <f t="shared" si="17"/>
        <v>0</v>
      </c>
      <c r="AE54" s="554">
        <f t="shared" si="18"/>
        <v>1</v>
      </c>
      <c r="AF54" s="186">
        <f t="shared" si="19"/>
        <v>356</v>
      </c>
      <c r="AG54" s="161">
        <f t="shared" si="20"/>
        <v>4.004213483146067</v>
      </c>
      <c r="AH54" s="16"/>
      <c r="AI54" s="554"/>
      <c r="AJ54" s="16">
        <f>67573+47761.5+14206.5+4949+3617+1080.5+492+714+1413.5+3743.5+735+1502.5+825+1147+1818+154+295+2263+179+160+3326.5+950.5+1782+1425.5</f>
        <v>162113.5</v>
      </c>
      <c r="AK54" s="17">
        <f>6695+4901+2068+559+504+215+178+122+205+836+119+235+131+174+400+22+45+527+35+28+831+237+446+356</f>
        <v>19869</v>
      </c>
      <c r="AL54" s="216">
        <f>+AJ54/AK54</f>
        <v>8.159117217776435</v>
      </c>
      <c r="AM54" s="434">
        <v>44</v>
      </c>
    </row>
    <row r="55" spans="1:39" s="68" customFormat="1" ht="12.75" customHeight="1">
      <c r="A55" s="434">
        <v>45</v>
      </c>
      <c r="B55" s="430"/>
      <c r="C55" s="429" t="s">
        <v>416</v>
      </c>
      <c r="D55" s="580"/>
      <c r="E55" s="345" t="s">
        <v>57</v>
      </c>
      <c r="F55" s="21" t="s">
        <v>694</v>
      </c>
      <c r="G55" s="345" t="s">
        <v>706</v>
      </c>
      <c r="H55" s="345" t="s">
        <v>57</v>
      </c>
      <c r="I55" s="359">
        <v>40676</v>
      </c>
      <c r="J55" s="345" t="s">
        <v>23</v>
      </c>
      <c r="K55" s="21">
        <v>100</v>
      </c>
      <c r="L55" s="12">
        <v>1</v>
      </c>
      <c r="M55" s="12">
        <v>32</v>
      </c>
      <c r="N55" s="16">
        <v>0</v>
      </c>
      <c r="O55" s="17">
        <v>0</v>
      </c>
      <c r="P55" s="16">
        <v>0</v>
      </c>
      <c r="Q55" s="17">
        <v>0</v>
      </c>
      <c r="R55" s="16">
        <v>0</v>
      </c>
      <c r="S55" s="17">
        <v>0</v>
      </c>
      <c r="T55" s="18">
        <f t="shared" si="13"/>
        <v>0</v>
      </c>
      <c r="U55" s="19">
        <f t="shared" si="14"/>
        <v>0</v>
      </c>
      <c r="V55" s="186">
        <f>IF(T55&lt;&gt;0,U55/L55,"")</f>
      </c>
      <c r="W55" s="161">
        <f>IF(T55&lt;&gt;0,T55/U55,"")</f>
      </c>
      <c r="X55" s="559"/>
      <c r="Y55" s="554">
        <f>IF(X55&lt;&gt;0,-(X55-T55)/X55,"")</f>
      </c>
      <c r="Z55" s="234">
        <f t="shared" si="15"/>
        <v>1197</v>
      </c>
      <c r="AA55" s="186">
        <f t="shared" si="16"/>
        <v>189</v>
      </c>
      <c r="AB55" s="583">
        <v>1197</v>
      </c>
      <c r="AC55" s="584">
        <v>189</v>
      </c>
      <c r="AD55" s="554">
        <f t="shared" si="17"/>
        <v>0</v>
      </c>
      <c r="AE55" s="554">
        <f t="shared" si="18"/>
        <v>1</v>
      </c>
      <c r="AF55" s="186">
        <f t="shared" si="19"/>
        <v>189</v>
      </c>
      <c r="AG55" s="161">
        <f t="shared" si="20"/>
        <v>6.333333333333333</v>
      </c>
      <c r="AH55" s="156"/>
      <c r="AI55" s="554"/>
      <c r="AJ55" s="18">
        <v>1182011</v>
      </c>
      <c r="AK55" s="19">
        <v>129443</v>
      </c>
      <c r="AL55" s="396">
        <f>AJ55/AK55</f>
        <v>9.131517347403877</v>
      </c>
      <c r="AM55" s="434">
        <v>45</v>
      </c>
    </row>
    <row r="56" spans="1:39" s="68" customFormat="1" ht="12.75" customHeight="1">
      <c r="A56" s="434">
        <v>46</v>
      </c>
      <c r="B56" s="424"/>
      <c r="C56" s="425"/>
      <c r="D56" s="575"/>
      <c r="E56" s="556" t="s">
        <v>227</v>
      </c>
      <c r="F56" s="21"/>
      <c r="G56" s="556" t="s">
        <v>712</v>
      </c>
      <c r="H56" s="556" t="s">
        <v>475</v>
      </c>
      <c r="I56" s="360">
        <v>40718</v>
      </c>
      <c r="J56" s="345" t="s">
        <v>30</v>
      </c>
      <c r="K56" s="21">
        <v>42</v>
      </c>
      <c r="L56" s="21">
        <v>1</v>
      </c>
      <c r="M56" s="21">
        <v>20</v>
      </c>
      <c r="N56" s="557">
        <v>0</v>
      </c>
      <c r="O56" s="558">
        <v>0</v>
      </c>
      <c r="P56" s="557">
        <v>0</v>
      </c>
      <c r="Q56" s="558">
        <v>0</v>
      </c>
      <c r="R56" s="557">
        <v>0</v>
      </c>
      <c r="S56" s="558">
        <v>0</v>
      </c>
      <c r="T56" s="18">
        <f t="shared" si="13"/>
        <v>0</v>
      </c>
      <c r="U56" s="19">
        <f t="shared" si="14"/>
        <v>0</v>
      </c>
      <c r="V56" s="560"/>
      <c r="W56" s="561"/>
      <c r="X56" s="553"/>
      <c r="Y56" s="554"/>
      <c r="Z56" s="234">
        <f t="shared" si="15"/>
        <v>1188</v>
      </c>
      <c r="AA56" s="186">
        <f t="shared" si="16"/>
        <v>297</v>
      </c>
      <c r="AB56" s="589">
        <v>1188</v>
      </c>
      <c r="AC56" s="590">
        <v>297</v>
      </c>
      <c r="AD56" s="554">
        <f t="shared" si="17"/>
        <v>0</v>
      </c>
      <c r="AE56" s="554">
        <f t="shared" si="18"/>
        <v>1</v>
      </c>
      <c r="AF56" s="186">
        <f t="shared" si="19"/>
        <v>297</v>
      </c>
      <c r="AG56" s="161">
        <f t="shared" si="20"/>
        <v>4</v>
      </c>
      <c r="AH56" s="16"/>
      <c r="AI56" s="554"/>
      <c r="AJ56" s="16">
        <f>206744+133125+83915.5+50898.5+53053.5+49526+20766+13108.5+7886.5+18395+9625+6653+2181+717+2335.5+4064.5+2681+1656+713+1188</f>
        <v>669232.5</v>
      </c>
      <c r="AK56" s="17">
        <f>19325+12664+8208+6197+7341+6951+3245+2073+1102+2616+1516+888+316+98+449+609+435+266+102+297</f>
        <v>74698</v>
      </c>
      <c r="AL56" s="216">
        <f>+AJ56/AK56</f>
        <v>8.959175613804922</v>
      </c>
      <c r="AM56" s="434">
        <v>46</v>
      </c>
    </row>
    <row r="57" spans="1:39" s="68" customFormat="1" ht="12.75" customHeight="1">
      <c r="A57" s="434">
        <v>47</v>
      </c>
      <c r="B57" s="430"/>
      <c r="C57" s="429" t="s">
        <v>416</v>
      </c>
      <c r="D57" s="575"/>
      <c r="E57" s="345" t="s">
        <v>241</v>
      </c>
      <c r="F57" s="21" t="s">
        <v>710</v>
      </c>
      <c r="G57" s="345" t="s">
        <v>706</v>
      </c>
      <c r="H57" s="345" t="s">
        <v>241</v>
      </c>
      <c r="I57" s="359">
        <v>40606</v>
      </c>
      <c r="J57" s="345" t="s">
        <v>23</v>
      </c>
      <c r="K57" s="14">
        <v>104</v>
      </c>
      <c r="L57" s="12">
        <v>1</v>
      </c>
      <c r="M57" s="12">
        <v>41</v>
      </c>
      <c r="N57" s="16">
        <v>0</v>
      </c>
      <c r="O57" s="17">
        <v>0</v>
      </c>
      <c r="P57" s="16">
        <v>0</v>
      </c>
      <c r="Q57" s="17">
        <v>0</v>
      </c>
      <c r="R57" s="16">
        <v>0</v>
      </c>
      <c r="S57" s="17">
        <v>0</v>
      </c>
      <c r="T57" s="18">
        <f t="shared" si="13"/>
        <v>0</v>
      </c>
      <c r="U57" s="19">
        <f t="shared" si="14"/>
        <v>0</v>
      </c>
      <c r="V57" s="186">
        <f>IF(T57&lt;&gt;0,U57/L57,"")</f>
      </c>
      <c r="W57" s="161">
        <f>IF(T57&lt;&gt;0,T57/U57,"")</f>
      </c>
      <c r="X57" s="553"/>
      <c r="Y57" s="554">
        <f>IF(X57&lt;&gt;0,-(X57-T57)/X57,"")</f>
      </c>
      <c r="Z57" s="234">
        <f t="shared" si="15"/>
        <v>1122</v>
      </c>
      <c r="AA57" s="186">
        <f t="shared" si="16"/>
        <v>180</v>
      </c>
      <c r="AB57" s="583">
        <v>1122</v>
      </c>
      <c r="AC57" s="584">
        <v>180</v>
      </c>
      <c r="AD57" s="554">
        <f t="shared" si="17"/>
        <v>0</v>
      </c>
      <c r="AE57" s="554">
        <f t="shared" si="18"/>
        <v>1</v>
      </c>
      <c r="AF57" s="186">
        <f t="shared" si="19"/>
        <v>180</v>
      </c>
      <c r="AG57" s="161">
        <f t="shared" si="20"/>
        <v>6.233333333333333</v>
      </c>
      <c r="AH57" s="156"/>
      <c r="AI57" s="554"/>
      <c r="AJ57" s="18">
        <v>1286905</v>
      </c>
      <c r="AK57" s="19">
        <v>133499</v>
      </c>
      <c r="AL57" s="396">
        <f>AJ57/AK57</f>
        <v>9.639810036030232</v>
      </c>
      <c r="AM57" s="434">
        <v>47</v>
      </c>
    </row>
    <row r="58" spans="1:39" s="68" customFormat="1" ht="12.75" customHeight="1">
      <c r="A58" s="434">
        <v>48</v>
      </c>
      <c r="B58" s="424"/>
      <c r="C58" s="428"/>
      <c r="D58" s="576" t="s">
        <v>418</v>
      </c>
      <c r="E58" s="21" t="s">
        <v>637</v>
      </c>
      <c r="F58" s="21" t="s">
        <v>727</v>
      </c>
      <c r="G58" s="21"/>
      <c r="H58" s="21" t="s">
        <v>637</v>
      </c>
      <c r="I58" s="360">
        <v>40830</v>
      </c>
      <c r="J58" s="345" t="s">
        <v>28</v>
      </c>
      <c r="K58" s="21">
        <v>142</v>
      </c>
      <c r="L58" s="550">
        <v>2</v>
      </c>
      <c r="M58" s="550">
        <v>9</v>
      </c>
      <c r="N58" s="551">
        <v>190</v>
      </c>
      <c r="O58" s="552">
        <v>27</v>
      </c>
      <c r="P58" s="551">
        <v>189</v>
      </c>
      <c r="Q58" s="552">
        <v>27</v>
      </c>
      <c r="R58" s="551">
        <v>283</v>
      </c>
      <c r="S58" s="552">
        <v>40</v>
      </c>
      <c r="T58" s="18">
        <f t="shared" si="13"/>
        <v>662</v>
      </c>
      <c r="U58" s="19">
        <f t="shared" si="14"/>
        <v>94</v>
      </c>
      <c r="V58" s="186">
        <f>IF(T58&lt;&gt;0,U58/L58,"")</f>
        <v>47</v>
      </c>
      <c r="W58" s="161">
        <f>IF(T58&lt;&gt;0,T58/U58,"")</f>
        <v>7.042553191489362</v>
      </c>
      <c r="X58" s="553">
        <v>5709</v>
      </c>
      <c r="Y58" s="554">
        <f>IF(X58&lt;&gt;0,-(X58-T58)/X58,"")</f>
        <v>-0.884042739534069</v>
      </c>
      <c r="Z58" s="234">
        <f t="shared" si="15"/>
        <v>435</v>
      </c>
      <c r="AA58" s="186">
        <f t="shared" si="16"/>
        <v>65</v>
      </c>
      <c r="AB58" s="583">
        <v>1097</v>
      </c>
      <c r="AC58" s="584">
        <v>159</v>
      </c>
      <c r="AD58" s="554">
        <f t="shared" si="17"/>
        <v>0.5911949685534591</v>
      </c>
      <c r="AE58" s="554">
        <f t="shared" si="18"/>
        <v>0.4088050314465409</v>
      </c>
      <c r="AF58" s="186">
        <f t="shared" si="19"/>
        <v>79.5</v>
      </c>
      <c r="AG58" s="161">
        <f t="shared" si="20"/>
        <v>6.89937106918239</v>
      </c>
      <c r="AH58" s="18">
        <v>6007</v>
      </c>
      <c r="AI58" s="554">
        <f>IF(AH58&lt;&gt;0,-(AH58-AB58)/AH58,"")</f>
        <v>-0.817379723655735</v>
      </c>
      <c r="AJ58" s="18">
        <f>248732+139942.5+41015.5+4968+2270+1973+10279+6007+1097</f>
        <v>456284</v>
      </c>
      <c r="AK58" s="19">
        <f>33636+19210+5940+800+378+422+1552+983+159</f>
        <v>63080</v>
      </c>
      <c r="AL58" s="396">
        <f>AJ58/AK58</f>
        <v>7.233417882054534</v>
      </c>
      <c r="AM58" s="434">
        <v>48</v>
      </c>
    </row>
    <row r="59" spans="1:39" s="68" customFormat="1" ht="12.75" customHeight="1">
      <c r="A59" s="434">
        <v>49</v>
      </c>
      <c r="B59" s="424"/>
      <c r="C59" s="425"/>
      <c r="D59" s="577"/>
      <c r="E59" s="14" t="s">
        <v>667</v>
      </c>
      <c r="F59" s="21" t="s">
        <v>764</v>
      </c>
      <c r="G59" s="14" t="s">
        <v>695</v>
      </c>
      <c r="H59" s="14" t="s">
        <v>668</v>
      </c>
      <c r="I59" s="371">
        <v>40844</v>
      </c>
      <c r="J59" s="345" t="s">
        <v>8</v>
      </c>
      <c r="K59" s="14">
        <v>29</v>
      </c>
      <c r="L59" s="14">
        <v>3</v>
      </c>
      <c r="M59" s="14">
        <v>6</v>
      </c>
      <c r="N59" s="156">
        <v>206</v>
      </c>
      <c r="O59" s="236">
        <v>29</v>
      </c>
      <c r="P59" s="156">
        <v>341</v>
      </c>
      <c r="Q59" s="236">
        <v>47</v>
      </c>
      <c r="R59" s="156">
        <v>163</v>
      </c>
      <c r="S59" s="236">
        <v>23</v>
      </c>
      <c r="T59" s="18">
        <f t="shared" si="13"/>
        <v>710</v>
      </c>
      <c r="U59" s="19">
        <f t="shared" si="14"/>
        <v>99</v>
      </c>
      <c r="V59" s="186">
        <f>IF(T59&lt;&gt;0,U59/L59,"")</f>
        <v>33</v>
      </c>
      <c r="W59" s="161">
        <f>IF(T59&lt;&gt;0,T59/U59,"")</f>
        <v>7.171717171717172</v>
      </c>
      <c r="X59" s="18">
        <v>1401</v>
      </c>
      <c r="Y59" s="554">
        <f>IF(X59&lt;&gt;0,-(X59-T59)/X59,"")</f>
        <v>-0.49321912919343325</v>
      </c>
      <c r="Z59" s="234">
        <f t="shared" si="15"/>
        <v>319</v>
      </c>
      <c r="AA59" s="186">
        <f t="shared" si="16"/>
        <v>49</v>
      </c>
      <c r="AB59" s="587">
        <v>1029</v>
      </c>
      <c r="AC59" s="588">
        <v>148</v>
      </c>
      <c r="AD59" s="554">
        <f t="shared" si="17"/>
        <v>0.668918918918919</v>
      </c>
      <c r="AE59" s="554">
        <f t="shared" si="18"/>
        <v>0.3310810810810811</v>
      </c>
      <c r="AF59" s="186">
        <f t="shared" si="19"/>
        <v>49.333333333333336</v>
      </c>
      <c r="AG59" s="161">
        <f t="shared" si="20"/>
        <v>6.952702702702703</v>
      </c>
      <c r="AH59" s="156">
        <v>1870</v>
      </c>
      <c r="AI59" s="554">
        <f>IF(AH59&lt;&gt;0,-(AH59-AB59)/AH59,"")</f>
        <v>-0.4497326203208556</v>
      </c>
      <c r="AJ59" s="13">
        <v>342163</v>
      </c>
      <c r="AK59" s="312">
        <v>27572</v>
      </c>
      <c r="AL59" s="396">
        <f>AJ59/AK59</f>
        <v>12.4097997968954</v>
      </c>
      <c r="AM59" s="434">
        <v>49</v>
      </c>
    </row>
    <row r="60" spans="1:39" s="68" customFormat="1" ht="12.75" customHeight="1">
      <c r="A60" s="434">
        <v>50</v>
      </c>
      <c r="B60" s="457"/>
      <c r="C60" s="425"/>
      <c r="D60" s="576" t="s">
        <v>418</v>
      </c>
      <c r="E60" s="345" t="s">
        <v>120</v>
      </c>
      <c r="F60" s="345" t="s">
        <v>811</v>
      </c>
      <c r="G60" s="345"/>
      <c r="H60" s="345" t="s">
        <v>120</v>
      </c>
      <c r="I60" s="360">
        <v>40613</v>
      </c>
      <c r="J60" s="345" t="s">
        <v>59</v>
      </c>
      <c r="K60" s="21">
        <v>25</v>
      </c>
      <c r="L60" s="21">
        <v>1</v>
      </c>
      <c r="M60" s="21">
        <v>18</v>
      </c>
      <c r="N60" s="18">
        <v>0</v>
      </c>
      <c r="O60" s="19">
        <v>0</v>
      </c>
      <c r="P60" s="18">
        <v>0</v>
      </c>
      <c r="Q60" s="19">
        <v>0</v>
      </c>
      <c r="R60" s="18">
        <v>0</v>
      </c>
      <c r="S60" s="19">
        <v>0</v>
      </c>
      <c r="T60" s="18">
        <f t="shared" si="13"/>
        <v>0</v>
      </c>
      <c r="U60" s="19">
        <f t="shared" si="14"/>
        <v>0</v>
      </c>
      <c r="V60" s="19"/>
      <c r="W60" s="188"/>
      <c r="X60" s="562"/>
      <c r="Y60" s="554"/>
      <c r="Z60" s="234">
        <f t="shared" si="15"/>
        <v>950</v>
      </c>
      <c r="AA60" s="186">
        <f t="shared" si="16"/>
        <v>190</v>
      </c>
      <c r="AB60" s="583">
        <v>950</v>
      </c>
      <c r="AC60" s="584">
        <v>190</v>
      </c>
      <c r="AD60" s="554">
        <f t="shared" si="17"/>
        <v>0</v>
      </c>
      <c r="AE60" s="554">
        <f t="shared" si="18"/>
        <v>1</v>
      </c>
      <c r="AF60" s="186">
        <f t="shared" si="19"/>
        <v>190</v>
      </c>
      <c r="AG60" s="161">
        <f t="shared" si="20"/>
        <v>5</v>
      </c>
      <c r="AH60" s="18"/>
      <c r="AI60" s="554"/>
      <c r="AJ60" s="18">
        <v>210949.5</v>
      </c>
      <c r="AK60" s="19">
        <v>28348</v>
      </c>
      <c r="AL60" s="396">
        <f>AJ60/AK60</f>
        <v>7.44142443911387</v>
      </c>
      <c r="AM60" s="434">
        <v>50</v>
      </c>
    </row>
    <row r="61" spans="1:39" s="68" customFormat="1" ht="12.75" customHeight="1">
      <c r="A61" s="434">
        <v>51</v>
      </c>
      <c r="B61" s="424"/>
      <c r="C61" s="425"/>
      <c r="D61" s="575"/>
      <c r="E61" s="556" t="s">
        <v>367</v>
      </c>
      <c r="F61" s="21"/>
      <c r="G61" s="556" t="s">
        <v>740</v>
      </c>
      <c r="H61" s="556" t="s">
        <v>503</v>
      </c>
      <c r="I61" s="360">
        <v>40753</v>
      </c>
      <c r="J61" s="345" t="s">
        <v>30</v>
      </c>
      <c r="K61" s="21">
        <v>58</v>
      </c>
      <c r="L61" s="21">
        <v>1</v>
      </c>
      <c r="M61" s="21">
        <v>14</v>
      </c>
      <c r="N61" s="557">
        <v>0</v>
      </c>
      <c r="O61" s="558">
        <v>0</v>
      </c>
      <c r="P61" s="557">
        <v>0</v>
      </c>
      <c r="Q61" s="558">
        <v>0</v>
      </c>
      <c r="R61" s="557">
        <v>0</v>
      </c>
      <c r="S61" s="558">
        <v>0</v>
      </c>
      <c r="T61" s="18">
        <f t="shared" si="13"/>
        <v>0</v>
      </c>
      <c r="U61" s="19">
        <f t="shared" si="14"/>
        <v>0</v>
      </c>
      <c r="V61" s="560"/>
      <c r="W61" s="561"/>
      <c r="X61" s="553"/>
      <c r="Y61" s="554"/>
      <c r="Z61" s="234">
        <f t="shared" si="15"/>
        <v>950</v>
      </c>
      <c r="AA61" s="186">
        <f t="shared" si="16"/>
        <v>188</v>
      </c>
      <c r="AB61" s="589">
        <v>950</v>
      </c>
      <c r="AC61" s="590">
        <v>188</v>
      </c>
      <c r="AD61" s="554">
        <f t="shared" si="17"/>
        <v>0</v>
      </c>
      <c r="AE61" s="554">
        <f t="shared" si="18"/>
        <v>1</v>
      </c>
      <c r="AF61" s="186">
        <f t="shared" si="19"/>
        <v>188</v>
      </c>
      <c r="AG61" s="161">
        <f t="shared" si="20"/>
        <v>5.053191489361702</v>
      </c>
      <c r="AH61" s="16"/>
      <c r="AI61" s="554"/>
      <c r="AJ61" s="16">
        <f>159826+108118.5+46649+24455+74855+32945.5+7885+4137+7700.5+1167+3301+2552+1706+950</f>
        <v>476247.5</v>
      </c>
      <c r="AK61" s="17">
        <f>16534+11741+6112+3510+9606+4566+1219+550+1311+165+566+434+278+188</f>
        <v>56780</v>
      </c>
      <c r="AL61" s="216">
        <f>+AJ61/AK61</f>
        <v>8.387592462134554</v>
      </c>
      <c r="AM61" s="434">
        <v>51</v>
      </c>
    </row>
    <row r="62" spans="1:39" s="68" customFormat="1" ht="12.75" customHeight="1">
      <c r="A62" s="434">
        <v>52</v>
      </c>
      <c r="B62" s="424"/>
      <c r="C62" s="425"/>
      <c r="D62" s="575"/>
      <c r="E62" s="354" t="s">
        <v>702</v>
      </c>
      <c r="F62" s="21" t="s">
        <v>703</v>
      </c>
      <c r="G62" s="354" t="s">
        <v>704</v>
      </c>
      <c r="H62" s="354" t="s">
        <v>705</v>
      </c>
      <c r="I62" s="359">
        <v>40865</v>
      </c>
      <c r="J62" s="345" t="s">
        <v>23</v>
      </c>
      <c r="K62" s="354">
        <v>25</v>
      </c>
      <c r="L62" s="21">
        <v>3</v>
      </c>
      <c r="M62" s="21">
        <v>4</v>
      </c>
      <c r="N62" s="551">
        <v>78</v>
      </c>
      <c r="O62" s="552">
        <v>10</v>
      </c>
      <c r="P62" s="551">
        <v>315</v>
      </c>
      <c r="Q62" s="552">
        <v>44</v>
      </c>
      <c r="R62" s="551">
        <v>171</v>
      </c>
      <c r="S62" s="552">
        <v>23</v>
      </c>
      <c r="T62" s="18">
        <f t="shared" si="13"/>
        <v>564</v>
      </c>
      <c r="U62" s="19">
        <f t="shared" si="14"/>
        <v>77</v>
      </c>
      <c r="V62" s="186">
        <f>IF(T62&lt;&gt;0,U62/L62,"")</f>
        <v>25.666666666666668</v>
      </c>
      <c r="W62" s="161">
        <f>IF(T62&lt;&gt;0,T62/U62,"")</f>
        <v>7.324675324675325</v>
      </c>
      <c r="X62" s="553">
        <v>1082</v>
      </c>
      <c r="Y62" s="554">
        <f>IF(X62&lt;&gt;0,-(X62-T62)/X62,"")</f>
        <v>-0.4787430683918669</v>
      </c>
      <c r="Z62" s="234">
        <f t="shared" si="15"/>
        <v>310</v>
      </c>
      <c r="AA62" s="186">
        <f t="shared" si="16"/>
        <v>45</v>
      </c>
      <c r="AB62" s="583">
        <v>874</v>
      </c>
      <c r="AC62" s="584">
        <v>122</v>
      </c>
      <c r="AD62" s="554">
        <f t="shared" si="17"/>
        <v>0.6311475409836066</v>
      </c>
      <c r="AE62" s="554">
        <f t="shared" si="18"/>
        <v>0.36885245901639346</v>
      </c>
      <c r="AF62" s="186">
        <f t="shared" si="19"/>
        <v>40.666666666666664</v>
      </c>
      <c r="AG62" s="161">
        <f t="shared" si="20"/>
        <v>7.163934426229508</v>
      </c>
      <c r="AH62" s="18">
        <v>1523</v>
      </c>
      <c r="AI62" s="554">
        <f>IF(AH62&lt;&gt;0,-(AH62-AB62)/AH62,"")</f>
        <v>-0.4261326329612607</v>
      </c>
      <c r="AJ62" s="18">
        <v>188532</v>
      </c>
      <c r="AK62" s="19">
        <v>14410</v>
      </c>
      <c r="AL62" s="396">
        <f>AJ62/AK62</f>
        <v>13.083414295628035</v>
      </c>
      <c r="AM62" s="434">
        <v>52</v>
      </c>
    </row>
    <row r="63" spans="1:39" s="68" customFormat="1" ht="12.75" customHeight="1">
      <c r="A63" s="434">
        <v>53</v>
      </c>
      <c r="B63" s="424"/>
      <c r="C63" s="429" t="s">
        <v>416</v>
      </c>
      <c r="D63" s="575"/>
      <c r="E63" s="556" t="s">
        <v>210</v>
      </c>
      <c r="F63" s="21"/>
      <c r="G63" s="556" t="s">
        <v>709</v>
      </c>
      <c r="H63" s="556" t="s">
        <v>628</v>
      </c>
      <c r="I63" s="360">
        <v>40697</v>
      </c>
      <c r="J63" s="345" t="s">
        <v>30</v>
      </c>
      <c r="K63" s="21">
        <v>71</v>
      </c>
      <c r="L63" s="21">
        <v>3</v>
      </c>
      <c r="M63" s="21">
        <v>28</v>
      </c>
      <c r="N63" s="557">
        <v>0</v>
      </c>
      <c r="O63" s="558">
        <v>0</v>
      </c>
      <c r="P63" s="557">
        <v>0</v>
      </c>
      <c r="Q63" s="558">
        <v>0</v>
      </c>
      <c r="R63" s="557">
        <v>0</v>
      </c>
      <c r="S63" s="558">
        <v>0</v>
      </c>
      <c r="T63" s="18">
        <f t="shared" si="13"/>
        <v>0</v>
      </c>
      <c r="U63" s="19">
        <f t="shared" si="14"/>
        <v>0</v>
      </c>
      <c r="V63" s="560"/>
      <c r="W63" s="561"/>
      <c r="X63" s="553"/>
      <c r="Y63" s="554"/>
      <c r="Z63" s="234">
        <f t="shared" si="15"/>
        <v>768</v>
      </c>
      <c r="AA63" s="186">
        <f t="shared" si="16"/>
        <v>109</v>
      </c>
      <c r="AB63" s="589">
        <v>768</v>
      </c>
      <c r="AC63" s="590">
        <v>109</v>
      </c>
      <c r="AD63" s="554">
        <f t="shared" si="17"/>
        <v>0</v>
      </c>
      <c r="AE63" s="554">
        <f t="shared" si="18"/>
        <v>1</v>
      </c>
      <c r="AF63" s="186">
        <f t="shared" si="19"/>
        <v>36.333333333333336</v>
      </c>
      <c r="AG63" s="161">
        <f t="shared" si="20"/>
        <v>7.045871559633028</v>
      </c>
      <c r="AH63" s="16"/>
      <c r="AI63" s="554"/>
      <c r="AJ63" s="16">
        <f>204018.5+92011.75+38624.5+27400+22817+12697.5+8373+8455.5+6781+2290+2830+1048+3163+3005+2166+6840+1490+14+6415.5+3721.5+7267.5+3007+701.5+608.5+3931+316+1244+768</f>
        <v>472005.25</v>
      </c>
      <c r="AK63" s="17">
        <f>20915+10991+4900+3855+3433+1986+1329+1415+1032+399+409+237+591+657+312+1653+293+7+1605+687+1458+678+106+95+900+62+202+109</f>
        <v>60316</v>
      </c>
      <c r="AL63" s="216">
        <f>+AJ63/AK63</f>
        <v>7.825539657802241</v>
      </c>
      <c r="AM63" s="434">
        <v>53</v>
      </c>
    </row>
    <row r="64" spans="1:39" s="68" customFormat="1" ht="12.75" customHeight="1">
      <c r="A64" s="434">
        <v>54</v>
      </c>
      <c r="B64" s="424"/>
      <c r="C64" s="425"/>
      <c r="D64" s="575"/>
      <c r="E64" s="556" t="s">
        <v>399</v>
      </c>
      <c r="F64" s="21"/>
      <c r="G64" s="556" t="s">
        <v>720</v>
      </c>
      <c r="H64" s="556" t="s">
        <v>779</v>
      </c>
      <c r="I64" s="360">
        <v>40781</v>
      </c>
      <c r="J64" s="345" t="s">
        <v>30</v>
      </c>
      <c r="K64" s="21">
        <v>25</v>
      </c>
      <c r="L64" s="21">
        <v>1</v>
      </c>
      <c r="M64" s="21">
        <v>13</v>
      </c>
      <c r="N64" s="557">
        <v>0</v>
      </c>
      <c r="O64" s="558">
        <v>0</v>
      </c>
      <c r="P64" s="557">
        <v>0</v>
      </c>
      <c r="Q64" s="558">
        <v>0</v>
      </c>
      <c r="R64" s="557">
        <v>0</v>
      </c>
      <c r="S64" s="558">
        <v>0</v>
      </c>
      <c r="T64" s="18">
        <f t="shared" si="13"/>
        <v>0</v>
      </c>
      <c r="U64" s="19">
        <f t="shared" si="14"/>
        <v>0</v>
      </c>
      <c r="V64" s="560"/>
      <c r="W64" s="561"/>
      <c r="X64" s="553"/>
      <c r="Y64" s="554"/>
      <c r="Z64" s="234">
        <f t="shared" si="15"/>
        <v>744</v>
      </c>
      <c r="AA64" s="186">
        <f t="shared" si="16"/>
        <v>124</v>
      </c>
      <c r="AB64" s="589">
        <v>744</v>
      </c>
      <c r="AC64" s="590">
        <v>124</v>
      </c>
      <c r="AD64" s="554">
        <f t="shared" si="17"/>
        <v>0</v>
      </c>
      <c r="AE64" s="554">
        <f t="shared" si="18"/>
        <v>1</v>
      </c>
      <c r="AF64" s="186">
        <f t="shared" si="19"/>
        <v>124</v>
      </c>
      <c r="AG64" s="161">
        <f t="shared" si="20"/>
        <v>6</v>
      </c>
      <c r="AH64" s="16"/>
      <c r="AI64" s="554"/>
      <c r="AJ64" s="16">
        <f>144733+112570+56967.5+34113.5+30823.5+33890.5+41306+25896.5+24762.5+2776+2376+588+744</f>
        <v>511547</v>
      </c>
      <c r="AK64" s="17">
        <f>11669+10065+5619+3946+3929+4284+5351+3682+3657+420+594+249+124</f>
        <v>53589</v>
      </c>
      <c r="AL64" s="216">
        <f>+AJ64/AK64</f>
        <v>9.545746328537573</v>
      </c>
      <c r="AM64" s="434">
        <v>54</v>
      </c>
    </row>
    <row r="65" spans="1:39" s="68" customFormat="1" ht="12.75" customHeight="1">
      <c r="A65" s="434">
        <v>55</v>
      </c>
      <c r="B65" s="424"/>
      <c r="C65" s="425"/>
      <c r="D65" s="575"/>
      <c r="E65" s="556" t="s">
        <v>447</v>
      </c>
      <c r="F65" s="21" t="s">
        <v>723</v>
      </c>
      <c r="G65" s="556" t="s">
        <v>720</v>
      </c>
      <c r="H65" s="556" t="s">
        <v>448</v>
      </c>
      <c r="I65" s="360">
        <v>40816</v>
      </c>
      <c r="J65" s="345" t="s">
        <v>30</v>
      </c>
      <c r="K65" s="21">
        <v>25</v>
      </c>
      <c r="L65" s="21">
        <v>2</v>
      </c>
      <c r="M65" s="21">
        <v>11</v>
      </c>
      <c r="N65" s="557">
        <v>88</v>
      </c>
      <c r="O65" s="558">
        <v>12</v>
      </c>
      <c r="P65" s="557">
        <v>91</v>
      </c>
      <c r="Q65" s="558">
        <v>13</v>
      </c>
      <c r="R65" s="557">
        <v>119</v>
      </c>
      <c r="S65" s="558">
        <v>17</v>
      </c>
      <c r="T65" s="18">
        <f t="shared" si="13"/>
        <v>298</v>
      </c>
      <c r="U65" s="19">
        <f t="shared" si="14"/>
        <v>42</v>
      </c>
      <c r="V65" s="560">
        <f>+U65/L65</f>
        <v>21</v>
      </c>
      <c r="W65" s="561">
        <f>+T65/U65</f>
        <v>7.095238095238095</v>
      </c>
      <c r="X65" s="553">
        <v>9919</v>
      </c>
      <c r="Y65" s="554">
        <f>IF(X65&lt;&gt;0,-(X65-T65)/X65,"")</f>
        <v>-0.9699566488557314</v>
      </c>
      <c r="Z65" s="234">
        <f t="shared" si="15"/>
        <v>434</v>
      </c>
      <c r="AA65" s="186">
        <f t="shared" si="16"/>
        <v>65</v>
      </c>
      <c r="AB65" s="589">
        <v>732</v>
      </c>
      <c r="AC65" s="590">
        <v>107</v>
      </c>
      <c r="AD65" s="554">
        <f t="shared" si="17"/>
        <v>0.3925233644859813</v>
      </c>
      <c r="AE65" s="554">
        <f t="shared" si="18"/>
        <v>0.6074766355140186</v>
      </c>
      <c r="AF65" s="186">
        <f t="shared" si="19"/>
        <v>53.5</v>
      </c>
      <c r="AG65" s="161">
        <f t="shared" si="20"/>
        <v>6.841121495327103</v>
      </c>
      <c r="AH65" s="16">
        <v>15320.5</v>
      </c>
      <c r="AI65" s="554">
        <f>IF(AH65&lt;&gt;0,-(AH65-AB65)/AH65,"")</f>
        <v>-0.9522208805195653</v>
      </c>
      <c r="AJ65" s="16">
        <f>80510.5+53296+49611.5+29276.5+2781+46429+5648+1635+6908.5+15320.5+732</f>
        <v>292148.5</v>
      </c>
      <c r="AK65" s="17">
        <f>8978+6079+6067+4144+482+6937+761+224+842+1960+107</f>
        <v>36581</v>
      </c>
      <c r="AL65" s="216">
        <f>+AJ65/AK65</f>
        <v>7.986345370547552</v>
      </c>
      <c r="AM65" s="434">
        <v>55</v>
      </c>
    </row>
    <row r="66" spans="1:39" s="68" customFormat="1" ht="12.75" customHeight="1">
      <c r="A66" s="434">
        <v>56</v>
      </c>
      <c r="B66" s="440"/>
      <c r="C66" s="425"/>
      <c r="D66" s="577"/>
      <c r="E66" s="563" t="s">
        <v>665</v>
      </c>
      <c r="F66" s="563" t="s">
        <v>694</v>
      </c>
      <c r="G66" s="563" t="s">
        <v>706</v>
      </c>
      <c r="H66" s="563" t="s">
        <v>666</v>
      </c>
      <c r="I66" s="360">
        <v>40844</v>
      </c>
      <c r="J66" s="345" t="s">
        <v>23</v>
      </c>
      <c r="K66" s="21">
        <v>41</v>
      </c>
      <c r="L66" s="21">
        <v>2</v>
      </c>
      <c r="M66" s="21">
        <v>7</v>
      </c>
      <c r="N66" s="551">
        <v>69</v>
      </c>
      <c r="O66" s="552">
        <v>8</v>
      </c>
      <c r="P66" s="551">
        <v>290</v>
      </c>
      <c r="Q66" s="552">
        <v>38</v>
      </c>
      <c r="R66" s="551">
        <v>190</v>
      </c>
      <c r="S66" s="552">
        <v>24</v>
      </c>
      <c r="T66" s="18">
        <f t="shared" si="13"/>
        <v>549</v>
      </c>
      <c r="U66" s="19">
        <f t="shared" si="14"/>
        <v>70</v>
      </c>
      <c r="V66" s="186">
        <f>IF(T66&lt;&gt;0,U66/L66,"")</f>
        <v>35</v>
      </c>
      <c r="W66" s="161">
        <f>IF(T66&lt;&gt;0,T66/U66,"")</f>
        <v>7.8428571428571425</v>
      </c>
      <c r="X66" s="553">
        <v>398</v>
      </c>
      <c r="Y66" s="554">
        <f>IF(X66&lt;&gt;0,-(X66-T66)/X66,"")</f>
        <v>0.3793969849246231</v>
      </c>
      <c r="Z66" s="234">
        <f t="shared" si="15"/>
        <v>172</v>
      </c>
      <c r="AA66" s="186">
        <f t="shared" si="16"/>
        <v>22</v>
      </c>
      <c r="AB66" s="583">
        <v>721</v>
      </c>
      <c r="AC66" s="584">
        <v>92</v>
      </c>
      <c r="AD66" s="554">
        <f t="shared" si="17"/>
        <v>0.7608695652173914</v>
      </c>
      <c r="AE66" s="554">
        <f t="shared" si="18"/>
        <v>0.2391304347826087</v>
      </c>
      <c r="AF66" s="186">
        <f t="shared" si="19"/>
        <v>46</v>
      </c>
      <c r="AG66" s="161">
        <f t="shared" si="20"/>
        <v>7.836956521739131</v>
      </c>
      <c r="AH66" s="18">
        <v>608</v>
      </c>
      <c r="AI66" s="554">
        <f>IF(AH66&lt;&gt;0,-(AH66-AB66)/AH66,"")</f>
        <v>0.18585526315789475</v>
      </c>
      <c r="AJ66" s="18">
        <v>512061</v>
      </c>
      <c r="AK66" s="19">
        <v>41914</v>
      </c>
      <c r="AL66" s="396">
        <f>AJ66/AK66</f>
        <v>12.216944219115332</v>
      </c>
      <c r="AM66" s="434">
        <v>56</v>
      </c>
    </row>
    <row r="67" spans="1:39" s="68" customFormat="1" ht="12.75" customHeight="1">
      <c r="A67" s="434">
        <v>57</v>
      </c>
      <c r="B67" s="424"/>
      <c r="C67" s="425"/>
      <c r="D67" s="575"/>
      <c r="E67" s="556" t="s">
        <v>761</v>
      </c>
      <c r="F67" s="21" t="s">
        <v>762</v>
      </c>
      <c r="G67" s="344" t="s">
        <v>709</v>
      </c>
      <c r="H67" s="556" t="s">
        <v>763</v>
      </c>
      <c r="I67" s="360">
        <v>40872</v>
      </c>
      <c r="J67" s="345" t="s">
        <v>30</v>
      </c>
      <c r="K67" s="21">
        <v>5</v>
      </c>
      <c r="L67" s="21">
        <v>2</v>
      </c>
      <c r="M67" s="21">
        <v>3</v>
      </c>
      <c r="N67" s="557">
        <v>156</v>
      </c>
      <c r="O67" s="558">
        <v>13</v>
      </c>
      <c r="P67" s="557">
        <v>110</v>
      </c>
      <c r="Q67" s="558">
        <v>10</v>
      </c>
      <c r="R67" s="557">
        <v>144</v>
      </c>
      <c r="S67" s="558">
        <v>13</v>
      </c>
      <c r="T67" s="18">
        <f t="shared" si="13"/>
        <v>410</v>
      </c>
      <c r="U67" s="19">
        <f t="shared" si="14"/>
        <v>36</v>
      </c>
      <c r="V67" s="560">
        <f>+U67/L67</f>
        <v>18</v>
      </c>
      <c r="W67" s="561">
        <f>+T67/U67</f>
        <v>11.38888888888889</v>
      </c>
      <c r="X67" s="553">
        <v>9092.5</v>
      </c>
      <c r="Y67" s="554">
        <f>IF(X67&lt;&gt;0,-(X67-T67)/X67,"")</f>
        <v>-0.9549078911190542</v>
      </c>
      <c r="Z67" s="234">
        <f t="shared" si="15"/>
        <v>283</v>
      </c>
      <c r="AA67" s="186">
        <f t="shared" si="16"/>
        <v>26</v>
      </c>
      <c r="AB67" s="589">
        <v>693</v>
      </c>
      <c r="AC67" s="590">
        <v>62</v>
      </c>
      <c r="AD67" s="554">
        <f t="shared" si="17"/>
        <v>0.5806451612903226</v>
      </c>
      <c r="AE67" s="554">
        <f t="shared" si="18"/>
        <v>0.41935483870967744</v>
      </c>
      <c r="AF67" s="186">
        <f t="shared" si="19"/>
        <v>31</v>
      </c>
      <c r="AG67" s="161">
        <f t="shared" si="20"/>
        <v>11.17741935483871</v>
      </c>
      <c r="AH67" s="16">
        <v>14406.5</v>
      </c>
      <c r="AI67" s="554">
        <f>IF(AH67&lt;&gt;0,-(AH67-AB67)/AH67,"")</f>
        <v>-0.9518967132891403</v>
      </c>
      <c r="AJ67" s="16">
        <f>49492.5+14406.5+693</f>
        <v>64592</v>
      </c>
      <c r="AK67" s="17">
        <f>4472+1208+62</f>
        <v>5742</v>
      </c>
      <c r="AL67" s="396">
        <f>AJ67/AK67</f>
        <v>11.24904214559387</v>
      </c>
      <c r="AM67" s="434">
        <v>57</v>
      </c>
    </row>
    <row r="68" spans="1:39" s="68" customFormat="1" ht="12.75" customHeight="1">
      <c r="A68" s="434">
        <v>58</v>
      </c>
      <c r="B68" s="424"/>
      <c r="C68" s="425"/>
      <c r="D68" s="575"/>
      <c r="E68" s="556" t="s">
        <v>815</v>
      </c>
      <c r="F68" s="21"/>
      <c r="G68" s="556" t="s">
        <v>740</v>
      </c>
      <c r="H68" s="556" t="s">
        <v>468</v>
      </c>
      <c r="I68" s="360">
        <v>40746</v>
      </c>
      <c r="J68" s="345" t="s">
        <v>30</v>
      </c>
      <c r="K68" s="21">
        <v>5</v>
      </c>
      <c r="L68" s="21">
        <v>1</v>
      </c>
      <c r="M68" s="21">
        <v>14</v>
      </c>
      <c r="N68" s="557">
        <v>0</v>
      </c>
      <c r="O68" s="558">
        <v>0</v>
      </c>
      <c r="P68" s="557">
        <v>0</v>
      </c>
      <c r="Q68" s="558">
        <v>0</v>
      </c>
      <c r="R68" s="557">
        <v>0</v>
      </c>
      <c r="S68" s="558">
        <v>0</v>
      </c>
      <c r="T68" s="18">
        <f t="shared" si="13"/>
        <v>0</v>
      </c>
      <c r="U68" s="19">
        <f t="shared" si="14"/>
        <v>0</v>
      </c>
      <c r="V68" s="560"/>
      <c r="W68" s="561"/>
      <c r="X68" s="553"/>
      <c r="Y68" s="554"/>
      <c r="Z68" s="234">
        <f t="shared" si="15"/>
        <v>684</v>
      </c>
      <c r="AA68" s="186">
        <f t="shared" si="16"/>
        <v>80</v>
      </c>
      <c r="AB68" s="589">
        <v>684</v>
      </c>
      <c r="AC68" s="590">
        <v>80</v>
      </c>
      <c r="AD68" s="554">
        <f t="shared" si="17"/>
        <v>0</v>
      </c>
      <c r="AE68" s="554">
        <f t="shared" si="18"/>
        <v>1</v>
      </c>
      <c r="AF68" s="186">
        <f t="shared" si="19"/>
        <v>80</v>
      </c>
      <c r="AG68" s="161">
        <f t="shared" si="20"/>
        <v>8.55</v>
      </c>
      <c r="AH68" s="16"/>
      <c r="AI68" s="554"/>
      <c r="AJ68" s="16">
        <f>15287.5+10909.5+3453.5+1267.5+1495+5972+1476+196+990+2893+1323+722+1782+684</f>
        <v>48451</v>
      </c>
      <c r="AK68" s="17">
        <f>1370+1093+336+155+192+663+166+28+134+385+183+184+446+80</f>
        <v>5415</v>
      </c>
      <c r="AL68" s="216">
        <f aca="true" t="shared" si="22" ref="AL68:AL74">+AJ68/AK68</f>
        <v>8.947553093259465</v>
      </c>
      <c r="AM68" s="434">
        <v>58</v>
      </c>
    </row>
    <row r="69" spans="1:39" s="68" customFormat="1" ht="12.75" customHeight="1">
      <c r="A69" s="434">
        <v>59</v>
      </c>
      <c r="B69" s="440"/>
      <c r="C69" s="428"/>
      <c r="D69" s="576" t="s">
        <v>418</v>
      </c>
      <c r="E69" s="21" t="s">
        <v>450</v>
      </c>
      <c r="F69" s="21" t="s">
        <v>808</v>
      </c>
      <c r="G69" s="21"/>
      <c r="H69" s="21" t="s">
        <v>450</v>
      </c>
      <c r="I69" s="360">
        <v>40809</v>
      </c>
      <c r="J69" s="345" t="s">
        <v>28</v>
      </c>
      <c r="K69" s="21">
        <v>100</v>
      </c>
      <c r="L69" s="550">
        <v>2</v>
      </c>
      <c r="M69" s="550">
        <v>7</v>
      </c>
      <c r="N69" s="551">
        <v>106</v>
      </c>
      <c r="O69" s="552">
        <v>11</v>
      </c>
      <c r="P69" s="551">
        <v>127</v>
      </c>
      <c r="Q69" s="552">
        <v>15</v>
      </c>
      <c r="R69" s="551">
        <v>128</v>
      </c>
      <c r="S69" s="552">
        <v>14</v>
      </c>
      <c r="T69" s="18">
        <f t="shared" si="13"/>
        <v>361</v>
      </c>
      <c r="U69" s="19">
        <f t="shared" si="14"/>
        <v>40</v>
      </c>
      <c r="V69" s="186">
        <f>IF(T69&lt;&gt;0,U69/L69,"")</f>
        <v>20</v>
      </c>
      <c r="W69" s="161">
        <f>IF(T69&lt;&gt;0,T69/U69,"")</f>
        <v>9.025</v>
      </c>
      <c r="X69" s="553"/>
      <c r="Y69" s="554">
        <f>IF(X69&lt;&gt;0,-(X69-T69)/X69,"")</f>
      </c>
      <c r="Z69" s="234">
        <f t="shared" si="15"/>
        <v>238</v>
      </c>
      <c r="AA69" s="186">
        <f t="shared" si="16"/>
        <v>29</v>
      </c>
      <c r="AB69" s="583">
        <v>599</v>
      </c>
      <c r="AC69" s="584">
        <v>69</v>
      </c>
      <c r="AD69" s="554">
        <f t="shared" si="17"/>
        <v>0.5797101449275363</v>
      </c>
      <c r="AE69" s="554">
        <f t="shared" si="18"/>
        <v>0.42028985507246375</v>
      </c>
      <c r="AF69" s="186">
        <f t="shared" si="19"/>
        <v>34.5</v>
      </c>
      <c r="AG69" s="161">
        <f t="shared" si="20"/>
        <v>8.681159420289855</v>
      </c>
      <c r="AH69" s="18"/>
      <c r="AI69" s="554"/>
      <c r="AJ69" s="18">
        <f>82571.5+83206+36155.5+6572.5+1130+270+599</f>
        <v>210504.5</v>
      </c>
      <c r="AK69" s="19">
        <f>10644+10871+4961+959+182+54+69</f>
        <v>27740</v>
      </c>
      <c r="AL69" s="216">
        <f t="shared" si="22"/>
        <v>7.588482335976929</v>
      </c>
      <c r="AM69" s="434">
        <v>59</v>
      </c>
    </row>
    <row r="70" spans="1:39" s="68" customFormat="1" ht="12.75" customHeight="1">
      <c r="A70" s="434">
        <v>60</v>
      </c>
      <c r="B70" s="424"/>
      <c r="C70" s="425"/>
      <c r="D70" s="578"/>
      <c r="E70" s="21" t="s">
        <v>775</v>
      </c>
      <c r="F70" s="21" t="s">
        <v>809</v>
      </c>
      <c r="G70" s="12" t="s">
        <v>759</v>
      </c>
      <c r="H70" s="344" t="s">
        <v>640</v>
      </c>
      <c r="I70" s="359">
        <v>40830</v>
      </c>
      <c r="J70" s="345" t="s">
        <v>21</v>
      </c>
      <c r="K70" s="354">
        <v>24</v>
      </c>
      <c r="L70" s="12">
        <v>2</v>
      </c>
      <c r="M70" s="12">
        <v>5</v>
      </c>
      <c r="N70" s="156">
        <v>14</v>
      </c>
      <c r="O70" s="236">
        <v>2</v>
      </c>
      <c r="P70" s="156">
        <v>84</v>
      </c>
      <c r="Q70" s="236">
        <v>13</v>
      </c>
      <c r="R70" s="156">
        <v>80</v>
      </c>
      <c r="S70" s="236">
        <v>13</v>
      </c>
      <c r="T70" s="18">
        <f t="shared" si="13"/>
        <v>178</v>
      </c>
      <c r="U70" s="19">
        <f t="shared" si="14"/>
        <v>28</v>
      </c>
      <c r="V70" s="19">
        <f>U70/L70</f>
        <v>14</v>
      </c>
      <c r="W70" s="188">
        <f>T70/U70</f>
        <v>6.357142857142857</v>
      </c>
      <c r="X70" s="553">
        <v>814</v>
      </c>
      <c r="Y70" s="554">
        <f>IF(X70&lt;&gt;0,-(X70-T70)/X70,"")</f>
        <v>-0.7813267813267813</v>
      </c>
      <c r="Z70" s="234">
        <f t="shared" si="15"/>
        <v>334</v>
      </c>
      <c r="AA70" s="186">
        <f t="shared" si="16"/>
        <v>24</v>
      </c>
      <c r="AB70" s="585">
        <v>512</v>
      </c>
      <c r="AC70" s="586">
        <v>52</v>
      </c>
      <c r="AD70" s="554">
        <f t="shared" si="17"/>
        <v>0.5384615384615384</v>
      </c>
      <c r="AE70" s="554">
        <f t="shared" si="18"/>
        <v>0.46153846153846156</v>
      </c>
      <c r="AF70" s="186">
        <f t="shared" si="19"/>
        <v>26</v>
      </c>
      <c r="AG70" s="161">
        <f t="shared" si="20"/>
        <v>9.846153846153847</v>
      </c>
      <c r="AH70" s="553">
        <v>1407</v>
      </c>
      <c r="AI70" s="554">
        <f>IF(AH70&lt;&gt;0,-(AH70-AB70)/AH70,"")</f>
        <v>-0.6361051883439943</v>
      </c>
      <c r="AJ70" s="24">
        <f>39089+12457+497+1407+378</f>
        <v>53828</v>
      </c>
      <c r="AK70" s="19">
        <f>3631+1290+71+217+63</f>
        <v>5272</v>
      </c>
      <c r="AL70" s="216">
        <f t="shared" si="22"/>
        <v>10.210166919575114</v>
      </c>
      <c r="AM70" s="434">
        <v>60</v>
      </c>
    </row>
    <row r="71" spans="1:39" s="68" customFormat="1" ht="12.75" customHeight="1">
      <c r="A71" s="434">
        <v>61</v>
      </c>
      <c r="B71" s="424"/>
      <c r="C71" s="429" t="s">
        <v>416</v>
      </c>
      <c r="D71" s="575"/>
      <c r="E71" s="556" t="s">
        <v>330</v>
      </c>
      <c r="F71" s="21"/>
      <c r="G71" s="556" t="s">
        <v>827</v>
      </c>
      <c r="H71" s="556" t="s">
        <v>821</v>
      </c>
      <c r="I71" s="360">
        <v>40480</v>
      </c>
      <c r="J71" s="345" t="s">
        <v>30</v>
      </c>
      <c r="K71" s="21">
        <v>100</v>
      </c>
      <c r="L71" s="21">
        <v>1</v>
      </c>
      <c r="M71" s="21">
        <v>22</v>
      </c>
      <c r="N71" s="557">
        <v>0</v>
      </c>
      <c r="O71" s="558">
        <v>0</v>
      </c>
      <c r="P71" s="557">
        <v>0</v>
      </c>
      <c r="Q71" s="558">
        <v>0</v>
      </c>
      <c r="R71" s="557">
        <v>0</v>
      </c>
      <c r="S71" s="558">
        <v>0</v>
      </c>
      <c r="T71" s="18">
        <f t="shared" si="13"/>
        <v>0</v>
      </c>
      <c r="U71" s="19">
        <f t="shared" si="14"/>
        <v>0</v>
      </c>
      <c r="V71" s="560"/>
      <c r="W71" s="561"/>
      <c r="X71" s="553"/>
      <c r="Y71" s="554"/>
      <c r="Z71" s="234">
        <f t="shared" si="15"/>
        <v>430</v>
      </c>
      <c r="AA71" s="186">
        <f t="shared" si="16"/>
        <v>86</v>
      </c>
      <c r="AB71" s="589">
        <v>430</v>
      </c>
      <c r="AC71" s="590">
        <v>86</v>
      </c>
      <c r="AD71" s="554">
        <f t="shared" si="17"/>
        <v>0</v>
      </c>
      <c r="AE71" s="554">
        <f t="shared" si="18"/>
        <v>1</v>
      </c>
      <c r="AF71" s="186">
        <f t="shared" si="19"/>
        <v>86</v>
      </c>
      <c r="AG71" s="161">
        <f t="shared" si="20"/>
        <v>5</v>
      </c>
      <c r="AH71" s="16"/>
      <c r="AI71" s="554"/>
      <c r="AJ71" s="16">
        <f>1221166+429124.5+378100+240009.5+108018.5+26890.5+15319+16968+7345.5+4160+1262+1510+3920.5+2732.5+8910+571+670+102+4457+119+222+430</f>
        <v>2472007.5</v>
      </c>
      <c r="AK71" s="17">
        <f>114702+40612+35598+23284+12543+4168+3055+2661+1161+850+210+377+981+684+2228+92+109+26+857+22+44+86</f>
        <v>244350</v>
      </c>
      <c r="AL71" s="216">
        <f t="shared" si="22"/>
        <v>10.116666666666667</v>
      </c>
      <c r="AM71" s="434">
        <v>61</v>
      </c>
    </row>
    <row r="72" spans="1:39" s="68" customFormat="1" ht="12.75" customHeight="1">
      <c r="A72" s="434">
        <v>62</v>
      </c>
      <c r="B72" s="424"/>
      <c r="C72" s="429" t="s">
        <v>416</v>
      </c>
      <c r="D72" s="575"/>
      <c r="E72" s="556" t="s">
        <v>29</v>
      </c>
      <c r="F72" s="21" t="s">
        <v>822</v>
      </c>
      <c r="G72" s="556" t="s">
        <v>709</v>
      </c>
      <c r="H72" s="556" t="s">
        <v>29</v>
      </c>
      <c r="I72" s="360">
        <v>40641</v>
      </c>
      <c r="J72" s="345" t="s">
        <v>30</v>
      </c>
      <c r="K72" s="21">
        <v>137</v>
      </c>
      <c r="L72" s="21">
        <v>1</v>
      </c>
      <c r="M72" s="21">
        <v>35</v>
      </c>
      <c r="N72" s="557">
        <v>0</v>
      </c>
      <c r="O72" s="558">
        <v>0</v>
      </c>
      <c r="P72" s="557">
        <v>0</v>
      </c>
      <c r="Q72" s="558">
        <v>0</v>
      </c>
      <c r="R72" s="557">
        <v>0</v>
      </c>
      <c r="S72" s="558">
        <v>0</v>
      </c>
      <c r="T72" s="18">
        <f t="shared" si="13"/>
        <v>0</v>
      </c>
      <c r="U72" s="19">
        <f t="shared" si="14"/>
        <v>0</v>
      </c>
      <c r="V72" s="560"/>
      <c r="W72" s="561"/>
      <c r="X72" s="553"/>
      <c r="Y72" s="554"/>
      <c r="Z72" s="234">
        <f t="shared" si="15"/>
        <v>425</v>
      </c>
      <c r="AA72" s="186">
        <f t="shared" si="16"/>
        <v>84</v>
      </c>
      <c r="AB72" s="589">
        <v>425</v>
      </c>
      <c r="AC72" s="590">
        <v>84</v>
      </c>
      <c r="AD72" s="554">
        <f t="shared" si="17"/>
        <v>0</v>
      </c>
      <c r="AE72" s="554">
        <f t="shared" si="18"/>
        <v>1</v>
      </c>
      <c r="AF72" s="186">
        <f t="shared" si="19"/>
        <v>84</v>
      </c>
      <c r="AG72" s="161">
        <f t="shared" si="20"/>
        <v>5.059523809523809</v>
      </c>
      <c r="AH72" s="16"/>
      <c r="AI72" s="554"/>
      <c r="AJ72" s="16">
        <f>1093950.25+883807.25+882248.49+232093.5+101981.5+57830.5+19947.5+33359.5+10973.5+10465+4630+3501.5+10659+9758.5+3633+5790+6145.5+1329.5+1868.5+1128+2980.5+1299.5+16988+15449+14138+200+1908+7960+4871+1544.5+1533+891+3175+713+425</f>
        <v>3449175.99</v>
      </c>
      <c r="AK72" s="17">
        <f>103570+88345+90215+25333+13427+8958+3731+5336+2366+2057+997+691+1831+2140+654+1021+736+207+401+189+424+234+4142+3841+3526+40+471+1991+1218+386+96+56+735+178+84</f>
        <v>369627</v>
      </c>
      <c r="AL72" s="216">
        <f t="shared" si="22"/>
        <v>9.331504435552597</v>
      </c>
      <c r="AM72" s="434">
        <v>62</v>
      </c>
    </row>
    <row r="73" spans="1:39" s="68" customFormat="1" ht="12.75" customHeight="1">
      <c r="A73" s="434">
        <v>63</v>
      </c>
      <c r="B73" s="424"/>
      <c r="C73" s="425"/>
      <c r="D73" s="575"/>
      <c r="E73" s="556" t="s">
        <v>830</v>
      </c>
      <c r="F73" s="21"/>
      <c r="G73" s="556" t="s">
        <v>740</v>
      </c>
      <c r="H73" s="556" t="s">
        <v>778</v>
      </c>
      <c r="I73" s="360">
        <v>40739</v>
      </c>
      <c r="J73" s="345" t="s">
        <v>30</v>
      </c>
      <c r="K73" s="21">
        <v>17</v>
      </c>
      <c r="L73" s="21">
        <v>1</v>
      </c>
      <c r="M73" s="21">
        <v>18</v>
      </c>
      <c r="N73" s="557">
        <v>0</v>
      </c>
      <c r="O73" s="558">
        <v>0</v>
      </c>
      <c r="P73" s="557">
        <v>0</v>
      </c>
      <c r="Q73" s="558">
        <v>0</v>
      </c>
      <c r="R73" s="557">
        <v>0</v>
      </c>
      <c r="S73" s="558">
        <v>0</v>
      </c>
      <c r="T73" s="18">
        <f t="shared" si="13"/>
        <v>0</v>
      </c>
      <c r="U73" s="19">
        <f t="shared" si="14"/>
        <v>0</v>
      </c>
      <c r="V73" s="560"/>
      <c r="W73" s="561"/>
      <c r="X73" s="553"/>
      <c r="Y73" s="554"/>
      <c r="Z73" s="234">
        <f t="shared" si="15"/>
        <v>414</v>
      </c>
      <c r="AA73" s="186">
        <f t="shared" si="16"/>
        <v>62</v>
      </c>
      <c r="AB73" s="589">
        <v>414</v>
      </c>
      <c r="AC73" s="590">
        <v>62</v>
      </c>
      <c r="AD73" s="554">
        <f t="shared" si="17"/>
        <v>0</v>
      </c>
      <c r="AE73" s="554">
        <f t="shared" si="18"/>
        <v>1</v>
      </c>
      <c r="AF73" s="186">
        <f t="shared" si="19"/>
        <v>62</v>
      </c>
      <c r="AG73" s="161">
        <f t="shared" si="20"/>
        <v>6.67741935483871</v>
      </c>
      <c r="AH73" s="16"/>
      <c r="AI73" s="554"/>
      <c r="AJ73" s="16">
        <f>42541+25929.5+29063+12725.5+17698.5+26553.5+14176.5+9569.5+16711+7438+2494+2704.5+4533.5+1133+196+1782+939+414</f>
        <v>216602</v>
      </c>
      <c r="AK73" s="17">
        <f>3864+2719+2642+1433+2106+3202+2032+1129+1888+1023+354+402+565+140+26+446+186+62</f>
        <v>24219</v>
      </c>
      <c r="AL73" s="216">
        <f t="shared" si="22"/>
        <v>8.94347413187993</v>
      </c>
      <c r="AM73" s="434">
        <v>63</v>
      </c>
    </row>
    <row r="74" spans="1:39" s="68" customFormat="1" ht="12.75" customHeight="1">
      <c r="A74" s="434">
        <v>64</v>
      </c>
      <c r="B74" s="424"/>
      <c r="C74" s="425"/>
      <c r="D74" s="576" t="s">
        <v>418</v>
      </c>
      <c r="E74" s="21" t="s">
        <v>456</v>
      </c>
      <c r="F74" s="21" t="s">
        <v>804</v>
      </c>
      <c r="G74" s="21"/>
      <c r="H74" s="344" t="s">
        <v>456</v>
      </c>
      <c r="I74" s="359">
        <v>40682</v>
      </c>
      <c r="J74" s="345" t="s">
        <v>21</v>
      </c>
      <c r="K74" s="354">
        <v>10</v>
      </c>
      <c r="L74" s="12">
        <v>1</v>
      </c>
      <c r="M74" s="12">
        <v>10</v>
      </c>
      <c r="N74" s="156">
        <v>18</v>
      </c>
      <c r="O74" s="236">
        <v>3</v>
      </c>
      <c r="P74" s="156">
        <v>38</v>
      </c>
      <c r="Q74" s="236">
        <v>6</v>
      </c>
      <c r="R74" s="156">
        <v>64</v>
      </c>
      <c r="S74" s="236">
        <v>9</v>
      </c>
      <c r="T74" s="18">
        <f t="shared" si="13"/>
        <v>120</v>
      </c>
      <c r="U74" s="19">
        <f t="shared" si="14"/>
        <v>18</v>
      </c>
      <c r="V74" s="19">
        <f>U74/L74</f>
        <v>18</v>
      </c>
      <c r="W74" s="188">
        <f>T74/U74</f>
        <v>6.666666666666667</v>
      </c>
      <c r="X74" s="553">
        <v>40</v>
      </c>
      <c r="Y74" s="554">
        <f>IF(X74&lt;&gt;0,-(X74-T74)/X74,"")</f>
        <v>2</v>
      </c>
      <c r="Z74" s="234">
        <f t="shared" si="15"/>
        <v>258</v>
      </c>
      <c r="AA74" s="186">
        <f t="shared" si="16"/>
        <v>45</v>
      </c>
      <c r="AB74" s="585">
        <v>378</v>
      </c>
      <c r="AC74" s="586">
        <v>63</v>
      </c>
      <c r="AD74" s="554">
        <f t="shared" si="17"/>
        <v>0.2857142857142857</v>
      </c>
      <c r="AE74" s="554">
        <f t="shared" si="18"/>
        <v>0.7142857142857143</v>
      </c>
      <c r="AF74" s="186">
        <f t="shared" si="19"/>
        <v>63</v>
      </c>
      <c r="AG74" s="161">
        <f t="shared" si="20"/>
        <v>6</v>
      </c>
      <c r="AH74" s="553">
        <v>138</v>
      </c>
      <c r="AI74" s="554">
        <f>IF(AH74&lt;&gt;0,-(AH74-AB74)/AH74,"")</f>
        <v>1.7391304347826086</v>
      </c>
      <c r="AJ74" s="24">
        <f>13625.5+7746+4283.5+2094+362+332+182+120+138+174</f>
        <v>29057</v>
      </c>
      <c r="AK74" s="19">
        <f>1586+942+519+310+52+51+26+15+25+30</f>
        <v>3556</v>
      </c>
      <c r="AL74" s="216">
        <f t="shared" si="22"/>
        <v>8.171259842519685</v>
      </c>
      <c r="AM74" s="434">
        <v>64</v>
      </c>
    </row>
    <row r="75" spans="1:39" s="68" customFormat="1" ht="12.75" customHeight="1">
      <c r="A75" s="434">
        <v>65</v>
      </c>
      <c r="B75" s="594"/>
      <c r="C75" s="426"/>
      <c r="D75" s="598"/>
      <c r="E75" s="354" t="s">
        <v>648</v>
      </c>
      <c r="F75" s="21" t="s">
        <v>724</v>
      </c>
      <c r="G75" s="354" t="s">
        <v>725</v>
      </c>
      <c r="H75" s="354" t="s">
        <v>649</v>
      </c>
      <c r="I75" s="359">
        <v>40837</v>
      </c>
      <c r="J75" s="345" t="s">
        <v>23</v>
      </c>
      <c r="K75" s="354">
        <v>130</v>
      </c>
      <c r="L75" s="21">
        <v>1</v>
      </c>
      <c r="M75" s="21">
        <v>8</v>
      </c>
      <c r="N75" s="551">
        <v>34</v>
      </c>
      <c r="O75" s="552">
        <v>4</v>
      </c>
      <c r="P75" s="551">
        <v>100</v>
      </c>
      <c r="Q75" s="552">
        <v>12</v>
      </c>
      <c r="R75" s="551">
        <v>84</v>
      </c>
      <c r="S75" s="552">
        <v>10</v>
      </c>
      <c r="T75" s="18">
        <f aca="true" t="shared" si="23" ref="T75:T83">SUM(N75+P75+R75)</f>
        <v>218</v>
      </c>
      <c r="U75" s="19">
        <f aca="true" t="shared" si="24" ref="U75:U83">O75+Q75+S75</f>
        <v>26</v>
      </c>
      <c r="V75" s="186">
        <f>IF(T75&lt;&gt;0,U75/L75,"")</f>
        <v>26</v>
      </c>
      <c r="W75" s="161">
        <f>IF(T75&lt;&gt;0,T75/U75,"")</f>
        <v>8.384615384615385</v>
      </c>
      <c r="X75" s="553">
        <v>126</v>
      </c>
      <c r="Y75" s="554">
        <f>IF(X75&lt;&gt;0,-(X75-T75)/X75,"")</f>
        <v>0.7301587301587301</v>
      </c>
      <c r="Z75" s="234">
        <f aca="true" t="shared" si="25" ref="Z75:Z83">AB75-T75</f>
        <v>137</v>
      </c>
      <c r="AA75" s="186">
        <f aca="true" t="shared" si="26" ref="AA75:AA83">AC75-U75</f>
        <v>19</v>
      </c>
      <c r="AB75" s="583">
        <v>355</v>
      </c>
      <c r="AC75" s="584">
        <v>45</v>
      </c>
      <c r="AD75" s="554">
        <f>U75*1/AC75</f>
        <v>0.5777777777777777</v>
      </c>
      <c r="AE75" s="554">
        <f aca="true" t="shared" si="27" ref="AE75:AE83">AA75*1/AC75</f>
        <v>0.4222222222222222</v>
      </c>
      <c r="AF75" s="186">
        <f aca="true" t="shared" si="28" ref="AF75:AF83">AC75/L75</f>
        <v>45</v>
      </c>
      <c r="AG75" s="161">
        <f aca="true" t="shared" si="29" ref="AG75:AG83">AB75/AC75</f>
        <v>7.888888888888889</v>
      </c>
      <c r="AH75" s="18">
        <v>420</v>
      </c>
      <c r="AI75" s="554">
        <f>IF(AH75&lt;&gt;0,-(AH75-AB75)/AH75,"")</f>
        <v>-0.15476190476190477</v>
      </c>
      <c r="AJ75" s="18">
        <v>888167</v>
      </c>
      <c r="AK75" s="19">
        <v>89398</v>
      </c>
      <c r="AL75" s="396">
        <f>AJ75/AK75</f>
        <v>9.934976173963623</v>
      </c>
      <c r="AM75" s="434">
        <v>65</v>
      </c>
    </row>
    <row r="76" spans="1:39" s="68" customFormat="1" ht="12.75" customHeight="1">
      <c r="A76" s="434">
        <v>66</v>
      </c>
      <c r="B76" s="573"/>
      <c r="C76" s="431"/>
      <c r="D76" s="579"/>
      <c r="E76" s="345" t="s">
        <v>646</v>
      </c>
      <c r="F76" s="21" t="s">
        <v>722</v>
      </c>
      <c r="G76" s="345" t="s">
        <v>697</v>
      </c>
      <c r="H76" s="345" t="s">
        <v>647</v>
      </c>
      <c r="I76" s="359">
        <v>40837</v>
      </c>
      <c r="J76" s="345" t="s">
        <v>10</v>
      </c>
      <c r="K76" s="21">
        <v>79</v>
      </c>
      <c r="L76" s="12">
        <v>1</v>
      </c>
      <c r="M76" s="12">
        <v>8</v>
      </c>
      <c r="N76" s="16">
        <v>35</v>
      </c>
      <c r="O76" s="17">
        <v>5</v>
      </c>
      <c r="P76" s="16">
        <v>182</v>
      </c>
      <c r="Q76" s="17">
        <v>26</v>
      </c>
      <c r="R76" s="16">
        <v>56</v>
      </c>
      <c r="S76" s="17">
        <v>8</v>
      </c>
      <c r="T76" s="18">
        <f t="shared" si="23"/>
        <v>273</v>
      </c>
      <c r="U76" s="19">
        <f t="shared" si="24"/>
        <v>39</v>
      </c>
      <c r="V76" s="186">
        <f>IF(T76&lt;&gt;0,U76/L76,"")</f>
        <v>39</v>
      </c>
      <c r="W76" s="161">
        <f>IF(T76&lt;&gt;0,T76/U76,"")</f>
        <v>7</v>
      </c>
      <c r="X76" s="559">
        <v>819</v>
      </c>
      <c r="Y76" s="554">
        <f>IF(X76&lt;&gt;0,-(X76-T76)/X76,"")</f>
        <v>-0.6666666666666666</v>
      </c>
      <c r="Z76" s="234">
        <f t="shared" si="25"/>
        <v>70</v>
      </c>
      <c r="AA76" s="186">
        <f t="shared" si="26"/>
        <v>10</v>
      </c>
      <c r="AB76" s="591">
        <v>343</v>
      </c>
      <c r="AC76" s="592">
        <v>49</v>
      </c>
      <c r="AD76" s="554">
        <f>U76*1/AC76</f>
        <v>0.7959183673469388</v>
      </c>
      <c r="AE76" s="554">
        <f t="shared" si="27"/>
        <v>0.20408163265306123</v>
      </c>
      <c r="AF76" s="186">
        <f t="shared" si="28"/>
        <v>49</v>
      </c>
      <c r="AG76" s="161">
        <f t="shared" si="29"/>
        <v>7</v>
      </c>
      <c r="AH76" s="156">
        <v>1260</v>
      </c>
      <c r="AI76" s="554">
        <f>IF(AH76&lt;&gt;0,-(AH76-AB76)/AH76,"")</f>
        <v>-0.7277777777777777</v>
      </c>
      <c r="AJ76" s="156">
        <v>1093610</v>
      </c>
      <c r="AK76" s="236">
        <v>99952</v>
      </c>
      <c r="AL76" s="396">
        <f>AJ76/AK76</f>
        <v>10.941351848887466</v>
      </c>
      <c r="AM76" s="434">
        <v>66</v>
      </c>
    </row>
    <row r="77" spans="1:39" s="68" customFormat="1" ht="12.75" customHeight="1">
      <c r="A77" s="434">
        <v>67</v>
      </c>
      <c r="B77" s="424"/>
      <c r="C77" s="429" t="s">
        <v>416</v>
      </c>
      <c r="D77" s="575"/>
      <c r="E77" s="556" t="s">
        <v>299</v>
      </c>
      <c r="F77" s="21"/>
      <c r="G77" s="556" t="s">
        <v>691</v>
      </c>
      <c r="H77" s="556" t="s">
        <v>299</v>
      </c>
      <c r="I77" s="360">
        <v>40347</v>
      </c>
      <c r="J77" s="345" t="s">
        <v>30</v>
      </c>
      <c r="K77" s="21">
        <v>66</v>
      </c>
      <c r="L77" s="21">
        <v>1</v>
      </c>
      <c r="M77" s="21">
        <v>33</v>
      </c>
      <c r="N77" s="557">
        <v>0</v>
      </c>
      <c r="O77" s="558">
        <v>0</v>
      </c>
      <c r="P77" s="557">
        <v>0</v>
      </c>
      <c r="Q77" s="558">
        <v>0</v>
      </c>
      <c r="R77" s="557">
        <v>0</v>
      </c>
      <c r="S77" s="558">
        <v>0</v>
      </c>
      <c r="T77" s="18">
        <f t="shared" si="23"/>
        <v>0</v>
      </c>
      <c r="U77" s="19">
        <f t="shared" si="24"/>
        <v>0</v>
      </c>
      <c r="V77" s="560"/>
      <c r="W77" s="561"/>
      <c r="X77" s="553"/>
      <c r="Y77" s="554"/>
      <c r="Z77" s="234">
        <f t="shared" si="25"/>
        <v>286</v>
      </c>
      <c r="AA77" s="186">
        <f t="shared" si="26"/>
        <v>67</v>
      </c>
      <c r="AB77" s="589">
        <v>286</v>
      </c>
      <c r="AC77" s="590">
        <v>67</v>
      </c>
      <c r="AD77" s="554">
        <f>U77*1/AC77</f>
        <v>0</v>
      </c>
      <c r="AE77" s="554">
        <f t="shared" si="27"/>
        <v>1</v>
      </c>
      <c r="AF77" s="186">
        <f t="shared" si="28"/>
        <v>67</v>
      </c>
      <c r="AG77" s="161">
        <f t="shared" si="29"/>
        <v>4.268656716417911</v>
      </c>
      <c r="AH77" s="16"/>
      <c r="AI77" s="554"/>
      <c r="AJ77" s="16">
        <f>478213+7083+3309.5+6055+4900+8378+4378.5+2349+3103+2074+7679.5+6108+2991.5+2180+2234+642+2775.5+1757+1151+3382+60+1782+2851+1188+713+286</f>
        <v>557623.5</v>
      </c>
      <c r="AK77" s="17">
        <f>55327+1259+553+1133+756+1285+650+408+682+334+1688+1394+539+483+475+201+677+260+202+852+20+445+712+297+178+67</f>
        <v>70877</v>
      </c>
      <c r="AL77" s="216">
        <f>+AJ77/AK77</f>
        <v>7.8674816936382745</v>
      </c>
      <c r="AM77" s="434">
        <v>67</v>
      </c>
    </row>
    <row r="78" spans="1:39" s="68" customFormat="1" ht="12.75" customHeight="1">
      <c r="A78" s="434">
        <v>68</v>
      </c>
      <c r="B78" s="424"/>
      <c r="C78" s="426"/>
      <c r="D78" s="576" t="s">
        <v>418</v>
      </c>
      <c r="E78" s="354" t="s">
        <v>683</v>
      </c>
      <c r="F78" s="21" t="s">
        <v>732</v>
      </c>
      <c r="G78" s="354"/>
      <c r="H78" s="354" t="s">
        <v>683</v>
      </c>
      <c r="I78" s="360">
        <v>40858</v>
      </c>
      <c r="J78" s="345" t="s">
        <v>23</v>
      </c>
      <c r="K78" s="354">
        <v>3</v>
      </c>
      <c r="L78" s="21">
        <v>1</v>
      </c>
      <c r="M78" s="21">
        <v>5</v>
      </c>
      <c r="N78" s="551">
        <v>24</v>
      </c>
      <c r="O78" s="552">
        <v>4</v>
      </c>
      <c r="P78" s="551">
        <v>68</v>
      </c>
      <c r="Q78" s="552">
        <v>11</v>
      </c>
      <c r="R78" s="551">
        <v>38</v>
      </c>
      <c r="S78" s="552">
        <v>6</v>
      </c>
      <c r="T78" s="18">
        <f t="shared" si="23"/>
        <v>130</v>
      </c>
      <c r="U78" s="19">
        <f t="shared" si="24"/>
        <v>21</v>
      </c>
      <c r="V78" s="186">
        <f>IF(T78&lt;&gt;0,U78/L78,"")</f>
        <v>21</v>
      </c>
      <c r="W78" s="161">
        <f>IF(T78&lt;&gt;0,T78/U78,"")</f>
        <v>6.190476190476191</v>
      </c>
      <c r="X78" s="553"/>
      <c r="Y78" s="554">
        <f>IF(X78&lt;&gt;0,-(X78-T78)/X78,"")</f>
      </c>
      <c r="Z78" s="234">
        <f t="shared" si="25"/>
        <v>80</v>
      </c>
      <c r="AA78" s="186">
        <f t="shared" si="26"/>
        <v>13</v>
      </c>
      <c r="AB78" s="583">
        <v>210</v>
      </c>
      <c r="AC78" s="584">
        <v>34</v>
      </c>
      <c r="AD78" s="554">
        <f>U78*1/AC78</f>
        <v>0.6176470588235294</v>
      </c>
      <c r="AE78" s="554">
        <f t="shared" si="27"/>
        <v>0.38235294117647056</v>
      </c>
      <c r="AF78" s="186">
        <f t="shared" si="28"/>
        <v>34</v>
      </c>
      <c r="AG78" s="161">
        <f t="shared" si="29"/>
        <v>6.176470588235294</v>
      </c>
      <c r="AH78" s="18"/>
      <c r="AI78" s="554"/>
      <c r="AJ78" s="18">
        <v>2557</v>
      </c>
      <c r="AK78" s="19">
        <v>214</v>
      </c>
      <c r="AL78" s="396">
        <f>AJ78/AK78</f>
        <v>11.948598130841122</v>
      </c>
      <c r="AM78" s="434">
        <v>68</v>
      </c>
    </row>
    <row r="79" spans="1:39" s="68" customFormat="1" ht="12.75" customHeight="1">
      <c r="A79" s="434">
        <v>69</v>
      </c>
      <c r="B79" s="424"/>
      <c r="C79" s="425"/>
      <c r="D79" s="575"/>
      <c r="E79" s="21" t="s">
        <v>404</v>
      </c>
      <c r="F79" s="21" t="s">
        <v>810</v>
      </c>
      <c r="G79" s="21" t="s">
        <v>759</v>
      </c>
      <c r="H79" s="344" t="s">
        <v>470</v>
      </c>
      <c r="I79" s="359">
        <v>40760</v>
      </c>
      <c r="J79" s="345" t="s">
        <v>21</v>
      </c>
      <c r="K79" s="354">
        <v>50</v>
      </c>
      <c r="L79" s="12">
        <v>1</v>
      </c>
      <c r="M79" s="12">
        <v>14</v>
      </c>
      <c r="N79" s="156">
        <v>0</v>
      </c>
      <c r="O79" s="236">
        <v>0</v>
      </c>
      <c r="P79" s="156">
        <v>0</v>
      </c>
      <c r="Q79" s="236">
        <v>0</v>
      </c>
      <c r="R79" s="156">
        <v>72</v>
      </c>
      <c r="S79" s="236">
        <v>12</v>
      </c>
      <c r="T79" s="18">
        <f t="shared" si="23"/>
        <v>72</v>
      </c>
      <c r="U79" s="19">
        <f t="shared" si="24"/>
        <v>12</v>
      </c>
      <c r="V79" s="19">
        <f>U79/L79</f>
        <v>12</v>
      </c>
      <c r="W79" s="188">
        <f>T79/U79</f>
        <v>6</v>
      </c>
      <c r="X79" s="553"/>
      <c r="Y79" s="554">
        <f>IF(X79&lt;&gt;0,-(X79-T79)/X79,"")</f>
      </c>
      <c r="Z79" s="234">
        <f t="shared" si="25"/>
        <v>126</v>
      </c>
      <c r="AA79" s="186">
        <f t="shared" si="26"/>
        <v>21</v>
      </c>
      <c r="AB79" s="585">
        <v>198</v>
      </c>
      <c r="AC79" s="586">
        <v>33</v>
      </c>
      <c r="AD79" s="554">
        <f>U79*1/AC79</f>
        <v>0.36363636363636365</v>
      </c>
      <c r="AE79" s="554">
        <f t="shared" si="27"/>
        <v>0.6363636363636364</v>
      </c>
      <c r="AF79" s="186">
        <f t="shared" si="28"/>
        <v>33</v>
      </c>
      <c r="AG79" s="161">
        <f t="shared" si="29"/>
        <v>6</v>
      </c>
      <c r="AH79" s="553">
        <v>159.666666666667</v>
      </c>
      <c r="AI79" s="554">
        <f>IF(AH79&lt;&gt;0,-(AH79-AB79)/AH79,"")</f>
        <v>0.24008350730688677</v>
      </c>
      <c r="AJ79" s="24">
        <f>67535+40656.5+19844+37179+18125.5+8409+4094.5+9234.5+2702+4742+2416+1318+342+198</f>
        <v>216796</v>
      </c>
      <c r="AK79" s="19">
        <f>6900+4516+2977+4823+2464+1226+612+1455+430+728+372+211+57+33</f>
        <v>26804</v>
      </c>
      <c r="AL79" s="216">
        <f>+AJ79/AK79</f>
        <v>8.088195791672884</v>
      </c>
      <c r="AM79" s="434">
        <v>69</v>
      </c>
    </row>
    <row r="80" spans="1:39" s="68" customFormat="1" ht="12.75" customHeight="1">
      <c r="A80" s="434">
        <v>70</v>
      </c>
      <c r="B80" s="424"/>
      <c r="C80" s="425"/>
      <c r="D80" s="577"/>
      <c r="E80" s="14" t="s">
        <v>439</v>
      </c>
      <c r="F80" s="21" t="s">
        <v>730</v>
      </c>
      <c r="G80" s="14" t="s">
        <v>695</v>
      </c>
      <c r="H80" s="14" t="s">
        <v>440</v>
      </c>
      <c r="I80" s="371">
        <v>40816</v>
      </c>
      <c r="J80" s="345" t="s">
        <v>8</v>
      </c>
      <c r="K80" s="14">
        <v>60</v>
      </c>
      <c r="L80" s="14">
        <v>1</v>
      </c>
      <c r="M80" s="14">
        <v>11</v>
      </c>
      <c r="N80" s="156">
        <v>24</v>
      </c>
      <c r="O80" s="236">
        <v>4</v>
      </c>
      <c r="P80" s="156">
        <v>75</v>
      </c>
      <c r="Q80" s="236">
        <v>12</v>
      </c>
      <c r="R80" s="156">
        <v>54</v>
      </c>
      <c r="S80" s="236">
        <v>8</v>
      </c>
      <c r="T80" s="18">
        <f t="shared" si="23"/>
        <v>153</v>
      </c>
      <c r="U80" s="19">
        <f t="shared" si="24"/>
        <v>24</v>
      </c>
      <c r="V80" s="186">
        <f>IF(T80&lt;&gt;0,U80/L80,"")</f>
        <v>24</v>
      </c>
      <c r="W80" s="161">
        <f>IF(T80&lt;&gt;0,T80/U80,"")</f>
        <v>6.375</v>
      </c>
      <c r="X80" s="18">
        <v>476</v>
      </c>
      <c r="Y80" s="554">
        <f>IF(X80&lt;&gt;0,-(X80-T80)/X80,"")</f>
        <v>-0.6785714285714286</v>
      </c>
      <c r="Z80" s="234">
        <f t="shared" si="25"/>
        <v>42</v>
      </c>
      <c r="AA80" s="186">
        <f t="shared" si="26"/>
        <v>6</v>
      </c>
      <c r="AB80" s="587">
        <v>195</v>
      </c>
      <c r="AC80" s="588">
        <v>30</v>
      </c>
      <c r="AD80" s="554">
        <f>U80*1/AC80</f>
        <v>0.8</v>
      </c>
      <c r="AE80" s="554">
        <f t="shared" si="27"/>
        <v>0.2</v>
      </c>
      <c r="AF80" s="186">
        <f t="shared" si="28"/>
        <v>30</v>
      </c>
      <c r="AG80" s="161">
        <f t="shared" si="29"/>
        <v>6.5</v>
      </c>
      <c r="AH80" s="156">
        <v>680</v>
      </c>
      <c r="AI80" s="554">
        <f>IF(AH80&lt;&gt;0,-(AH80-AB80)/AH80,"")</f>
        <v>-0.7132352941176471</v>
      </c>
      <c r="AJ80" s="13">
        <v>713342</v>
      </c>
      <c r="AK80" s="312">
        <v>73186</v>
      </c>
      <c r="AL80" s="216">
        <f>+AJ80/AK80</f>
        <v>9.746973464870331</v>
      </c>
      <c r="AM80" s="434">
        <v>70</v>
      </c>
    </row>
    <row r="81" spans="1:39" s="68" customFormat="1" ht="12.75" customHeight="1">
      <c r="A81" s="434">
        <v>71</v>
      </c>
      <c r="B81" s="424"/>
      <c r="C81" s="425"/>
      <c r="D81" s="575"/>
      <c r="E81" s="21" t="s">
        <v>229</v>
      </c>
      <c r="F81" s="21" t="s">
        <v>812</v>
      </c>
      <c r="G81" s="21" t="s">
        <v>759</v>
      </c>
      <c r="H81" s="344" t="s">
        <v>490</v>
      </c>
      <c r="I81" s="359">
        <v>40718</v>
      </c>
      <c r="J81" s="345" t="s">
        <v>21</v>
      </c>
      <c r="K81" s="354">
        <v>1</v>
      </c>
      <c r="L81" s="12">
        <v>1</v>
      </c>
      <c r="M81" s="12">
        <v>17</v>
      </c>
      <c r="N81" s="156">
        <v>0</v>
      </c>
      <c r="O81" s="236">
        <v>0</v>
      </c>
      <c r="P81" s="156">
        <v>0</v>
      </c>
      <c r="Q81" s="236">
        <v>0</v>
      </c>
      <c r="R81" s="156">
        <v>0</v>
      </c>
      <c r="S81" s="236">
        <v>0</v>
      </c>
      <c r="T81" s="18">
        <f t="shared" si="23"/>
        <v>0</v>
      </c>
      <c r="U81" s="19">
        <f t="shared" si="24"/>
        <v>0</v>
      </c>
      <c r="V81" s="19"/>
      <c r="W81" s="188"/>
      <c r="X81" s="553"/>
      <c r="Y81" s="554">
        <f>IF(X81&lt;&gt;0,-(X81-T81)/X81,"")</f>
      </c>
      <c r="Z81" s="234">
        <f t="shared" si="25"/>
        <v>174</v>
      </c>
      <c r="AA81" s="186">
        <f t="shared" si="26"/>
        <v>30</v>
      </c>
      <c r="AB81" s="585">
        <v>174</v>
      </c>
      <c r="AC81" s="586">
        <v>30</v>
      </c>
      <c r="AD81" s="554">
        <f>U81*1/AC81</f>
        <v>0</v>
      </c>
      <c r="AE81" s="554">
        <f t="shared" si="27"/>
        <v>1</v>
      </c>
      <c r="AF81" s="186">
        <f t="shared" si="28"/>
        <v>30</v>
      </c>
      <c r="AG81" s="161">
        <f t="shared" si="29"/>
        <v>5.8</v>
      </c>
      <c r="AH81" s="553">
        <v>-141.333333333333</v>
      </c>
      <c r="AI81" s="554">
        <f>IF(AH81&lt;&gt;0,-(AH81-AB81)/AH81,"")</f>
        <v>-2.231132075471701</v>
      </c>
      <c r="AJ81" s="24">
        <f>21641+832+85+116+126+1782</f>
        <v>24582</v>
      </c>
      <c r="AK81" s="19">
        <f>1707+333+12+18+20+356</f>
        <v>2446</v>
      </c>
      <c r="AL81" s="216">
        <f>+AJ81/AK81</f>
        <v>10.049877350776779</v>
      </c>
      <c r="AM81" s="434">
        <v>71</v>
      </c>
    </row>
    <row r="82" spans="1:39" s="68" customFormat="1" ht="12.75" customHeight="1">
      <c r="A82" s="434">
        <v>72</v>
      </c>
      <c r="B82" s="424"/>
      <c r="C82" s="425"/>
      <c r="D82" s="575"/>
      <c r="E82" s="556" t="s">
        <v>816</v>
      </c>
      <c r="F82" s="21" t="s">
        <v>828</v>
      </c>
      <c r="G82" s="556" t="s">
        <v>709</v>
      </c>
      <c r="H82" s="556" t="s">
        <v>655</v>
      </c>
      <c r="I82" s="360">
        <v>40837</v>
      </c>
      <c r="J82" s="345" t="s">
        <v>30</v>
      </c>
      <c r="K82" s="21">
        <v>10</v>
      </c>
      <c r="L82" s="21">
        <v>1</v>
      </c>
      <c r="M82" s="21">
        <v>5</v>
      </c>
      <c r="N82" s="557">
        <v>0</v>
      </c>
      <c r="O82" s="558">
        <v>0</v>
      </c>
      <c r="P82" s="557">
        <v>0</v>
      </c>
      <c r="Q82" s="558">
        <v>0</v>
      </c>
      <c r="R82" s="557">
        <v>0</v>
      </c>
      <c r="S82" s="558">
        <v>0</v>
      </c>
      <c r="T82" s="18">
        <f t="shared" si="23"/>
        <v>0</v>
      </c>
      <c r="U82" s="19">
        <f t="shared" si="24"/>
        <v>0</v>
      </c>
      <c r="V82" s="560"/>
      <c r="W82" s="561"/>
      <c r="X82" s="553"/>
      <c r="Y82" s="554"/>
      <c r="Z82" s="234">
        <f t="shared" si="25"/>
        <v>172</v>
      </c>
      <c r="AA82" s="186">
        <f t="shared" si="26"/>
        <v>22</v>
      </c>
      <c r="AB82" s="589">
        <v>172</v>
      </c>
      <c r="AC82" s="590">
        <v>22</v>
      </c>
      <c r="AD82" s="554">
        <f>U82*1/AC82</f>
        <v>0</v>
      </c>
      <c r="AE82" s="554">
        <f t="shared" si="27"/>
        <v>1</v>
      </c>
      <c r="AF82" s="186">
        <f t="shared" si="28"/>
        <v>22</v>
      </c>
      <c r="AG82" s="161">
        <f t="shared" si="29"/>
        <v>7.818181818181818</v>
      </c>
      <c r="AH82" s="16"/>
      <c r="AI82" s="554"/>
      <c r="AJ82" s="16">
        <f>10225+2950+986+451+172</f>
        <v>14784</v>
      </c>
      <c r="AK82" s="17">
        <f>1095+291+123+65+22</f>
        <v>1596</v>
      </c>
      <c r="AL82" s="216">
        <f>+AJ82/AK82</f>
        <v>9.263157894736842</v>
      </c>
      <c r="AM82" s="434">
        <v>72</v>
      </c>
    </row>
    <row r="83" spans="1:39" s="68" customFormat="1" ht="12.75" customHeight="1" thickBot="1">
      <c r="A83" s="621">
        <v>73</v>
      </c>
      <c r="B83" s="595"/>
      <c r="C83" s="597" t="s">
        <v>416</v>
      </c>
      <c r="D83" s="599"/>
      <c r="E83" s="609" t="s">
        <v>817</v>
      </c>
      <c r="F83" s="564"/>
      <c r="G83" s="609" t="s">
        <v>740</v>
      </c>
      <c r="H83" s="609" t="s">
        <v>644</v>
      </c>
      <c r="I83" s="610">
        <v>40816</v>
      </c>
      <c r="J83" s="565" t="s">
        <v>30</v>
      </c>
      <c r="K83" s="564">
        <v>20</v>
      </c>
      <c r="L83" s="564">
        <v>1</v>
      </c>
      <c r="M83" s="564">
        <v>9</v>
      </c>
      <c r="N83" s="611">
        <v>0</v>
      </c>
      <c r="O83" s="612">
        <v>0</v>
      </c>
      <c r="P83" s="611">
        <v>0</v>
      </c>
      <c r="Q83" s="612">
        <v>0</v>
      </c>
      <c r="R83" s="611">
        <v>0</v>
      </c>
      <c r="S83" s="612">
        <v>0</v>
      </c>
      <c r="T83" s="613">
        <f t="shared" si="23"/>
        <v>0</v>
      </c>
      <c r="U83" s="614">
        <f t="shared" si="24"/>
        <v>0</v>
      </c>
      <c r="V83" s="615"/>
      <c r="W83" s="616"/>
      <c r="X83" s="617"/>
      <c r="Y83" s="566"/>
      <c r="Z83" s="567">
        <f t="shared" si="25"/>
        <v>58</v>
      </c>
      <c r="AA83" s="568">
        <f t="shared" si="26"/>
        <v>26</v>
      </c>
      <c r="AB83" s="618">
        <v>58</v>
      </c>
      <c r="AC83" s="619">
        <v>26</v>
      </c>
      <c r="AD83" s="566">
        <f>U83*1/AC83</f>
        <v>0</v>
      </c>
      <c r="AE83" s="566">
        <f t="shared" si="27"/>
        <v>1</v>
      </c>
      <c r="AF83" s="568">
        <f t="shared" si="28"/>
        <v>26</v>
      </c>
      <c r="AG83" s="569">
        <f t="shared" si="29"/>
        <v>2.230769230769231</v>
      </c>
      <c r="AH83" s="570"/>
      <c r="AI83" s="566"/>
      <c r="AJ83" s="570">
        <f>75142.5+52388.5+8679+971+3899.5+2877+58+4904+58</f>
        <v>148977.5</v>
      </c>
      <c r="AK83" s="571">
        <f>6131+4590+666+86+328+725+26+1257+26</f>
        <v>13835</v>
      </c>
      <c r="AL83" s="620">
        <f>+AJ83/AK83</f>
        <v>10.768160462594867</v>
      </c>
      <c r="AM83" s="621">
        <v>73</v>
      </c>
    </row>
    <row r="85" spans="1:38" s="68" customFormat="1" ht="15.75" thickBot="1">
      <c r="A85" s="91"/>
      <c r="B85" s="92"/>
      <c r="C85" s="92"/>
      <c r="I85" s="93"/>
      <c r="K85" s="92"/>
      <c r="L85" s="92"/>
      <c r="M85" s="92"/>
      <c r="N85" s="94"/>
      <c r="O85" s="95"/>
      <c r="P85" s="94"/>
      <c r="Q85" s="95"/>
      <c r="R85" s="94"/>
      <c r="S85" s="95"/>
      <c r="T85" s="96"/>
      <c r="U85" s="97"/>
      <c r="V85" s="95"/>
      <c r="W85" s="94"/>
      <c r="X85" s="94"/>
      <c r="Y85" s="99"/>
      <c r="Z85" s="230"/>
      <c r="AA85" s="101"/>
      <c r="AB85" s="231"/>
      <c r="AC85" s="222"/>
      <c r="AD85" s="242"/>
      <c r="AE85" s="242"/>
      <c r="AF85" s="101"/>
      <c r="AG85" s="230"/>
      <c r="AH85" s="230"/>
      <c r="AI85" s="230"/>
      <c r="AJ85" s="94"/>
      <c r="AK85" s="103"/>
      <c r="AL85" s="94"/>
    </row>
    <row r="86" spans="1:39" s="104" customFormat="1" ht="12.75">
      <c r="A86" s="728" t="s">
        <v>79</v>
      </c>
      <c r="B86" s="729"/>
      <c r="C86" s="729"/>
      <c r="D86" s="729"/>
      <c r="E86" s="729"/>
      <c r="F86" s="729"/>
      <c r="G86" s="729"/>
      <c r="H86" s="729"/>
      <c r="I86" s="729"/>
      <c r="J86" s="729"/>
      <c r="K86" s="729"/>
      <c r="L86" s="729"/>
      <c r="M86" s="729"/>
      <c r="N86" s="729"/>
      <c r="O86" s="729"/>
      <c r="P86" s="729"/>
      <c r="Q86" s="729"/>
      <c r="R86" s="729"/>
      <c r="S86" s="729"/>
      <c r="T86" s="729"/>
      <c r="U86" s="729"/>
      <c r="V86" s="729"/>
      <c r="W86" s="729"/>
      <c r="X86" s="729"/>
      <c r="Y86" s="729"/>
      <c r="Z86" s="729"/>
      <c r="AA86" s="729"/>
      <c r="AB86" s="729"/>
      <c r="AC86" s="729"/>
      <c r="AD86" s="729"/>
      <c r="AE86" s="729"/>
      <c r="AF86" s="729"/>
      <c r="AG86" s="729"/>
      <c r="AH86" s="729"/>
      <c r="AI86" s="729"/>
      <c r="AJ86" s="729"/>
      <c r="AK86" s="729"/>
      <c r="AL86" s="729"/>
      <c r="AM86" s="730"/>
    </row>
    <row r="87" spans="1:39" s="104" customFormat="1" ht="12.75">
      <c r="A87" s="731"/>
      <c r="B87" s="732"/>
      <c r="C87" s="732"/>
      <c r="D87" s="732"/>
      <c r="E87" s="732"/>
      <c r="F87" s="732"/>
      <c r="G87" s="732"/>
      <c r="H87" s="732"/>
      <c r="I87" s="732"/>
      <c r="J87" s="732"/>
      <c r="K87" s="732"/>
      <c r="L87" s="732"/>
      <c r="M87" s="732"/>
      <c r="N87" s="732"/>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33"/>
    </row>
    <row r="88" spans="1:39" s="104" customFormat="1" ht="12.75">
      <c r="A88" s="731"/>
      <c r="B88" s="732"/>
      <c r="C88" s="732"/>
      <c r="D88" s="732"/>
      <c r="E88" s="732"/>
      <c r="F88" s="732"/>
      <c r="G88" s="732"/>
      <c r="H88" s="732"/>
      <c r="I88" s="732"/>
      <c r="J88" s="732"/>
      <c r="K88" s="732"/>
      <c r="L88" s="732"/>
      <c r="M88" s="732"/>
      <c r="N88" s="732"/>
      <c r="O88" s="732"/>
      <c r="P88" s="732"/>
      <c r="Q88" s="732"/>
      <c r="R88" s="732"/>
      <c r="S88" s="732"/>
      <c r="T88" s="732"/>
      <c r="U88" s="732"/>
      <c r="V88" s="732"/>
      <c r="W88" s="732"/>
      <c r="X88" s="732"/>
      <c r="Y88" s="732"/>
      <c r="Z88" s="732"/>
      <c r="AA88" s="732"/>
      <c r="AB88" s="732"/>
      <c r="AC88" s="732"/>
      <c r="AD88" s="732"/>
      <c r="AE88" s="732"/>
      <c r="AF88" s="732"/>
      <c r="AG88" s="732"/>
      <c r="AH88" s="732"/>
      <c r="AI88" s="732"/>
      <c r="AJ88" s="732"/>
      <c r="AK88" s="732"/>
      <c r="AL88" s="732"/>
      <c r="AM88" s="733"/>
    </row>
    <row r="89" spans="1:39" s="104" customFormat="1" ht="12.75">
      <c r="A89" s="731"/>
      <c r="B89" s="732"/>
      <c r="C89" s="732"/>
      <c r="D89" s="732"/>
      <c r="E89" s="732"/>
      <c r="F89" s="732"/>
      <c r="G89" s="732"/>
      <c r="H89" s="732"/>
      <c r="I89" s="732"/>
      <c r="J89" s="732"/>
      <c r="K89" s="732"/>
      <c r="L89" s="732"/>
      <c r="M89" s="732"/>
      <c r="N89" s="732"/>
      <c r="O89" s="732"/>
      <c r="P89" s="732"/>
      <c r="Q89" s="732"/>
      <c r="R89" s="732"/>
      <c r="S89" s="732"/>
      <c r="T89" s="732"/>
      <c r="U89" s="732"/>
      <c r="V89" s="732"/>
      <c r="W89" s="732"/>
      <c r="X89" s="732"/>
      <c r="Y89" s="732"/>
      <c r="Z89" s="732"/>
      <c r="AA89" s="732"/>
      <c r="AB89" s="732"/>
      <c r="AC89" s="732"/>
      <c r="AD89" s="732"/>
      <c r="AE89" s="732"/>
      <c r="AF89" s="732"/>
      <c r="AG89" s="732"/>
      <c r="AH89" s="732"/>
      <c r="AI89" s="732"/>
      <c r="AJ89" s="732"/>
      <c r="AK89" s="732"/>
      <c r="AL89" s="732"/>
      <c r="AM89" s="733"/>
    </row>
    <row r="90" spans="1:39" s="104" customFormat="1" ht="12.75">
      <c r="A90" s="731"/>
      <c r="B90" s="732"/>
      <c r="C90" s="732"/>
      <c r="D90" s="732"/>
      <c r="E90" s="732"/>
      <c r="F90" s="732"/>
      <c r="G90" s="732"/>
      <c r="H90" s="732"/>
      <c r="I90" s="732"/>
      <c r="J90" s="732"/>
      <c r="K90" s="732"/>
      <c r="L90" s="732"/>
      <c r="M90" s="732"/>
      <c r="N90" s="732"/>
      <c r="O90" s="732"/>
      <c r="P90" s="732"/>
      <c r="Q90" s="732"/>
      <c r="R90" s="732"/>
      <c r="S90" s="732"/>
      <c r="T90" s="732"/>
      <c r="U90" s="732"/>
      <c r="V90" s="732"/>
      <c r="W90" s="732"/>
      <c r="X90" s="732"/>
      <c r="Y90" s="732"/>
      <c r="Z90" s="732"/>
      <c r="AA90" s="732"/>
      <c r="AB90" s="732"/>
      <c r="AC90" s="732"/>
      <c r="AD90" s="732"/>
      <c r="AE90" s="732"/>
      <c r="AF90" s="732"/>
      <c r="AG90" s="732"/>
      <c r="AH90" s="732"/>
      <c r="AI90" s="732"/>
      <c r="AJ90" s="732"/>
      <c r="AK90" s="732"/>
      <c r="AL90" s="732"/>
      <c r="AM90" s="733"/>
    </row>
    <row r="91" spans="1:39" s="104" customFormat="1" ht="13.5" thickBot="1">
      <c r="A91" s="734"/>
      <c r="B91" s="735"/>
      <c r="C91" s="735"/>
      <c r="D91" s="735"/>
      <c r="E91" s="735"/>
      <c r="F91" s="735"/>
      <c r="G91" s="735"/>
      <c r="H91" s="735"/>
      <c r="I91" s="735"/>
      <c r="J91" s="735"/>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5"/>
      <c r="AJ91" s="735"/>
      <c r="AK91" s="735"/>
      <c r="AL91" s="735"/>
      <c r="AM91" s="736"/>
    </row>
    <row r="98" spans="5:8" ht="18">
      <c r="E98" s="233"/>
      <c r="F98" s="233"/>
      <c r="G98" s="233"/>
      <c r="H98" s="233"/>
    </row>
    <row r="99" spans="5:8" ht="18">
      <c r="E99" s="120"/>
      <c r="F99" s="120"/>
      <c r="G99" s="120"/>
      <c r="H99" s="120"/>
    </row>
  </sheetData>
  <sheetProtection formatCells="0" formatColumns="0" formatRows="0" insertColumns="0" insertRows="0" insertHyperlinks="0" deleteColumns="0" deleteRows="0" sort="0" autoFilter="0" pivotTables="0"/>
  <mergeCells count="39">
    <mergeCell ref="AB6:AC6"/>
    <mergeCell ref="AD6:AE6"/>
    <mergeCell ref="AF6:AG6"/>
    <mergeCell ref="AJ7:AK7"/>
    <mergeCell ref="AF7:AG7"/>
    <mergeCell ref="AH7:AI7"/>
    <mergeCell ref="AB7:AC7"/>
    <mergeCell ref="AD7:AE7"/>
    <mergeCell ref="A5:I5"/>
    <mergeCell ref="AB1:AF1"/>
    <mergeCell ref="AG1:AM1"/>
    <mergeCell ref="AB4:AF4"/>
    <mergeCell ref="A1:M1"/>
    <mergeCell ref="A2:M2"/>
    <mergeCell ref="A3:M3"/>
    <mergeCell ref="A4:I4"/>
    <mergeCell ref="AB5:AM5"/>
    <mergeCell ref="A86:AM91"/>
    <mergeCell ref="E6:K6"/>
    <mergeCell ref="L6:M6"/>
    <mergeCell ref="N6:Y6"/>
    <mergeCell ref="N7:O7"/>
    <mergeCell ref="P7:Q7"/>
    <mergeCell ref="R7:S7"/>
    <mergeCell ref="T7:U7"/>
    <mergeCell ref="V7:W7"/>
    <mergeCell ref="N9:O9"/>
    <mergeCell ref="P9:Q9"/>
    <mergeCell ref="R9:S9"/>
    <mergeCell ref="T9:U9"/>
    <mergeCell ref="AF9:AG9"/>
    <mergeCell ref="AJ6:AM6"/>
    <mergeCell ref="Z6:AA6"/>
    <mergeCell ref="V9:W9"/>
    <mergeCell ref="X9:Y9"/>
    <mergeCell ref="Z7:AA7"/>
    <mergeCell ref="X7:Y7"/>
    <mergeCell ref="AH9:AI9"/>
    <mergeCell ref="AD9:AE9"/>
  </mergeCells>
  <hyperlinks>
    <hyperlink ref="AB4" r:id="rId1" display="http://www.antraktsinema.com/boxoffice-rapor.php"/>
    <hyperlink ref="A3" r:id="rId2" display="http://www.antraktsinema.com"/>
  </hyperlinks>
  <printOptions/>
  <pageMargins left="0.3" right="0.13" top="0.18" bottom="0.21" header="0.13" footer="0.16"/>
  <pageSetup orientation="landscape" paperSize="9" scale="40" r:id="rId4"/>
  <ignoredErrors>
    <ignoredError sqref="AJ85:AK85 AJ14:AK76" unlockedFormula="1"/>
    <ignoredError sqref="AL37:AL68 AJ78:AL81 AL77 AL82:AL83 AL16:AL17" formula="1"/>
    <ignoredError sqref="AJ77:AK77 AJ82:AK83" formula="1" unlockedFormula="1"/>
  </ignoredErrors>
  <drawing r:id="rId3"/>
</worksheet>
</file>

<file path=xl/worksheets/sheet2.xml><?xml version="1.0" encoding="utf-8"?>
<worksheet xmlns="http://schemas.openxmlformats.org/spreadsheetml/2006/main" xmlns:r="http://schemas.openxmlformats.org/officeDocument/2006/relationships">
  <dimension ref="A1:N293"/>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4.421875" style="105" bestFit="1" customWidth="1"/>
    <col min="2" max="2" width="59.421875" style="108" bestFit="1" customWidth="1"/>
    <col min="3" max="3" width="23.57421875" style="108" hidden="1" customWidth="1"/>
    <col min="4" max="4" width="17.57421875" style="108" hidden="1" customWidth="1"/>
    <col min="5" max="5" width="39.57421875" style="108" bestFit="1" customWidth="1"/>
    <col min="6" max="6" width="7.8515625" style="109" bestFit="1" customWidth="1"/>
    <col min="7" max="7" width="19.7109375" style="109" bestFit="1" customWidth="1"/>
    <col min="8" max="8" width="5.8515625" style="109" bestFit="1" customWidth="1"/>
    <col min="9" max="9" width="8.140625" style="111" bestFit="1" customWidth="1"/>
    <col min="10" max="10" width="12.28125" style="108" bestFit="1" customWidth="1"/>
    <col min="11" max="11" width="8.8515625" style="108" bestFit="1" customWidth="1"/>
    <col min="12" max="12" width="9.140625" style="108" bestFit="1" customWidth="1"/>
    <col min="13" max="13" width="4.421875" style="108" bestFit="1" customWidth="1"/>
    <col min="14" max="14" width="6.8515625" style="342" customWidth="1"/>
    <col min="15" max="18" width="6.8515625" style="108" customWidth="1"/>
    <col min="19" max="16384" width="4.421875" style="108" customWidth="1"/>
  </cols>
  <sheetData>
    <row r="1" spans="1:14" s="32" customFormat="1" ht="25.5">
      <c r="A1" s="765" t="s">
        <v>168</v>
      </c>
      <c r="B1" s="766"/>
      <c r="C1" s="766"/>
      <c r="D1" s="766"/>
      <c r="E1" s="766"/>
      <c r="F1" s="766"/>
      <c r="G1" s="766"/>
      <c r="H1" s="766"/>
      <c r="I1" s="766"/>
      <c r="J1" s="767"/>
      <c r="K1" s="767"/>
      <c r="L1" s="767"/>
      <c r="M1" s="767"/>
      <c r="N1" s="336"/>
    </row>
    <row r="2" spans="1:14" s="32" customFormat="1" ht="18.75">
      <c r="A2" s="768" t="s">
        <v>169</v>
      </c>
      <c r="B2" s="769"/>
      <c r="C2" s="769"/>
      <c r="D2" s="769"/>
      <c r="E2" s="769"/>
      <c r="F2" s="769"/>
      <c r="G2" s="769"/>
      <c r="H2" s="769"/>
      <c r="I2" s="769"/>
      <c r="J2" s="767"/>
      <c r="K2" s="767"/>
      <c r="L2" s="767"/>
      <c r="M2" s="767"/>
      <c r="N2" s="336"/>
    </row>
    <row r="3" spans="1:14" s="32" customFormat="1" ht="27" thickBot="1">
      <c r="A3" s="752" t="s">
        <v>128</v>
      </c>
      <c r="B3" s="753"/>
      <c r="C3" s="753"/>
      <c r="D3" s="753"/>
      <c r="E3" s="753"/>
      <c r="F3" s="753"/>
      <c r="G3" s="753"/>
      <c r="H3" s="753"/>
      <c r="I3" s="753"/>
      <c r="J3" s="770"/>
      <c r="K3" s="770"/>
      <c r="L3" s="770"/>
      <c r="M3" s="770"/>
      <c r="N3" s="336"/>
    </row>
    <row r="4" spans="1:14" s="32" customFormat="1" ht="32.25">
      <c r="A4" s="761" t="s">
        <v>784</v>
      </c>
      <c r="B4" s="762"/>
      <c r="C4" s="762"/>
      <c r="D4" s="762"/>
      <c r="E4" s="762"/>
      <c r="F4" s="762"/>
      <c r="G4" s="35"/>
      <c r="H4" s="35"/>
      <c r="I4" s="35"/>
      <c r="J4" s="131"/>
      <c r="K4" s="132"/>
      <c r="L4" s="131"/>
      <c r="M4" s="131"/>
      <c r="N4" s="336"/>
    </row>
    <row r="5" spans="1:14" s="32" customFormat="1" ht="33" thickBot="1">
      <c r="A5" s="763" t="s">
        <v>783</v>
      </c>
      <c r="B5" s="744"/>
      <c r="C5" s="744"/>
      <c r="D5" s="744"/>
      <c r="E5" s="744"/>
      <c r="F5" s="744"/>
      <c r="G5" s="36"/>
      <c r="H5" s="36"/>
      <c r="I5" s="36"/>
      <c r="J5" s="764"/>
      <c r="K5" s="764"/>
      <c r="L5" s="764"/>
      <c r="M5" s="764"/>
      <c r="N5" s="336"/>
    </row>
    <row r="6" spans="1:14" s="39" customFormat="1" ht="15.75" customHeight="1" thickBot="1">
      <c r="A6" s="37"/>
      <c r="B6" s="771" t="s">
        <v>111</v>
      </c>
      <c r="C6" s="771"/>
      <c r="D6" s="771"/>
      <c r="E6" s="771"/>
      <c r="F6" s="771"/>
      <c r="G6" s="771"/>
      <c r="H6" s="771"/>
      <c r="I6" s="38"/>
      <c r="J6" s="771" t="s">
        <v>109</v>
      </c>
      <c r="K6" s="771"/>
      <c r="L6" s="771"/>
      <c r="M6" s="771"/>
      <c r="N6" s="337"/>
    </row>
    <row r="7" spans="1:14" s="43" customFormat="1" ht="12.75" customHeight="1">
      <c r="A7" s="409"/>
      <c r="B7" s="410"/>
      <c r="C7" s="410"/>
      <c r="D7" s="410"/>
      <c r="E7" s="410"/>
      <c r="F7" s="411" t="s">
        <v>80</v>
      </c>
      <c r="G7" s="410"/>
      <c r="H7" s="410" t="s">
        <v>83</v>
      </c>
      <c r="I7" s="410" t="s">
        <v>85</v>
      </c>
      <c r="J7" s="760"/>
      <c r="K7" s="760"/>
      <c r="L7" s="412" t="s">
        <v>95</v>
      </c>
      <c r="M7" s="413"/>
      <c r="N7" s="338"/>
    </row>
    <row r="8" spans="1:14" s="43" customFormat="1" ht="13.5" thickBot="1">
      <c r="A8" s="414"/>
      <c r="B8" s="46" t="s">
        <v>9</v>
      </c>
      <c r="C8" s="407" t="s">
        <v>734</v>
      </c>
      <c r="D8" s="407" t="s">
        <v>735</v>
      </c>
      <c r="E8" s="407" t="s">
        <v>507</v>
      </c>
      <c r="F8" s="47" t="s">
        <v>81</v>
      </c>
      <c r="G8" s="48" t="s">
        <v>1</v>
      </c>
      <c r="H8" s="48" t="s">
        <v>82</v>
      </c>
      <c r="I8" s="48" t="s">
        <v>80</v>
      </c>
      <c r="J8" s="45" t="s">
        <v>7</v>
      </c>
      <c r="K8" s="45" t="s">
        <v>6</v>
      </c>
      <c r="L8" s="45" t="s">
        <v>96</v>
      </c>
      <c r="M8" s="415"/>
      <c r="N8" s="338"/>
    </row>
    <row r="9" spans="1:14" s="57" customFormat="1" ht="12.75" customHeight="1">
      <c r="A9" s="416"/>
      <c r="B9" s="52"/>
      <c r="C9" s="450"/>
      <c r="D9" s="450"/>
      <c r="E9" s="408"/>
      <c r="F9" s="53" t="s">
        <v>87</v>
      </c>
      <c r="G9" s="52"/>
      <c r="H9" s="52" t="s">
        <v>90</v>
      </c>
      <c r="I9" s="52" t="s">
        <v>93</v>
      </c>
      <c r="J9" s="56"/>
      <c r="K9" s="56"/>
      <c r="L9" s="54" t="s">
        <v>101</v>
      </c>
      <c r="M9" s="417"/>
      <c r="N9" s="339"/>
    </row>
    <row r="10" spans="1:14" s="57" customFormat="1" ht="13.5" thickBot="1">
      <c r="A10" s="418"/>
      <c r="B10" s="209" t="s">
        <v>86</v>
      </c>
      <c r="C10" s="422" t="s">
        <v>737</v>
      </c>
      <c r="D10" s="422" t="s">
        <v>738</v>
      </c>
      <c r="E10" s="422" t="s">
        <v>508</v>
      </c>
      <c r="F10" s="210" t="s">
        <v>88</v>
      </c>
      <c r="G10" s="211" t="s">
        <v>89</v>
      </c>
      <c r="H10" s="211" t="s">
        <v>91</v>
      </c>
      <c r="I10" s="211" t="s">
        <v>94</v>
      </c>
      <c r="J10" s="215" t="s">
        <v>100</v>
      </c>
      <c r="K10" s="215" t="s">
        <v>102</v>
      </c>
      <c r="L10" s="215" t="s">
        <v>102</v>
      </c>
      <c r="M10" s="437"/>
      <c r="N10" s="339"/>
    </row>
    <row r="11" spans="1:14" s="68" customFormat="1" ht="9.75" customHeight="1">
      <c r="A11" s="65">
        <v>1</v>
      </c>
      <c r="B11" s="705" t="s">
        <v>24</v>
      </c>
      <c r="C11" s="706"/>
      <c r="D11" s="706"/>
      <c r="E11" s="706" t="s">
        <v>24</v>
      </c>
      <c r="F11" s="707">
        <v>40550</v>
      </c>
      <c r="G11" s="542" t="s">
        <v>23</v>
      </c>
      <c r="H11" s="543">
        <v>356</v>
      </c>
      <c r="I11" s="543">
        <v>41</v>
      </c>
      <c r="J11" s="603">
        <v>36678019</v>
      </c>
      <c r="K11" s="604">
        <v>3947988</v>
      </c>
      <c r="L11" s="548">
        <f>J11/K11</f>
        <v>9.290306606808329</v>
      </c>
      <c r="M11" s="419">
        <v>1</v>
      </c>
      <c r="N11" s="340"/>
    </row>
    <row r="12" spans="1:14" s="68" customFormat="1" ht="9.75" customHeight="1">
      <c r="A12" s="69">
        <v>2</v>
      </c>
      <c r="B12" s="150" t="s">
        <v>22</v>
      </c>
      <c r="C12" s="137"/>
      <c r="D12" s="137"/>
      <c r="E12" s="137" t="s">
        <v>22</v>
      </c>
      <c r="F12" s="84">
        <v>40578</v>
      </c>
      <c r="G12" s="345" t="s">
        <v>23</v>
      </c>
      <c r="H12" s="354">
        <v>224</v>
      </c>
      <c r="I12" s="21">
        <v>36</v>
      </c>
      <c r="J12" s="18">
        <v>21910790</v>
      </c>
      <c r="K12" s="19">
        <v>2418090</v>
      </c>
      <c r="L12" s="216">
        <f>+J12/K12</f>
        <v>9.06119706048989</v>
      </c>
      <c r="M12" s="420">
        <v>2</v>
      </c>
      <c r="N12" s="340"/>
    </row>
    <row r="13" spans="1:14" s="68" customFormat="1" ht="9.75" customHeight="1">
      <c r="A13" s="69">
        <v>3</v>
      </c>
      <c r="B13" s="157" t="s">
        <v>425</v>
      </c>
      <c r="C13" s="10"/>
      <c r="D13" s="10"/>
      <c r="E13" s="10" t="s">
        <v>425</v>
      </c>
      <c r="F13" s="2">
        <v>40571</v>
      </c>
      <c r="G13" s="345" t="s">
        <v>28</v>
      </c>
      <c r="H13" s="14">
        <v>364</v>
      </c>
      <c r="I13" s="354">
        <v>20</v>
      </c>
      <c r="J13" s="18">
        <f>9270289+4217769.25+1762200.5+76.25+863944.5+635392-7+421743.5+30+17848+42283+4475+2710+9188.5+236+9382+7318+3597+3597+3597+2398+6645+5080+3603</f>
        <v>17293395.5</v>
      </c>
      <c r="K13" s="19">
        <f>1060415+493112+207846+16+104665+81570-1+60457+6+2952+6890+337+594+1519+29+1560+1216+600+600+600+400+1107+847+720</f>
        <v>2028057</v>
      </c>
      <c r="L13" s="216">
        <f>+J13/K13</f>
        <v>8.527075668977746</v>
      </c>
      <c r="M13" s="420">
        <v>3</v>
      </c>
      <c r="N13" s="340"/>
    </row>
    <row r="14" spans="1:14" s="68" customFormat="1" ht="9.75" customHeight="1">
      <c r="A14" s="69">
        <v>4</v>
      </c>
      <c r="B14" s="152" t="s">
        <v>687</v>
      </c>
      <c r="C14" s="9" t="s">
        <v>693</v>
      </c>
      <c r="D14" s="9"/>
      <c r="E14" s="9" t="s">
        <v>687</v>
      </c>
      <c r="F14" s="84">
        <v>40851</v>
      </c>
      <c r="G14" s="345" t="s">
        <v>28</v>
      </c>
      <c r="H14" s="14">
        <v>247</v>
      </c>
      <c r="I14" s="550">
        <v>6</v>
      </c>
      <c r="J14" s="18">
        <f>2260223+2366876.75+3859638+3137342+1906742.5+252.25+1189485.5</f>
        <v>14720560</v>
      </c>
      <c r="K14" s="19">
        <f>286038+329194+554088+452220+278080+42+178270</f>
        <v>2077932</v>
      </c>
      <c r="L14" s="216">
        <f>+J14/K14</f>
        <v>7.084235672774662</v>
      </c>
      <c r="M14" s="423">
        <v>4</v>
      </c>
      <c r="N14" s="340"/>
    </row>
    <row r="15" spans="1:14" s="68" customFormat="1" ht="9.75" customHeight="1">
      <c r="A15" s="69">
        <v>5</v>
      </c>
      <c r="B15" s="150" t="s">
        <v>660</v>
      </c>
      <c r="C15" s="137"/>
      <c r="D15" s="137"/>
      <c r="E15" s="137" t="s">
        <v>485</v>
      </c>
      <c r="F15" s="22">
        <v>40682</v>
      </c>
      <c r="G15" s="345" t="s">
        <v>23</v>
      </c>
      <c r="H15" s="21">
        <v>115</v>
      </c>
      <c r="I15" s="21">
        <v>27</v>
      </c>
      <c r="J15" s="18">
        <v>13128062</v>
      </c>
      <c r="K15" s="19">
        <v>1170783</v>
      </c>
      <c r="L15" s="396">
        <f>J15/K15</f>
        <v>11.213061686068212</v>
      </c>
      <c r="M15" s="420">
        <v>5</v>
      </c>
      <c r="N15" s="340"/>
    </row>
    <row r="16" spans="1:14" s="68" customFormat="1" ht="9.75" customHeight="1">
      <c r="A16" s="69">
        <v>6</v>
      </c>
      <c r="B16" s="157" t="s">
        <v>509</v>
      </c>
      <c r="C16" s="10" t="s">
        <v>696</v>
      </c>
      <c r="D16" s="682" t="s">
        <v>697</v>
      </c>
      <c r="E16" s="10" t="s">
        <v>445</v>
      </c>
      <c r="F16" s="2">
        <v>40760</v>
      </c>
      <c r="G16" s="345" t="s">
        <v>10</v>
      </c>
      <c r="H16" s="354">
        <v>184</v>
      </c>
      <c r="I16" s="12">
        <v>19</v>
      </c>
      <c r="J16" s="16">
        <v>11497872</v>
      </c>
      <c r="K16" s="17">
        <v>1140789</v>
      </c>
      <c r="L16" s="396">
        <f>J16/K16</f>
        <v>10.078876987768991</v>
      </c>
      <c r="M16" s="420">
        <v>6</v>
      </c>
      <c r="N16" s="340"/>
    </row>
    <row r="17" spans="1:14" s="68" customFormat="1" ht="9.75" customHeight="1">
      <c r="A17" s="69">
        <v>7</v>
      </c>
      <c r="B17" s="198" t="s">
        <v>689</v>
      </c>
      <c r="C17" s="20" t="s">
        <v>690</v>
      </c>
      <c r="D17" s="10" t="s">
        <v>691</v>
      </c>
      <c r="E17" s="10" t="s">
        <v>692</v>
      </c>
      <c r="F17" s="2">
        <v>40865</v>
      </c>
      <c r="G17" s="345" t="s">
        <v>30</v>
      </c>
      <c r="H17" s="14">
        <v>269</v>
      </c>
      <c r="I17" s="21">
        <v>4</v>
      </c>
      <c r="J17" s="16">
        <f>5909490.25+3097966.75+1490952+971866.5</f>
        <v>11470275.5</v>
      </c>
      <c r="K17" s="17">
        <f>649738+347416+170125+112162</f>
        <v>1279441</v>
      </c>
      <c r="L17" s="216">
        <f>+J17/K17</f>
        <v>8.96506794764276</v>
      </c>
      <c r="M17" s="423">
        <v>7</v>
      </c>
      <c r="N17" s="340"/>
    </row>
    <row r="18" spans="1:14" s="68" customFormat="1" ht="9.75" customHeight="1">
      <c r="A18" s="69">
        <v>8</v>
      </c>
      <c r="B18" s="198" t="s">
        <v>662</v>
      </c>
      <c r="C18" s="677" t="s">
        <v>691</v>
      </c>
      <c r="D18" s="677"/>
      <c r="E18" s="677" t="s">
        <v>662</v>
      </c>
      <c r="F18" s="22">
        <v>40844</v>
      </c>
      <c r="G18" s="345" t="s">
        <v>30</v>
      </c>
      <c r="H18" s="21">
        <v>278</v>
      </c>
      <c r="I18" s="21">
        <v>7</v>
      </c>
      <c r="J18" s="16">
        <f>2021467.25+4147826.75+1641146.5+1086471.5+837723.5+353523.5+115157</f>
        <v>10203316</v>
      </c>
      <c r="K18" s="17">
        <f>231121+459388+190384+130345+104513+46481+14878</f>
        <v>1177110</v>
      </c>
      <c r="L18" s="396">
        <f>J18/K18</f>
        <v>8.668107483582673</v>
      </c>
      <c r="M18" s="420">
        <v>8</v>
      </c>
      <c r="N18" s="340"/>
    </row>
    <row r="19" spans="1:14" s="68" customFormat="1" ht="9.75" customHeight="1">
      <c r="A19" s="69">
        <v>9</v>
      </c>
      <c r="B19" s="311" t="s">
        <v>688</v>
      </c>
      <c r="C19" s="20" t="s">
        <v>722</v>
      </c>
      <c r="D19" s="682" t="s">
        <v>697</v>
      </c>
      <c r="E19" s="682" t="s">
        <v>774</v>
      </c>
      <c r="F19" s="84">
        <v>40737</v>
      </c>
      <c r="G19" s="345" t="s">
        <v>10</v>
      </c>
      <c r="H19" s="21">
        <v>276</v>
      </c>
      <c r="I19" s="12">
        <v>19</v>
      </c>
      <c r="J19" s="16">
        <v>7925707</v>
      </c>
      <c r="K19" s="17">
        <v>798414</v>
      </c>
      <c r="L19" s="396">
        <f>J19/K19</f>
        <v>9.926813658077139</v>
      </c>
      <c r="M19" s="420">
        <v>9</v>
      </c>
      <c r="N19" s="340"/>
    </row>
    <row r="20" spans="1:14" s="68" customFormat="1" ht="9.75" customHeight="1">
      <c r="A20" s="69">
        <v>10</v>
      </c>
      <c r="B20" s="311" t="s">
        <v>749</v>
      </c>
      <c r="C20" s="20" t="s">
        <v>750</v>
      </c>
      <c r="D20" s="682"/>
      <c r="E20" s="682" t="s">
        <v>749</v>
      </c>
      <c r="F20" s="84">
        <v>40872</v>
      </c>
      <c r="G20" s="345" t="s">
        <v>10</v>
      </c>
      <c r="H20" s="21">
        <v>277</v>
      </c>
      <c r="I20" s="12">
        <v>3</v>
      </c>
      <c r="J20" s="16">
        <v>7895123</v>
      </c>
      <c r="K20" s="17">
        <v>836033</v>
      </c>
      <c r="L20" s="396">
        <f>J20/K20</f>
        <v>9.443554261614075</v>
      </c>
      <c r="M20" s="423">
        <v>10</v>
      </c>
      <c r="N20" s="340"/>
    </row>
    <row r="21" spans="1:14" s="68" customFormat="1" ht="9.75" customHeight="1">
      <c r="A21" s="69">
        <v>11</v>
      </c>
      <c r="B21" s="150" t="s">
        <v>15</v>
      </c>
      <c r="C21" s="137"/>
      <c r="D21" s="137"/>
      <c r="E21" s="137" t="s">
        <v>15</v>
      </c>
      <c r="F21" s="22">
        <v>40599</v>
      </c>
      <c r="G21" s="345" t="s">
        <v>10</v>
      </c>
      <c r="H21" s="354">
        <v>246</v>
      </c>
      <c r="I21" s="354">
        <v>25</v>
      </c>
      <c r="J21" s="16">
        <v>7559500</v>
      </c>
      <c r="K21" s="17">
        <v>849743</v>
      </c>
      <c r="L21" s="216">
        <f>+J21/K21</f>
        <v>8.896219209808143</v>
      </c>
      <c r="M21" s="420">
        <v>11</v>
      </c>
      <c r="N21" s="340"/>
    </row>
    <row r="22" spans="1:14" s="68" customFormat="1" ht="9.75" customHeight="1">
      <c r="A22" s="69">
        <v>12</v>
      </c>
      <c r="B22" s="152" t="s">
        <v>172</v>
      </c>
      <c r="C22" s="9"/>
      <c r="D22" s="9"/>
      <c r="E22" s="9" t="s">
        <v>172</v>
      </c>
      <c r="F22" s="2">
        <v>40550</v>
      </c>
      <c r="G22" s="344" t="s">
        <v>28</v>
      </c>
      <c r="H22" s="12">
        <v>243</v>
      </c>
      <c r="I22" s="21">
        <v>20</v>
      </c>
      <c r="J22" s="18">
        <f>3050831.5+2178855.5+1196710.5+496983-200+210922.5+72277.5+4+43197.5+17348.5+5963-21+911+2090+3211+288+13851+660+6810+66+156+103+3603</f>
        <v>7304621.5</v>
      </c>
      <c r="K22" s="19">
        <f>393137+282255+156413+64920+60+27548+10641+7089+3227+1196+161+455+643+72+2547+132+1127+11+26+25+720</f>
        <v>952405</v>
      </c>
      <c r="L22" s="216">
        <f>+J22/K22</f>
        <v>7.669658916112368</v>
      </c>
      <c r="M22" s="420">
        <v>12</v>
      </c>
      <c r="N22" s="340"/>
    </row>
    <row r="23" spans="1:14" s="68" customFormat="1" ht="9.75" customHeight="1">
      <c r="A23" s="69">
        <v>13</v>
      </c>
      <c r="B23" s="708" t="s">
        <v>389</v>
      </c>
      <c r="C23" s="684" t="s">
        <v>713</v>
      </c>
      <c r="D23" s="684" t="s">
        <v>706</v>
      </c>
      <c r="E23" s="85" t="s">
        <v>442</v>
      </c>
      <c r="F23" s="22">
        <v>40774</v>
      </c>
      <c r="G23" s="345" t="s">
        <v>23</v>
      </c>
      <c r="H23" s="21">
        <v>123</v>
      </c>
      <c r="I23" s="21">
        <v>17</v>
      </c>
      <c r="J23" s="18">
        <v>7018175</v>
      </c>
      <c r="K23" s="19">
        <v>686964</v>
      </c>
      <c r="L23" s="396">
        <f>J23/K23</f>
        <v>10.216219481661339</v>
      </c>
      <c r="M23" s="423">
        <v>13</v>
      </c>
      <c r="N23" s="340"/>
    </row>
    <row r="24" spans="1:14" s="68" customFormat="1" ht="9.75" customHeight="1">
      <c r="A24" s="69">
        <v>14</v>
      </c>
      <c r="B24" s="150" t="s">
        <v>396</v>
      </c>
      <c r="C24" s="137"/>
      <c r="D24" s="137"/>
      <c r="E24" s="137" t="s">
        <v>474</v>
      </c>
      <c r="F24" s="84">
        <v>40723</v>
      </c>
      <c r="G24" s="345" t="s">
        <v>23</v>
      </c>
      <c r="H24" s="354">
        <v>75</v>
      </c>
      <c r="I24" s="21">
        <v>16</v>
      </c>
      <c r="J24" s="18">
        <v>6858061</v>
      </c>
      <c r="K24" s="19">
        <v>646351</v>
      </c>
      <c r="L24" s="216">
        <f>+J24/K24</f>
        <v>10.610428389528291</v>
      </c>
      <c r="M24" s="420">
        <v>14</v>
      </c>
      <c r="N24" s="340"/>
    </row>
    <row r="25" spans="1:14" s="68" customFormat="1" ht="9.75" customHeight="1">
      <c r="A25" s="69">
        <v>15</v>
      </c>
      <c r="B25" s="709" t="s">
        <v>46</v>
      </c>
      <c r="C25" s="685"/>
      <c r="D25" s="685"/>
      <c r="E25" s="685" t="s">
        <v>46</v>
      </c>
      <c r="F25" s="84">
        <v>40613</v>
      </c>
      <c r="G25" s="344" t="s">
        <v>10</v>
      </c>
      <c r="H25" s="345">
        <v>280</v>
      </c>
      <c r="I25" s="12">
        <v>17</v>
      </c>
      <c r="J25" s="16">
        <v>6559712</v>
      </c>
      <c r="K25" s="17">
        <v>736320</v>
      </c>
      <c r="L25" s="396">
        <f aca="true" t="shared" si="0" ref="L25:L32">J25/K25</f>
        <v>8.90877879182964</v>
      </c>
      <c r="M25" s="420">
        <v>15</v>
      </c>
      <c r="N25" s="340"/>
    </row>
    <row r="26" spans="1:14" s="68" customFormat="1" ht="9.75" customHeight="1">
      <c r="A26" s="69">
        <v>16</v>
      </c>
      <c r="B26" s="708" t="s">
        <v>50</v>
      </c>
      <c r="C26" s="684"/>
      <c r="D26" s="684"/>
      <c r="E26" s="85" t="s">
        <v>678</v>
      </c>
      <c r="F26" s="22">
        <v>40669</v>
      </c>
      <c r="G26" s="345" t="s">
        <v>23</v>
      </c>
      <c r="H26" s="21">
        <v>172</v>
      </c>
      <c r="I26" s="21">
        <v>28</v>
      </c>
      <c r="J26" s="18">
        <v>6035999</v>
      </c>
      <c r="K26" s="19">
        <v>665414</v>
      </c>
      <c r="L26" s="396">
        <f t="shared" si="0"/>
        <v>9.071042989777792</v>
      </c>
      <c r="M26" s="423">
        <v>16</v>
      </c>
      <c r="N26" s="340"/>
    </row>
    <row r="27" spans="1:14" s="68" customFormat="1" ht="9.75" customHeight="1">
      <c r="A27" s="69">
        <v>17</v>
      </c>
      <c r="B27" s="133" t="s">
        <v>679</v>
      </c>
      <c r="C27" s="20" t="s">
        <v>694</v>
      </c>
      <c r="D27" s="20" t="s">
        <v>695</v>
      </c>
      <c r="E27" s="20" t="s">
        <v>680</v>
      </c>
      <c r="F27" s="22">
        <v>40858</v>
      </c>
      <c r="G27" s="345" t="s">
        <v>8</v>
      </c>
      <c r="H27" s="21">
        <v>132</v>
      </c>
      <c r="I27" s="14">
        <v>5</v>
      </c>
      <c r="J27" s="16">
        <v>5839909</v>
      </c>
      <c r="K27" s="17">
        <v>522583</v>
      </c>
      <c r="L27" s="396">
        <f t="shared" si="0"/>
        <v>11.175084149312166</v>
      </c>
      <c r="M27" s="420">
        <v>17</v>
      </c>
      <c r="N27" s="340"/>
    </row>
    <row r="28" spans="1:14" s="68" customFormat="1" ht="9.75" customHeight="1">
      <c r="A28" s="69">
        <v>18</v>
      </c>
      <c r="B28" s="157" t="s">
        <v>661</v>
      </c>
      <c r="C28" s="10" t="s">
        <v>699</v>
      </c>
      <c r="D28" s="10"/>
      <c r="E28" s="10" t="s">
        <v>661</v>
      </c>
      <c r="F28" s="2">
        <v>40844</v>
      </c>
      <c r="G28" s="345" t="s">
        <v>28</v>
      </c>
      <c r="H28" s="14">
        <v>245</v>
      </c>
      <c r="I28" s="550">
        <v>7</v>
      </c>
      <c r="J28" s="18">
        <f>2095427.5+1865707+650031+295029.5+57559.5+69427+8354</f>
        <v>5041535.5</v>
      </c>
      <c r="K28" s="19">
        <f>212522+189875+68849+32548+6112+10910+1695</f>
        <v>522511</v>
      </c>
      <c r="L28" s="396">
        <f t="shared" si="0"/>
        <v>9.648668640468813</v>
      </c>
      <c r="M28" s="420">
        <v>18</v>
      </c>
      <c r="N28" s="340"/>
    </row>
    <row r="29" spans="1:14" s="68" customFormat="1" ht="9.75" customHeight="1">
      <c r="A29" s="69">
        <v>19</v>
      </c>
      <c r="B29" s="198" t="s">
        <v>25</v>
      </c>
      <c r="C29" s="677"/>
      <c r="D29" s="677"/>
      <c r="E29" s="85" t="s">
        <v>25</v>
      </c>
      <c r="F29" s="22">
        <v>40627</v>
      </c>
      <c r="G29" s="345" t="s">
        <v>30</v>
      </c>
      <c r="H29" s="21">
        <v>137</v>
      </c>
      <c r="I29" s="21">
        <v>24</v>
      </c>
      <c r="J29" s="16">
        <f>1066061.5+1061275+813239.75+606216+468367.5+266511+137274.5+89937.5+9478+4671.5+2215.5+593.5+2273.5+2234+1858+10514.5+2603+2122+2001+349+713+2613.5+475.5</f>
        <v>4553598.25</v>
      </c>
      <c r="K29" s="17">
        <f>110278+106719+82858+62672+50883+32012+17904+13463+1427+637+352+91+261+268+240+2410+402+325+272+26+178+653+109</f>
        <v>484440</v>
      </c>
      <c r="L29" s="396">
        <f t="shared" si="0"/>
        <v>9.399715651061019</v>
      </c>
      <c r="M29" s="423">
        <v>19</v>
      </c>
      <c r="N29" s="340"/>
    </row>
    <row r="30" spans="1:14" s="68" customFormat="1" ht="9.75" customHeight="1">
      <c r="A30" s="69">
        <v>20</v>
      </c>
      <c r="B30" s="311" t="s">
        <v>415</v>
      </c>
      <c r="C30" s="20" t="s">
        <v>719</v>
      </c>
      <c r="D30" s="682" t="s">
        <v>697</v>
      </c>
      <c r="E30" s="682" t="s">
        <v>438</v>
      </c>
      <c r="F30" s="84">
        <v>40795</v>
      </c>
      <c r="G30" s="345" t="s">
        <v>10</v>
      </c>
      <c r="H30" s="14">
        <v>142</v>
      </c>
      <c r="I30" s="12">
        <v>14</v>
      </c>
      <c r="J30" s="16">
        <v>4009597</v>
      </c>
      <c r="K30" s="17">
        <v>389859</v>
      </c>
      <c r="L30" s="396">
        <f t="shared" si="0"/>
        <v>10.284736276448665</v>
      </c>
      <c r="M30" s="420">
        <v>20</v>
      </c>
      <c r="N30" s="340"/>
    </row>
    <row r="31" spans="1:14" s="68" customFormat="1" ht="9.75" customHeight="1">
      <c r="A31" s="69">
        <v>21</v>
      </c>
      <c r="B31" s="208" t="s">
        <v>12</v>
      </c>
      <c r="C31" s="85"/>
      <c r="D31" s="85"/>
      <c r="E31" s="85" t="s">
        <v>510</v>
      </c>
      <c r="F31" s="84">
        <v>40564</v>
      </c>
      <c r="G31" s="344" t="s">
        <v>10</v>
      </c>
      <c r="H31" s="345">
        <v>109</v>
      </c>
      <c r="I31" s="14">
        <v>20</v>
      </c>
      <c r="J31" s="16">
        <f>3982498+1190</f>
        <v>3983688</v>
      </c>
      <c r="K31" s="17">
        <f>404938+238</f>
        <v>405176</v>
      </c>
      <c r="L31" s="396">
        <f t="shared" si="0"/>
        <v>9.831993997670148</v>
      </c>
      <c r="M31" s="420">
        <v>21</v>
      </c>
      <c r="N31" s="340"/>
    </row>
    <row r="32" spans="1:14" s="68" customFormat="1" ht="9.75" customHeight="1">
      <c r="A32" s="69">
        <v>22</v>
      </c>
      <c r="B32" s="150" t="s">
        <v>216</v>
      </c>
      <c r="C32" s="20" t="s">
        <v>710</v>
      </c>
      <c r="D32" s="137" t="s">
        <v>706</v>
      </c>
      <c r="E32" s="137" t="s">
        <v>216</v>
      </c>
      <c r="F32" s="84">
        <v>40704</v>
      </c>
      <c r="G32" s="345" t="s">
        <v>23</v>
      </c>
      <c r="H32" s="354">
        <v>144</v>
      </c>
      <c r="I32" s="21">
        <v>27</v>
      </c>
      <c r="J32" s="18">
        <v>3754519</v>
      </c>
      <c r="K32" s="19">
        <v>343531</v>
      </c>
      <c r="L32" s="396">
        <f t="shared" si="0"/>
        <v>10.929199984863084</v>
      </c>
      <c r="M32" s="423">
        <v>22</v>
      </c>
      <c r="N32" s="340"/>
    </row>
    <row r="33" spans="1:14" s="68" customFormat="1" ht="9.75" customHeight="1">
      <c r="A33" s="69">
        <v>23</v>
      </c>
      <c r="B33" s="709" t="s">
        <v>365</v>
      </c>
      <c r="C33" s="685"/>
      <c r="D33" s="685"/>
      <c r="E33" s="685" t="s">
        <v>365</v>
      </c>
      <c r="F33" s="84">
        <v>40662</v>
      </c>
      <c r="G33" s="344" t="s">
        <v>23</v>
      </c>
      <c r="H33" s="21">
        <v>241</v>
      </c>
      <c r="I33" s="21">
        <v>14</v>
      </c>
      <c r="J33" s="18">
        <v>3640745</v>
      </c>
      <c r="K33" s="19">
        <v>319460</v>
      </c>
      <c r="L33" s="396">
        <f>+J33/K33</f>
        <v>11.396559819695737</v>
      </c>
      <c r="M33" s="420">
        <v>23</v>
      </c>
      <c r="N33" s="340"/>
    </row>
    <row r="34" spans="1:14" s="68" customFormat="1" ht="9.75" customHeight="1">
      <c r="A34" s="69">
        <v>24</v>
      </c>
      <c r="B34" s="198" t="s">
        <v>29</v>
      </c>
      <c r="C34" s="20" t="s">
        <v>822</v>
      </c>
      <c r="D34" s="677" t="s">
        <v>709</v>
      </c>
      <c r="E34" s="677" t="s">
        <v>29</v>
      </c>
      <c r="F34" s="22">
        <v>40641</v>
      </c>
      <c r="G34" s="345" t="s">
        <v>30</v>
      </c>
      <c r="H34" s="21">
        <v>137</v>
      </c>
      <c r="I34" s="21">
        <v>35</v>
      </c>
      <c r="J34" s="16">
        <f>1093950.25+883807.25+882248.49+232093.5+101981.5+57830.5+19947.5+33359.5+10973.5+10465+4630+3501.5+10659+9758.5+3633+5790+6145.5+1329.5+1868.5+1128+2980.5+1299.5+16988+15449+14138+200+1908+7960+4871+1544.5+1533+891+3175+713+425</f>
        <v>3449175.99</v>
      </c>
      <c r="K34" s="17">
        <f>103570+88345+90215+25333+13427+8958+3731+5336+2366+2057+997+691+1831+2140+654+1021+736+207+401+189+424+234+4142+3841+3526+40+471+1991+1218+386+96+56+735+178+84</f>
        <v>369627</v>
      </c>
      <c r="L34" s="216">
        <f>+J34/K34</f>
        <v>9.331504435552597</v>
      </c>
      <c r="M34" s="420">
        <v>24</v>
      </c>
      <c r="N34" s="340"/>
    </row>
    <row r="35" spans="1:14" s="68" customFormat="1" ht="9.75" customHeight="1">
      <c r="A35" s="69">
        <v>25</v>
      </c>
      <c r="B35" s="208" t="s">
        <v>236</v>
      </c>
      <c r="C35" s="85"/>
      <c r="D35" s="85"/>
      <c r="E35" s="85" t="s">
        <v>511</v>
      </c>
      <c r="F35" s="22">
        <v>40697</v>
      </c>
      <c r="G35" s="344" t="s">
        <v>10</v>
      </c>
      <c r="H35" s="12">
        <v>101</v>
      </c>
      <c r="I35" s="12">
        <v>15</v>
      </c>
      <c r="J35" s="16">
        <v>3361913</v>
      </c>
      <c r="K35" s="17">
        <v>316461</v>
      </c>
      <c r="L35" s="216">
        <f>+J35/K35</f>
        <v>10.623467030692565</v>
      </c>
      <c r="M35" s="423">
        <v>25</v>
      </c>
      <c r="N35" s="340"/>
    </row>
    <row r="36" spans="1:14" s="68" customFormat="1" ht="9.75" customHeight="1">
      <c r="A36" s="69">
        <v>26</v>
      </c>
      <c r="B36" s="311" t="s">
        <v>669</v>
      </c>
      <c r="C36" s="682" t="s">
        <v>696</v>
      </c>
      <c r="D36" s="682" t="s">
        <v>697</v>
      </c>
      <c r="E36" s="682" t="s">
        <v>670</v>
      </c>
      <c r="F36" s="84">
        <v>40661</v>
      </c>
      <c r="G36" s="345" t="s">
        <v>10</v>
      </c>
      <c r="H36" s="345">
        <v>205</v>
      </c>
      <c r="I36" s="12">
        <v>5</v>
      </c>
      <c r="J36" s="16">
        <v>3115640</v>
      </c>
      <c r="K36" s="17">
        <v>255592</v>
      </c>
      <c r="L36" s="396">
        <f>J36/K36</f>
        <v>12.189896397383329</v>
      </c>
      <c r="M36" s="420">
        <v>26</v>
      </c>
      <c r="N36" s="340"/>
    </row>
    <row r="37" spans="1:14" s="68" customFormat="1" ht="9.75" customHeight="1">
      <c r="A37" s="69">
        <v>27</v>
      </c>
      <c r="B37" s="133" t="s">
        <v>173</v>
      </c>
      <c r="C37" s="20"/>
      <c r="D37" s="20"/>
      <c r="E37" s="20" t="s">
        <v>512</v>
      </c>
      <c r="F37" s="22">
        <v>40905</v>
      </c>
      <c r="G37" s="183" t="s">
        <v>23</v>
      </c>
      <c r="H37" s="21">
        <v>200</v>
      </c>
      <c r="I37" s="21">
        <v>12</v>
      </c>
      <c r="J37" s="18">
        <v>2981369</v>
      </c>
      <c r="K37" s="19">
        <v>243539</v>
      </c>
      <c r="L37" s="710">
        <f>+J37/K37</f>
        <v>12.241854487371633</v>
      </c>
      <c r="M37" s="420">
        <v>27</v>
      </c>
      <c r="N37" s="340"/>
    </row>
    <row r="38" spans="1:14" s="68" customFormat="1" ht="9.75" customHeight="1">
      <c r="A38" s="69">
        <v>28</v>
      </c>
      <c r="B38" s="198" t="s">
        <v>374</v>
      </c>
      <c r="C38" s="20" t="s">
        <v>822</v>
      </c>
      <c r="D38" s="677" t="s">
        <v>709</v>
      </c>
      <c r="E38" s="677" t="s">
        <v>455</v>
      </c>
      <c r="F38" s="22">
        <v>40760</v>
      </c>
      <c r="G38" s="345" t="s">
        <v>30</v>
      </c>
      <c r="H38" s="21">
        <v>101</v>
      </c>
      <c r="I38" s="21">
        <v>16</v>
      </c>
      <c r="J38" s="16">
        <f>1123387+667871.5+450599+390225.5+158633+89754+30860+15969.5+11575.5+6763.5+3494.5+5145+1782+1782+950.5+4039</f>
        <v>2962831.5</v>
      </c>
      <c r="K38" s="17">
        <f>108166+64485+43907+41233+19918+12468+4923+2605+2337+1591+622+1207+446+446+238+1009</f>
        <v>305601</v>
      </c>
      <c r="L38" s="216">
        <f>+J38/K38</f>
        <v>9.695097529131122</v>
      </c>
      <c r="M38" s="423">
        <v>28</v>
      </c>
      <c r="N38" s="340"/>
    </row>
    <row r="39" spans="1:14" s="68" customFormat="1" ht="9.75" customHeight="1">
      <c r="A39" s="69">
        <v>29</v>
      </c>
      <c r="B39" s="133" t="s">
        <v>780</v>
      </c>
      <c r="C39" s="20" t="s">
        <v>787</v>
      </c>
      <c r="D39" s="20"/>
      <c r="E39" s="20" t="s">
        <v>780</v>
      </c>
      <c r="F39" s="22">
        <v>40879</v>
      </c>
      <c r="G39" s="345" t="s">
        <v>28</v>
      </c>
      <c r="H39" s="21">
        <v>35</v>
      </c>
      <c r="I39" s="550">
        <v>2</v>
      </c>
      <c r="J39" s="18">
        <f>1709882.25+1194489.75</f>
        <v>2904372</v>
      </c>
      <c r="K39" s="19">
        <f>195314+135261</f>
        <v>330575</v>
      </c>
      <c r="L39" s="216">
        <f>+J39/K39</f>
        <v>8.785818649323149</v>
      </c>
      <c r="M39" s="420">
        <v>29</v>
      </c>
      <c r="N39" s="340"/>
    </row>
    <row r="40" spans="1:14" s="68" customFormat="1" ht="9.75" customHeight="1">
      <c r="A40" s="69">
        <v>30</v>
      </c>
      <c r="B40" s="152" t="s">
        <v>20</v>
      </c>
      <c r="C40" s="9"/>
      <c r="D40" s="9"/>
      <c r="E40" s="9" t="s">
        <v>20</v>
      </c>
      <c r="F40" s="2">
        <v>40620</v>
      </c>
      <c r="G40" s="345" t="s">
        <v>21</v>
      </c>
      <c r="H40" s="14">
        <v>218</v>
      </c>
      <c r="I40" s="12">
        <v>27</v>
      </c>
      <c r="J40" s="562">
        <f>868723.5+629960.75+471670+272432+164061+97109.5+34971.5+29195+10591.5+4973+1214+25859.5+8228+5222+126+1321+161+8414+5940+170+7722+2970+242+249+16632+18847+2376</f>
        <v>2689381.25</v>
      </c>
      <c r="K40" s="19">
        <f>93361+70981+54177+33865+22657+14644+6278+5343+1965+923+199+3609+1160+736+18+257+23+1598+1188+23+1386+594+42+42+3326+3498+339</f>
        <v>322232</v>
      </c>
      <c r="L40" s="216">
        <f>+J40/K40</f>
        <v>8.346102342411678</v>
      </c>
      <c r="M40" s="420">
        <v>30</v>
      </c>
      <c r="N40" s="340"/>
    </row>
    <row r="41" spans="1:14" s="68" customFormat="1" ht="9.75" customHeight="1">
      <c r="A41" s="69">
        <v>31</v>
      </c>
      <c r="B41" s="711" t="s">
        <v>174</v>
      </c>
      <c r="C41" s="686"/>
      <c r="D41" s="686"/>
      <c r="E41" s="686" t="s">
        <v>174</v>
      </c>
      <c r="F41" s="687">
        <v>40578</v>
      </c>
      <c r="G41" s="688" t="s">
        <v>21</v>
      </c>
      <c r="H41" s="688">
        <v>79</v>
      </c>
      <c r="I41" s="688">
        <v>10</v>
      </c>
      <c r="J41" s="562">
        <v>2674923.5</v>
      </c>
      <c r="K41" s="689">
        <v>221196</v>
      </c>
      <c r="L41" s="216">
        <v>12.093001229678656</v>
      </c>
      <c r="M41" s="423">
        <v>31</v>
      </c>
      <c r="N41" s="340"/>
    </row>
    <row r="42" spans="1:14" s="68" customFormat="1" ht="9.75" customHeight="1">
      <c r="A42" s="69">
        <v>32</v>
      </c>
      <c r="B42" s="198" t="s">
        <v>777</v>
      </c>
      <c r="C42" s="20" t="s">
        <v>822</v>
      </c>
      <c r="D42" s="677" t="s">
        <v>709</v>
      </c>
      <c r="E42" s="677" t="s">
        <v>446</v>
      </c>
      <c r="F42" s="22">
        <v>40781</v>
      </c>
      <c r="G42" s="345" t="s">
        <v>30</v>
      </c>
      <c r="H42" s="21">
        <v>96</v>
      </c>
      <c r="I42" s="21">
        <v>15</v>
      </c>
      <c r="J42" s="16">
        <f>29056+844874+618474.25+386880.75+207889+130968.5+129398.5+101615+71628.5+47296.5+22263.5+13505+4171.5+5940+3840+5098.5</f>
        <v>2622899.5</v>
      </c>
      <c r="K42" s="17">
        <f>4385+80857+63348+40336+22079+15879+16790+12949+9380+7537+4227+2497+926+1486+944+1206</f>
        <v>284826</v>
      </c>
      <c r="L42" s="216">
        <f>+J42/K42</f>
        <v>9.208778341864857</v>
      </c>
      <c r="M42" s="420">
        <v>32</v>
      </c>
      <c r="N42" s="340"/>
    </row>
    <row r="43" spans="1:14" s="68" customFormat="1" ht="9.75" customHeight="1">
      <c r="A43" s="69">
        <v>33</v>
      </c>
      <c r="B43" s="157" t="s">
        <v>175</v>
      </c>
      <c r="C43" s="10"/>
      <c r="D43" s="10"/>
      <c r="E43" s="10" t="s">
        <v>513</v>
      </c>
      <c r="F43" s="2">
        <v>40557</v>
      </c>
      <c r="G43" s="15" t="s">
        <v>8</v>
      </c>
      <c r="H43" s="14">
        <v>66</v>
      </c>
      <c r="I43" s="14">
        <v>13</v>
      </c>
      <c r="J43" s="16">
        <v>2599014</v>
      </c>
      <c r="K43" s="17">
        <v>251543</v>
      </c>
      <c r="L43" s="216">
        <f>+J43/K43</f>
        <v>10.332285136139745</v>
      </c>
      <c r="M43" s="420">
        <v>33</v>
      </c>
      <c r="N43" s="340"/>
    </row>
    <row r="44" spans="1:14" s="68" customFormat="1" ht="9.75" customHeight="1">
      <c r="A44" s="69">
        <v>34</v>
      </c>
      <c r="B44" s="150" t="s">
        <v>645</v>
      </c>
      <c r="C44" s="137" t="s">
        <v>710</v>
      </c>
      <c r="D44" s="684" t="s">
        <v>706</v>
      </c>
      <c r="E44" s="137" t="s">
        <v>645</v>
      </c>
      <c r="F44" s="84">
        <v>40837</v>
      </c>
      <c r="G44" s="345" t="s">
        <v>23</v>
      </c>
      <c r="H44" s="354">
        <v>112</v>
      </c>
      <c r="I44" s="21">
        <v>8</v>
      </c>
      <c r="J44" s="18">
        <v>2328081</v>
      </c>
      <c r="K44" s="19">
        <v>244283</v>
      </c>
      <c r="L44" s="396">
        <f>J44/K44</f>
        <v>9.530262032151235</v>
      </c>
      <c r="M44" s="423">
        <v>34</v>
      </c>
      <c r="N44" s="340"/>
    </row>
    <row r="45" spans="1:14" s="68" customFormat="1" ht="9.75" customHeight="1">
      <c r="A45" s="69">
        <v>35</v>
      </c>
      <c r="B45" s="198" t="s">
        <v>16</v>
      </c>
      <c r="C45" s="677"/>
      <c r="D45" s="677"/>
      <c r="E45" s="677" t="s">
        <v>514</v>
      </c>
      <c r="F45" s="22">
        <v>40599</v>
      </c>
      <c r="G45" s="345" t="s">
        <v>30</v>
      </c>
      <c r="H45" s="21">
        <v>58</v>
      </c>
      <c r="I45" s="21">
        <v>22</v>
      </c>
      <c r="J45" s="16">
        <f>949627.55+646695.25+355755.95+109363.25+47014.5+33893+37764+26018+18120.5+5385+3265+2580+4844+2732.5+917+1899+1425.5+124+1419+224+1782+722</f>
        <v>2251571</v>
      </c>
      <c r="K45" s="17">
        <f>77399+54036+29350+9290+5968+4492+5157+3726+2500+804+552+417+1095+683+110+228+357+21+164+39+446+184</f>
        <v>197018</v>
      </c>
      <c r="L45" s="396">
        <f>J45/K45</f>
        <v>11.428250210640652</v>
      </c>
      <c r="M45" s="420">
        <v>35</v>
      </c>
      <c r="N45" s="340"/>
    </row>
    <row r="46" spans="1:14" s="68" customFormat="1" ht="9.75" customHeight="1">
      <c r="A46" s="69">
        <v>36</v>
      </c>
      <c r="B46" s="198" t="s">
        <v>765</v>
      </c>
      <c r="C46" s="677" t="s">
        <v>788</v>
      </c>
      <c r="D46" s="85"/>
      <c r="E46" s="677" t="s">
        <v>765</v>
      </c>
      <c r="F46" s="22">
        <v>40879</v>
      </c>
      <c r="G46" s="345" t="s">
        <v>30</v>
      </c>
      <c r="H46" s="21">
        <v>202</v>
      </c>
      <c r="I46" s="21">
        <v>2</v>
      </c>
      <c r="J46" s="16">
        <f>1080241.5+1088613</f>
        <v>2168854.5</v>
      </c>
      <c r="K46" s="17">
        <f>121812+124047</f>
        <v>245859</v>
      </c>
      <c r="L46" s="216">
        <f>+J46/K46</f>
        <v>8.821537954681341</v>
      </c>
      <c r="M46" s="420">
        <v>36</v>
      </c>
      <c r="N46" s="340"/>
    </row>
    <row r="47" spans="1:14" s="68" customFormat="1" ht="9.75" customHeight="1">
      <c r="A47" s="69">
        <v>37</v>
      </c>
      <c r="B47" s="152" t="s">
        <v>26</v>
      </c>
      <c r="C47" s="9"/>
      <c r="D47" s="9"/>
      <c r="E47" s="9" t="s">
        <v>26</v>
      </c>
      <c r="F47" s="2">
        <v>40606</v>
      </c>
      <c r="G47" s="344" t="s">
        <v>21</v>
      </c>
      <c r="H47" s="12">
        <v>152</v>
      </c>
      <c r="I47" s="12">
        <v>18</v>
      </c>
      <c r="J47" s="562">
        <f>1064857.25+602581.25+269086.5+86552+70688+40243.5+15124.5+5534.5+5248.5+1364+305+140+147+994+250+240+70+55</f>
        <v>2163481</v>
      </c>
      <c r="K47" s="19">
        <f>118954+67997+33243+12973+11521+6623+2561+922+800+239+45+20+21+199+36+34+14+11</f>
        <v>256213</v>
      </c>
      <c r="L47" s="216">
        <f>+J47/K47</f>
        <v>8.444071924531542</v>
      </c>
      <c r="M47" s="423">
        <v>37</v>
      </c>
      <c r="N47" s="340"/>
    </row>
    <row r="48" spans="1:14" s="68" customFormat="1" ht="9.75" customHeight="1">
      <c r="A48" s="69">
        <v>38</v>
      </c>
      <c r="B48" s="198" t="s">
        <v>209</v>
      </c>
      <c r="C48" s="677"/>
      <c r="D48" s="85"/>
      <c r="E48" s="677" t="s">
        <v>515</v>
      </c>
      <c r="F48" s="22">
        <v>40697</v>
      </c>
      <c r="G48" s="345" t="s">
        <v>30</v>
      </c>
      <c r="H48" s="21">
        <v>111</v>
      </c>
      <c r="I48" s="21">
        <v>21</v>
      </c>
      <c r="J48" s="16">
        <f>1292+812789+521835.5+296398.75+210726.75+106359.5+46956.5+15908+8715+4517.5+1879+2596.5+764+381+221+175+260+1654.5+356.5+950.5+1782+6415.5</f>
        <v>2042934</v>
      </c>
      <c r="K48" s="17">
        <f>124+79271+51753+30277+22107+12041+6459+2442+1421+653+309+602+108+53+31+25+52+399+59+238+446+3225</f>
        <v>212095</v>
      </c>
      <c r="L48" s="396">
        <f>J48/K48</f>
        <v>9.632164831797072</v>
      </c>
      <c r="M48" s="420">
        <v>38</v>
      </c>
      <c r="N48" s="340"/>
    </row>
    <row r="49" spans="1:14" s="68" customFormat="1" ht="9.75" customHeight="1">
      <c r="A49" s="69">
        <v>39</v>
      </c>
      <c r="B49" s="712" t="s">
        <v>407</v>
      </c>
      <c r="C49" s="20"/>
      <c r="D49" s="137"/>
      <c r="E49" s="137" t="s">
        <v>451</v>
      </c>
      <c r="F49" s="84">
        <v>40788</v>
      </c>
      <c r="G49" s="345" t="s">
        <v>23</v>
      </c>
      <c r="H49" s="354">
        <v>89</v>
      </c>
      <c r="I49" s="21">
        <v>13</v>
      </c>
      <c r="J49" s="18">
        <v>2028007</v>
      </c>
      <c r="K49" s="19">
        <v>203603</v>
      </c>
      <c r="L49" s="396">
        <f>J49/K49</f>
        <v>9.960594883179521</v>
      </c>
      <c r="M49" s="420">
        <v>39</v>
      </c>
      <c r="N49" s="340"/>
    </row>
    <row r="50" spans="1:14" s="68" customFormat="1" ht="9.75" customHeight="1">
      <c r="A50" s="69">
        <v>40</v>
      </c>
      <c r="B50" s="198" t="s">
        <v>13</v>
      </c>
      <c r="C50" s="677"/>
      <c r="D50" s="677"/>
      <c r="E50" s="85" t="s">
        <v>13</v>
      </c>
      <c r="F50" s="22">
        <v>40585</v>
      </c>
      <c r="G50" s="345" t="s">
        <v>30</v>
      </c>
      <c r="H50" s="21">
        <v>58</v>
      </c>
      <c r="I50" s="21">
        <v>35</v>
      </c>
      <c r="J50" s="16">
        <f>236018+209847.25+105622+138051.5+64189.5+34454+20202.5+27754+16946+8179.5+9672.5+8494+21812+25095+12109+8066+3824+4092+15394+226700+172575.5+127465+93972+96529+77366.5+63475.5+48505.5+31769.5+29482+10986+6164+59+1093.5+1386+279</f>
        <v>1957630.75</v>
      </c>
      <c r="K50" s="17">
        <f>25731+24506+13184+19079+9581+4996+3067+4392+3122+1175+1530+1410+3175+3587+1436+923+420+447+1629+25969+20073+15455+11876+13635+10490+9269+7265+5116+4049+1598+1517+8+257+323+37</f>
        <v>250327</v>
      </c>
      <c r="L50" s="216">
        <f>+J50/K50</f>
        <v>7.820294055375569</v>
      </c>
      <c r="M50" s="423">
        <v>40</v>
      </c>
      <c r="N50" s="340"/>
    </row>
    <row r="51" spans="1:14" s="68" customFormat="1" ht="9.75" customHeight="1">
      <c r="A51" s="69">
        <v>41</v>
      </c>
      <c r="B51" s="708" t="s">
        <v>220</v>
      </c>
      <c r="C51" s="684"/>
      <c r="D51" s="684"/>
      <c r="E51" s="684" t="s">
        <v>627</v>
      </c>
      <c r="F51" s="22">
        <v>40711</v>
      </c>
      <c r="G51" s="345" t="s">
        <v>23</v>
      </c>
      <c r="H51" s="21">
        <v>151</v>
      </c>
      <c r="I51" s="21">
        <v>17</v>
      </c>
      <c r="J51" s="18">
        <v>1954896</v>
      </c>
      <c r="K51" s="19">
        <v>218626</v>
      </c>
      <c r="L51" s="396">
        <f>J51/K51</f>
        <v>8.941736115558076</v>
      </c>
      <c r="M51" s="420">
        <v>41</v>
      </c>
      <c r="N51" s="340"/>
    </row>
    <row r="52" spans="1:14" s="68" customFormat="1" ht="9.75" customHeight="1">
      <c r="A52" s="69">
        <v>42</v>
      </c>
      <c r="B52" s="133" t="s">
        <v>127</v>
      </c>
      <c r="C52" s="20"/>
      <c r="D52" s="20"/>
      <c r="E52" s="20" t="s">
        <v>516</v>
      </c>
      <c r="F52" s="22">
        <v>40592</v>
      </c>
      <c r="G52" s="344" t="s">
        <v>23</v>
      </c>
      <c r="H52" s="21">
        <v>27</v>
      </c>
      <c r="I52" s="21">
        <v>30</v>
      </c>
      <c r="J52" s="18">
        <v>1913085</v>
      </c>
      <c r="K52" s="19">
        <v>154705</v>
      </c>
      <c r="L52" s="396">
        <f>J52/K52</f>
        <v>12.366019197828125</v>
      </c>
      <c r="M52" s="420">
        <v>42</v>
      </c>
      <c r="N52" s="340"/>
    </row>
    <row r="53" spans="1:14" s="68" customFormat="1" ht="9.75" customHeight="1">
      <c r="A53" s="69">
        <v>43</v>
      </c>
      <c r="B53" s="332" t="s">
        <v>31</v>
      </c>
      <c r="C53" s="680"/>
      <c r="D53" s="680"/>
      <c r="E53" s="680" t="s">
        <v>517</v>
      </c>
      <c r="F53" s="143">
        <v>40641</v>
      </c>
      <c r="G53" s="344" t="s">
        <v>30</v>
      </c>
      <c r="H53" s="347">
        <v>128</v>
      </c>
      <c r="I53" s="347">
        <v>16</v>
      </c>
      <c r="J53" s="16">
        <f>740297.75+546709.5+343470.5+98979.5+54338.5+38190+7487.5+1828+3682+2538+1902+1842+1707+2347+1130+280</f>
        <v>1846729.25</v>
      </c>
      <c r="K53" s="17">
        <f>69545+52953+34357+10790+6857+5964+1318+450+785+380+463+294+268+587+226+28</f>
        <v>185265</v>
      </c>
      <c r="L53" s="216">
        <f>+J53/K53</f>
        <v>9.968041724016949</v>
      </c>
      <c r="M53" s="423">
        <v>43</v>
      </c>
      <c r="N53" s="340"/>
    </row>
    <row r="54" spans="1:14" s="68" customFormat="1" ht="9.75" customHeight="1">
      <c r="A54" s="69">
        <v>44</v>
      </c>
      <c r="B54" s="133" t="s">
        <v>33</v>
      </c>
      <c r="C54" s="20"/>
      <c r="D54" s="20"/>
      <c r="E54" s="20" t="s">
        <v>518</v>
      </c>
      <c r="F54" s="22">
        <v>40620</v>
      </c>
      <c r="G54" s="346" t="s">
        <v>23</v>
      </c>
      <c r="H54" s="12">
        <v>65</v>
      </c>
      <c r="I54" s="21">
        <v>20</v>
      </c>
      <c r="J54" s="18">
        <v>1754359</v>
      </c>
      <c r="K54" s="19">
        <v>185241</v>
      </c>
      <c r="L54" s="216">
        <f>+J54/K54</f>
        <v>9.47068413580147</v>
      </c>
      <c r="M54" s="420">
        <v>44</v>
      </c>
      <c r="N54" s="340"/>
    </row>
    <row r="55" spans="1:14" s="68" customFormat="1" ht="9.75" customHeight="1">
      <c r="A55" s="69">
        <v>45</v>
      </c>
      <c r="B55" s="332" t="s">
        <v>124</v>
      </c>
      <c r="C55" s="680"/>
      <c r="D55" s="680"/>
      <c r="E55" s="680" t="s">
        <v>124</v>
      </c>
      <c r="F55" s="143">
        <v>40564</v>
      </c>
      <c r="G55" s="344" t="s">
        <v>30</v>
      </c>
      <c r="H55" s="347">
        <v>160</v>
      </c>
      <c r="I55" s="347">
        <v>14</v>
      </c>
      <c r="J55" s="16">
        <f>1102015+435620.5+74279.5+50432+22961.5+6480+10204+220+1188+476+80+190+87+104</f>
        <v>1704337.5</v>
      </c>
      <c r="K55" s="17">
        <f>144071+60233+10598+7830+4045+1284+2234+29+297+67+11+26+12+14</f>
        <v>230751</v>
      </c>
      <c r="L55" s="216">
        <f>+J55/K55</f>
        <v>7.386045997633813</v>
      </c>
      <c r="M55" s="420">
        <v>45</v>
      </c>
      <c r="N55" s="340"/>
    </row>
    <row r="56" spans="1:14" s="68" customFormat="1" ht="9.75" customHeight="1">
      <c r="A56" s="69">
        <v>46</v>
      </c>
      <c r="B56" s="208" t="s">
        <v>239</v>
      </c>
      <c r="C56" s="85"/>
      <c r="D56" s="85"/>
      <c r="E56" s="85" t="s">
        <v>519</v>
      </c>
      <c r="F56" s="84">
        <v>40627</v>
      </c>
      <c r="G56" s="344" t="s">
        <v>10</v>
      </c>
      <c r="H56" s="345">
        <v>73</v>
      </c>
      <c r="I56" s="14">
        <v>11</v>
      </c>
      <c r="J56" s="16">
        <v>1684954</v>
      </c>
      <c r="K56" s="17">
        <v>154099</v>
      </c>
      <c r="L56" s="396">
        <f>J56/K56</f>
        <v>10.934230592022011</v>
      </c>
      <c r="M56" s="423">
        <v>46</v>
      </c>
      <c r="N56" s="340"/>
    </row>
    <row r="57" spans="1:14" s="68" customFormat="1" ht="9.75" customHeight="1">
      <c r="A57" s="69">
        <v>47</v>
      </c>
      <c r="B57" s="152" t="s">
        <v>633</v>
      </c>
      <c r="C57" s="20" t="s">
        <v>711</v>
      </c>
      <c r="D57" s="9" t="s">
        <v>712</v>
      </c>
      <c r="E57" s="9" t="s">
        <v>634</v>
      </c>
      <c r="F57" s="2">
        <v>40830</v>
      </c>
      <c r="G57" s="345" t="s">
        <v>10</v>
      </c>
      <c r="H57" s="14">
        <v>62</v>
      </c>
      <c r="I57" s="12">
        <v>8</v>
      </c>
      <c r="J57" s="16">
        <v>1588970</v>
      </c>
      <c r="K57" s="17">
        <v>148250</v>
      </c>
      <c r="L57" s="396">
        <f>J57/K57</f>
        <v>10.718178752107926</v>
      </c>
      <c r="M57" s="420">
        <v>47</v>
      </c>
      <c r="N57" s="340"/>
    </row>
    <row r="58" spans="1:14" s="68" customFormat="1" ht="9.75" customHeight="1">
      <c r="A58" s="69">
        <v>48</v>
      </c>
      <c r="B58" s="198" t="s">
        <v>429</v>
      </c>
      <c r="C58" s="20" t="s">
        <v>826</v>
      </c>
      <c r="D58" s="677"/>
      <c r="E58" s="677" t="s">
        <v>429</v>
      </c>
      <c r="F58" s="22">
        <v>40809</v>
      </c>
      <c r="G58" s="345" t="s">
        <v>30</v>
      </c>
      <c r="H58" s="21">
        <v>66</v>
      </c>
      <c r="I58" s="21">
        <v>12</v>
      </c>
      <c r="J58" s="16">
        <f>382290+386122+344313.5+244996+104138.75+43618.5+27632+12528+6812+832+1782+2257</f>
        <v>1557321.75</v>
      </c>
      <c r="K58" s="17">
        <f>34863+36137+32260+23896+12188+5940+2894+1417+1234+90+446+565</f>
        <v>151930</v>
      </c>
      <c r="L58" s="216">
        <f>+J58/K58</f>
        <v>10.250258342657803</v>
      </c>
      <c r="M58" s="420">
        <v>48</v>
      </c>
      <c r="N58" s="340"/>
    </row>
    <row r="59" spans="1:14" s="68" customFormat="1" ht="9.75" customHeight="1">
      <c r="A59" s="69">
        <v>49</v>
      </c>
      <c r="B59" s="152" t="s">
        <v>176</v>
      </c>
      <c r="C59" s="9"/>
      <c r="D59" s="9"/>
      <c r="E59" s="9" t="s">
        <v>520</v>
      </c>
      <c r="F59" s="2">
        <v>40585</v>
      </c>
      <c r="G59" s="12" t="s">
        <v>10</v>
      </c>
      <c r="H59" s="12">
        <v>89</v>
      </c>
      <c r="I59" s="12">
        <v>13</v>
      </c>
      <c r="J59" s="16">
        <v>1439120</v>
      </c>
      <c r="K59" s="17">
        <v>144531</v>
      </c>
      <c r="L59" s="713">
        <f>+J59/K59</f>
        <v>9.957171817810712</v>
      </c>
      <c r="M59" s="423">
        <v>49</v>
      </c>
      <c r="N59" s="340"/>
    </row>
    <row r="60" spans="1:14" s="68" customFormat="1" ht="9.75" customHeight="1">
      <c r="A60" s="69">
        <v>50</v>
      </c>
      <c r="B60" s="152" t="s">
        <v>521</v>
      </c>
      <c r="C60" s="9"/>
      <c r="D60" s="9"/>
      <c r="E60" s="9" t="s">
        <v>522</v>
      </c>
      <c r="F60" s="2">
        <v>40627</v>
      </c>
      <c r="G60" s="12" t="s">
        <v>10</v>
      </c>
      <c r="H60" s="12">
        <v>126</v>
      </c>
      <c r="I60" s="12">
        <v>6</v>
      </c>
      <c r="J60" s="16">
        <v>1419139</v>
      </c>
      <c r="K60" s="17">
        <v>127317</v>
      </c>
      <c r="L60" s="713">
        <f>+J60/K60</f>
        <v>11.146500467337434</v>
      </c>
      <c r="M60" s="420">
        <v>50</v>
      </c>
      <c r="N60" s="340"/>
    </row>
    <row r="61" spans="1:14" s="68" customFormat="1" ht="9.75" customHeight="1">
      <c r="A61" s="69">
        <v>51</v>
      </c>
      <c r="B61" s="198" t="s">
        <v>121</v>
      </c>
      <c r="C61" s="677"/>
      <c r="D61" s="677"/>
      <c r="E61" s="85" t="s">
        <v>523</v>
      </c>
      <c r="F61" s="22">
        <v>40543</v>
      </c>
      <c r="G61" s="345" t="s">
        <v>30</v>
      </c>
      <c r="H61" s="21">
        <v>99</v>
      </c>
      <c r="I61" s="21">
        <v>25</v>
      </c>
      <c r="J61" s="16">
        <f>74157.5+721285.5+410076+112730.5+28262.5+6646+19483.5+940+1245+2674.5+7128+1782+331+245+6545.5+694+1782+1782+1782+1188+306+1188+3340+316+713+2376</f>
        <v>1408999.5</v>
      </c>
      <c r="K61" s="17">
        <f>7361+62279+35611+10987+4077+689+3901+125+178+502+1781+445+78+59+1496+114+446+446+446+297+61+297+668+53+178+594</f>
        <v>133169</v>
      </c>
      <c r="L61" s="396">
        <f>J61/K61</f>
        <v>10.580536761558621</v>
      </c>
      <c r="M61" s="420">
        <v>51</v>
      </c>
      <c r="N61" s="340"/>
    </row>
    <row r="62" spans="1:14" s="68" customFormat="1" ht="9.75" customHeight="1">
      <c r="A62" s="69">
        <v>52</v>
      </c>
      <c r="B62" s="133" t="s">
        <v>177</v>
      </c>
      <c r="C62" s="20"/>
      <c r="D62" s="20"/>
      <c r="E62" s="20" t="s">
        <v>524</v>
      </c>
      <c r="F62" s="22">
        <v>40557</v>
      </c>
      <c r="G62" s="346" t="s">
        <v>23</v>
      </c>
      <c r="H62" s="14">
        <v>129</v>
      </c>
      <c r="I62" s="21">
        <v>32</v>
      </c>
      <c r="J62" s="18">
        <v>1387835</v>
      </c>
      <c r="K62" s="19">
        <v>124574</v>
      </c>
      <c r="L62" s="216">
        <f>+J62/K62</f>
        <v>11.140647326087306</v>
      </c>
      <c r="M62" s="423">
        <v>52</v>
      </c>
      <c r="N62" s="340"/>
    </row>
    <row r="63" spans="1:14" s="68" customFormat="1" ht="9.75" customHeight="1">
      <c r="A63" s="69">
        <v>53</v>
      </c>
      <c r="B63" s="198" t="s">
        <v>663</v>
      </c>
      <c r="C63" s="20" t="s">
        <v>708</v>
      </c>
      <c r="D63" s="677" t="s">
        <v>709</v>
      </c>
      <c r="E63" s="85" t="s">
        <v>664</v>
      </c>
      <c r="F63" s="22">
        <v>40844</v>
      </c>
      <c r="G63" s="345" t="s">
        <v>30</v>
      </c>
      <c r="H63" s="21">
        <v>65</v>
      </c>
      <c r="I63" s="21">
        <v>7</v>
      </c>
      <c r="J63" s="16">
        <f>436701.5+604505+232735.5+57290.5+18114+16414.5+17253.5</f>
        <v>1383014.5</v>
      </c>
      <c r="K63" s="17">
        <f>39979+54264+21249+5324+1678+2463+2408</f>
        <v>127365</v>
      </c>
      <c r="L63" s="396">
        <f>J63/K63</f>
        <v>10.8586699642759</v>
      </c>
      <c r="M63" s="420">
        <v>53</v>
      </c>
      <c r="N63" s="340"/>
    </row>
    <row r="64" spans="1:14" s="68" customFormat="1" ht="9.75" customHeight="1">
      <c r="A64" s="69">
        <v>54</v>
      </c>
      <c r="B64" s="133" t="s">
        <v>681</v>
      </c>
      <c r="C64" s="20" t="s">
        <v>698</v>
      </c>
      <c r="D64" s="20"/>
      <c r="E64" s="20" t="s">
        <v>681</v>
      </c>
      <c r="F64" s="22">
        <v>40858</v>
      </c>
      <c r="G64" s="345" t="s">
        <v>28</v>
      </c>
      <c r="H64" s="21">
        <v>130</v>
      </c>
      <c r="I64" s="550">
        <v>5</v>
      </c>
      <c r="J64" s="18">
        <f>665902+436506+215139.5+18371+13790</f>
        <v>1349708.5</v>
      </c>
      <c r="K64" s="19">
        <f>66262+44749+24699+2311+1764</f>
        <v>139785</v>
      </c>
      <c r="L64" s="396">
        <f>J64/K64</f>
        <v>9.655603247844905</v>
      </c>
      <c r="M64" s="420">
        <v>54</v>
      </c>
      <c r="N64" s="340"/>
    </row>
    <row r="65" spans="1:14" s="68" customFormat="1" ht="9.75" customHeight="1">
      <c r="A65" s="69">
        <v>55</v>
      </c>
      <c r="B65" s="152" t="s">
        <v>341</v>
      </c>
      <c r="C65" s="9"/>
      <c r="D65" s="9"/>
      <c r="E65" s="9" t="s">
        <v>525</v>
      </c>
      <c r="F65" s="2">
        <v>40613</v>
      </c>
      <c r="G65" s="12" t="s">
        <v>21</v>
      </c>
      <c r="H65" s="12">
        <v>89</v>
      </c>
      <c r="I65" s="12">
        <v>8</v>
      </c>
      <c r="J65" s="562">
        <f>621196.5+432703+128317.5+127575.5+6914.5+46+54+128</f>
        <v>1316935</v>
      </c>
      <c r="K65" s="19">
        <f>55015+39897+12333+11559+853+5+10+19</f>
        <v>119691</v>
      </c>
      <c r="L65" s="216">
        <f>IF(J65&lt;&gt;0,J65/K65,"")</f>
        <v>11.002790518919552</v>
      </c>
      <c r="M65" s="423">
        <v>55</v>
      </c>
      <c r="N65" s="340"/>
    </row>
    <row r="66" spans="1:14" s="68" customFormat="1" ht="9.75" customHeight="1">
      <c r="A66" s="69">
        <v>56</v>
      </c>
      <c r="B66" s="708" t="s">
        <v>629</v>
      </c>
      <c r="C66" s="684" t="s">
        <v>713</v>
      </c>
      <c r="D66" s="684" t="s">
        <v>706</v>
      </c>
      <c r="E66" s="684" t="s">
        <v>434</v>
      </c>
      <c r="F66" s="22">
        <v>40816</v>
      </c>
      <c r="G66" s="345" t="s">
        <v>23</v>
      </c>
      <c r="H66" s="21">
        <v>49</v>
      </c>
      <c r="I66" s="21">
        <v>9</v>
      </c>
      <c r="J66" s="18">
        <v>1310540</v>
      </c>
      <c r="K66" s="19">
        <v>112034</v>
      </c>
      <c r="L66" s="396">
        <f>J66/K66</f>
        <v>11.697698912830035</v>
      </c>
      <c r="M66" s="420">
        <v>56</v>
      </c>
      <c r="N66" s="340"/>
    </row>
    <row r="67" spans="1:14" s="68" customFormat="1" ht="9.75" customHeight="1">
      <c r="A67" s="69">
        <v>57</v>
      </c>
      <c r="B67" s="332" t="s">
        <v>178</v>
      </c>
      <c r="C67" s="680"/>
      <c r="D67" s="680"/>
      <c r="E67" s="680" t="s">
        <v>526</v>
      </c>
      <c r="F67" s="143">
        <v>40557</v>
      </c>
      <c r="G67" s="344" t="s">
        <v>30</v>
      </c>
      <c r="H67" s="347">
        <v>50</v>
      </c>
      <c r="I67" s="347">
        <v>20</v>
      </c>
      <c r="J67" s="16">
        <f>462199.75+464711.5+220315+61757.25+29707.5+19286.5+8649+8790+1188+2323+1706+5301+3087+570+1164+1417+434+1188+504</f>
        <v>1294298.5</v>
      </c>
      <c r="K67" s="17">
        <f>36851+37511+17353+5020+3902+3186+1212+1112+297+256+244+743+557+80+151+194+70+297+85</f>
        <v>109121</v>
      </c>
      <c r="L67" s="396">
        <f>+J67/K67</f>
        <v>11.86113122130479</v>
      </c>
      <c r="M67" s="420">
        <v>57</v>
      </c>
      <c r="N67" s="340"/>
    </row>
    <row r="68" spans="1:14" s="68" customFormat="1" ht="9.75" customHeight="1">
      <c r="A68" s="69">
        <v>58</v>
      </c>
      <c r="B68" s="311" t="s">
        <v>241</v>
      </c>
      <c r="C68" s="20" t="s">
        <v>710</v>
      </c>
      <c r="D68" s="682" t="s">
        <v>706</v>
      </c>
      <c r="E68" s="682" t="s">
        <v>241</v>
      </c>
      <c r="F68" s="84">
        <v>40606</v>
      </c>
      <c r="G68" s="345" t="s">
        <v>23</v>
      </c>
      <c r="H68" s="14">
        <v>104</v>
      </c>
      <c r="I68" s="12">
        <v>41</v>
      </c>
      <c r="J68" s="18">
        <v>1286905</v>
      </c>
      <c r="K68" s="19">
        <v>133499</v>
      </c>
      <c r="L68" s="396">
        <f>J68/K68</f>
        <v>9.639810036030232</v>
      </c>
      <c r="M68" s="423">
        <v>58</v>
      </c>
      <c r="N68" s="340"/>
    </row>
    <row r="69" spans="1:14" s="68" customFormat="1" ht="9.75" customHeight="1">
      <c r="A69" s="69">
        <v>59</v>
      </c>
      <c r="B69" s="150" t="s">
        <v>333</v>
      </c>
      <c r="C69" s="137"/>
      <c r="D69" s="137"/>
      <c r="E69" s="137" t="s">
        <v>333</v>
      </c>
      <c r="F69" s="84">
        <v>40732</v>
      </c>
      <c r="G69" s="345" t="s">
        <v>23</v>
      </c>
      <c r="H69" s="354">
        <v>81</v>
      </c>
      <c r="I69" s="21">
        <v>15</v>
      </c>
      <c r="J69" s="18">
        <v>1280971</v>
      </c>
      <c r="K69" s="19">
        <v>122803</v>
      </c>
      <c r="L69" s="216">
        <f>+J69/K69</f>
        <v>10.431105103295522</v>
      </c>
      <c r="M69" s="420">
        <v>59</v>
      </c>
      <c r="N69" s="340"/>
    </row>
    <row r="70" spans="1:14" s="68" customFormat="1" ht="9.75" customHeight="1">
      <c r="A70" s="69">
        <v>60</v>
      </c>
      <c r="B70" s="150" t="s">
        <v>435</v>
      </c>
      <c r="C70" s="137" t="s">
        <v>714</v>
      </c>
      <c r="D70" s="137" t="s">
        <v>715</v>
      </c>
      <c r="E70" s="137" t="s">
        <v>436</v>
      </c>
      <c r="F70" s="22">
        <v>40816</v>
      </c>
      <c r="G70" s="345" t="s">
        <v>133</v>
      </c>
      <c r="H70" s="354">
        <v>41</v>
      </c>
      <c r="I70" s="21">
        <v>9</v>
      </c>
      <c r="J70" s="691">
        <v>1275602</v>
      </c>
      <c r="K70" s="692">
        <v>100047</v>
      </c>
      <c r="L70" s="216">
        <f>+J70/K70</f>
        <v>12.750027487081072</v>
      </c>
      <c r="M70" s="420">
        <v>60</v>
      </c>
      <c r="N70" s="340"/>
    </row>
    <row r="71" spans="1:14" s="68" customFormat="1" ht="9.75" customHeight="1">
      <c r="A71" s="69">
        <v>61</v>
      </c>
      <c r="B71" s="198" t="s">
        <v>631</v>
      </c>
      <c r="C71" s="20"/>
      <c r="D71" s="677" t="s">
        <v>691</v>
      </c>
      <c r="E71" s="677" t="s">
        <v>632</v>
      </c>
      <c r="F71" s="22">
        <v>40830</v>
      </c>
      <c r="G71" s="345" t="s">
        <v>30</v>
      </c>
      <c r="H71" s="21">
        <v>98</v>
      </c>
      <c r="I71" s="21">
        <v>9</v>
      </c>
      <c r="J71" s="16">
        <f>573965.5+340647.5+298149+37925.5+16221+796+1713.5+3994+1930</f>
        <v>1275342</v>
      </c>
      <c r="K71" s="17">
        <f>50953+31140+27249+4634+2655+127+438+632+617</f>
        <v>118445</v>
      </c>
      <c r="L71" s="216">
        <f>+J71/K71</f>
        <v>10.767377263708894</v>
      </c>
      <c r="M71" s="423">
        <v>61</v>
      </c>
      <c r="N71" s="340"/>
    </row>
    <row r="72" spans="1:14" s="68" customFormat="1" ht="9.75" customHeight="1">
      <c r="A72" s="69">
        <v>62</v>
      </c>
      <c r="B72" s="311" t="s">
        <v>381</v>
      </c>
      <c r="C72" s="682"/>
      <c r="D72" s="682"/>
      <c r="E72" s="682" t="s">
        <v>461</v>
      </c>
      <c r="F72" s="84">
        <v>40767</v>
      </c>
      <c r="G72" s="345" t="s">
        <v>10</v>
      </c>
      <c r="H72" s="345">
        <v>56</v>
      </c>
      <c r="I72" s="12">
        <v>11</v>
      </c>
      <c r="J72" s="16">
        <v>1236889</v>
      </c>
      <c r="K72" s="17">
        <v>108221</v>
      </c>
      <c r="L72" s="216">
        <f>+J72/K72</f>
        <v>11.429288215780671</v>
      </c>
      <c r="M72" s="420">
        <v>62</v>
      </c>
      <c r="N72" s="340"/>
    </row>
    <row r="73" spans="1:14" s="68" customFormat="1" ht="9.75" customHeight="1">
      <c r="A73" s="69">
        <v>63</v>
      </c>
      <c r="B73" s="311" t="s">
        <v>766</v>
      </c>
      <c r="C73" s="20" t="s">
        <v>789</v>
      </c>
      <c r="D73" s="682" t="s">
        <v>697</v>
      </c>
      <c r="E73" s="682" t="s">
        <v>767</v>
      </c>
      <c r="F73" s="84">
        <v>40879</v>
      </c>
      <c r="G73" s="345" t="s">
        <v>10</v>
      </c>
      <c r="H73" s="21">
        <v>114</v>
      </c>
      <c r="I73" s="12">
        <v>2</v>
      </c>
      <c r="J73" s="16">
        <v>1228653</v>
      </c>
      <c r="K73" s="17">
        <v>108930</v>
      </c>
      <c r="L73" s="396">
        <f>J73/K73</f>
        <v>11.279289451941613</v>
      </c>
      <c r="M73" s="420">
        <v>63</v>
      </c>
      <c r="N73" s="340"/>
    </row>
    <row r="74" spans="1:14" s="68" customFormat="1" ht="9.75" customHeight="1">
      <c r="A74" s="69">
        <v>64</v>
      </c>
      <c r="B74" s="311" t="s">
        <v>215</v>
      </c>
      <c r="C74" s="682"/>
      <c r="D74" s="682"/>
      <c r="E74" s="682" t="s">
        <v>527</v>
      </c>
      <c r="F74" s="84">
        <v>40606</v>
      </c>
      <c r="G74" s="345" t="s">
        <v>23</v>
      </c>
      <c r="H74" s="354">
        <v>93</v>
      </c>
      <c r="I74" s="21">
        <v>30</v>
      </c>
      <c r="J74" s="18">
        <v>1225458</v>
      </c>
      <c r="K74" s="19">
        <v>110263</v>
      </c>
      <c r="L74" s="216">
        <f>+J74/K74</f>
        <v>11.11395481711907</v>
      </c>
      <c r="M74" s="423">
        <v>64</v>
      </c>
      <c r="N74" s="340"/>
    </row>
    <row r="75" spans="1:14" s="68" customFormat="1" ht="9.75" customHeight="1">
      <c r="A75" s="69">
        <v>65</v>
      </c>
      <c r="B75" s="157" t="s">
        <v>423</v>
      </c>
      <c r="C75" s="10"/>
      <c r="D75" s="10"/>
      <c r="E75" s="10" t="s">
        <v>437</v>
      </c>
      <c r="F75" s="2">
        <v>40802</v>
      </c>
      <c r="G75" s="345" t="s">
        <v>10</v>
      </c>
      <c r="H75" s="14">
        <v>74</v>
      </c>
      <c r="I75" s="12">
        <v>8</v>
      </c>
      <c r="J75" s="16">
        <v>1204059</v>
      </c>
      <c r="K75" s="17">
        <v>114456</v>
      </c>
      <c r="L75" s="396">
        <f aca="true" t="shared" si="1" ref="L75:L82">J75/K75</f>
        <v>10.519841685888027</v>
      </c>
      <c r="M75" s="420">
        <v>65</v>
      </c>
      <c r="N75" s="340"/>
    </row>
    <row r="76" spans="1:14" s="68" customFormat="1" ht="9.75" customHeight="1">
      <c r="A76" s="69">
        <v>66</v>
      </c>
      <c r="B76" s="311" t="s">
        <v>57</v>
      </c>
      <c r="C76" s="20" t="s">
        <v>694</v>
      </c>
      <c r="D76" s="682" t="s">
        <v>706</v>
      </c>
      <c r="E76" s="682" t="s">
        <v>57</v>
      </c>
      <c r="F76" s="84">
        <v>40676</v>
      </c>
      <c r="G76" s="345" t="s">
        <v>23</v>
      </c>
      <c r="H76" s="21">
        <v>100</v>
      </c>
      <c r="I76" s="12">
        <v>32</v>
      </c>
      <c r="J76" s="18">
        <v>1182011</v>
      </c>
      <c r="K76" s="19">
        <v>129443</v>
      </c>
      <c r="L76" s="396">
        <f t="shared" si="1"/>
        <v>9.131517347403877</v>
      </c>
      <c r="M76" s="420">
        <v>66</v>
      </c>
      <c r="N76" s="340"/>
    </row>
    <row r="77" spans="1:14" s="68" customFormat="1" ht="9.75" customHeight="1">
      <c r="A77" s="69">
        <v>67</v>
      </c>
      <c r="B77" s="208" t="s">
        <v>40</v>
      </c>
      <c r="C77" s="85"/>
      <c r="D77" s="85"/>
      <c r="E77" s="85" t="s">
        <v>528</v>
      </c>
      <c r="F77" s="84">
        <v>40655</v>
      </c>
      <c r="G77" s="344" t="s">
        <v>10</v>
      </c>
      <c r="H77" s="345">
        <v>70</v>
      </c>
      <c r="I77" s="14">
        <v>7</v>
      </c>
      <c r="J77" s="16">
        <v>1151198</v>
      </c>
      <c r="K77" s="17">
        <v>109336</v>
      </c>
      <c r="L77" s="396">
        <f t="shared" si="1"/>
        <v>10.528993195287919</v>
      </c>
      <c r="M77" s="423">
        <v>67</v>
      </c>
      <c r="N77" s="340"/>
    </row>
    <row r="78" spans="1:14" s="68" customFormat="1" ht="9.75" customHeight="1">
      <c r="A78" s="69">
        <v>68</v>
      </c>
      <c r="B78" s="208" t="s">
        <v>233</v>
      </c>
      <c r="C78" s="85"/>
      <c r="D78" s="85"/>
      <c r="E78" s="85" t="s">
        <v>529</v>
      </c>
      <c r="F78" s="84">
        <v>40620</v>
      </c>
      <c r="G78" s="344" t="s">
        <v>10</v>
      </c>
      <c r="H78" s="344">
        <v>89</v>
      </c>
      <c r="I78" s="344">
        <v>11</v>
      </c>
      <c r="J78" s="16">
        <v>1137795</v>
      </c>
      <c r="K78" s="17">
        <v>113358</v>
      </c>
      <c r="L78" s="396">
        <f t="shared" si="1"/>
        <v>10.037183083681787</v>
      </c>
      <c r="M78" s="420">
        <v>68</v>
      </c>
      <c r="N78" s="340"/>
    </row>
    <row r="79" spans="1:14" s="68" customFormat="1" ht="9.75" customHeight="1">
      <c r="A79" s="69">
        <v>69</v>
      </c>
      <c r="B79" s="208" t="s">
        <v>621</v>
      </c>
      <c r="C79" s="85" t="s">
        <v>713</v>
      </c>
      <c r="D79" s="684" t="s">
        <v>706</v>
      </c>
      <c r="E79" s="85" t="s">
        <v>622</v>
      </c>
      <c r="F79" s="84">
        <v>40823</v>
      </c>
      <c r="G79" s="345" t="s">
        <v>23</v>
      </c>
      <c r="H79" s="21">
        <v>105</v>
      </c>
      <c r="I79" s="21">
        <v>8</v>
      </c>
      <c r="J79" s="18">
        <v>1135982</v>
      </c>
      <c r="K79" s="19">
        <v>121833</v>
      </c>
      <c r="L79" s="396">
        <f t="shared" si="1"/>
        <v>9.32409117398406</v>
      </c>
      <c r="M79" s="420">
        <v>69</v>
      </c>
      <c r="N79" s="340"/>
    </row>
    <row r="80" spans="1:14" s="68" customFormat="1" ht="9.75" customHeight="1">
      <c r="A80" s="69">
        <v>70</v>
      </c>
      <c r="B80" s="708" t="s">
        <v>674</v>
      </c>
      <c r="C80" s="684" t="s">
        <v>694</v>
      </c>
      <c r="D80" s="684" t="s">
        <v>706</v>
      </c>
      <c r="E80" s="85" t="s">
        <v>673</v>
      </c>
      <c r="F80" s="22">
        <v>40851</v>
      </c>
      <c r="G80" s="345" t="s">
        <v>23</v>
      </c>
      <c r="H80" s="21">
        <v>72</v>
      </c>
      <c r="I80" s="21">
        <v>6</v>
      </c>
      <c r="J80" s="18">
        <v>1108759</v>
      </c>
      <c r="K80" s="19">
        <v>101952</v>
      </c>
      <c r="L80" s="396">
        <f t="shared" si="1"/>
        <v>10.875304064657879</v>
      </c>
      <c r="M80" s="423">
        <v>70</v>
      </c>
      <c r="N80" s="340"/>
    </row>
    <row r="81" spans="1:14" s="68" customFormat="1" ht="9.75" customHeight="1">
      <c r="A81" s="69">
        <v>71</v>
      </c>
      <c r="B81" s="311" t="s">
        <v>646</v>
      </c>
      <c r="C81" s="20" t="s">
        <v>722</v>
      </c>
      <c r="D81" s="682" t="s">
        <v>697</v>
      </c>
      <c r="E81" s="682" t="s">
        <v>647</v>
      </c>
      <c r="F81" s="84">
        <v>40837</v>
      </c>
      <c r="G81" s="345" t="s">
        <v>10</v>
      </c>
      <c r="H81" s="21">
        <v>79</v>
      </c>
      <c r="I81" s="12">
        <v>8</v>
      </c>
      <c r="J81" s="16">
        <v>1093610</v>
      </c>
      <c r="K81" s="17">
        <v>99952</v>
      </c>
      <c r="L81" s="396">
        <f t="shared" si="1"/>
        <v>10.941351848887466</v>
      </c>
      <c r="M81" s="420">
        <v>71</v>
      </c>
      <c r="N81" s="340"/>
    </row>
    <row r="82" spans="1:14" s="68" customFormat="1" ht="9.75" customHeight="1">
      <c r="A82" s="69">
        <v>72</v>
      </c>
      <c r="B82" s="311" t="s">
        <v>776</v>
      </c>
      <c r="C82" s="20"/>
      <c r="D82" s="682"/>
      <c r="E82" s="682" t="s">
        <v>623</v>
      </c>
      <c r="F82" s="84">
        <v>40823</v>
      </c>
      <c r="G82" s="345" t="s">
        <v>10</v>
      </c>
      <c r="H82" s="21">
        <v>81</v>
      </c>
      <c r="I82" s="12">
        <v>8</v>
      </c>
      <c r="J82" s="16">
        <v>1063334</v>
      </c>
      <c r="K82" s="17">
        <v>101156</v>
      </c>
      <c r="L82" s="396">
        <f t="shared" si="1"/>
        <v>10.511823322393136</v>
      </c>
      <c r="M82" s="420">
        <v>72</v>
      </c>
      <c r="N82" s="340"/>
    </row>
    <row r="83" spans="1:14" s="68" customFormat="1" ht="9.75" customHeight="1">
      <c r="A83" s="69">
        <v>73</v>
      </c>
      <c r="B83" s="133" t="s">
        <v>428</v>
      </c>
      <c r="C83" s="20"/>
      <c r="D83" s="20"/>
      <c r="E83" s="20" t="s">
        <v>624</v>
      </c>
      <c r="F83" s="22">
        <v>40809</v>
      </c>
      <c r="G83" s="345" t="s">
        <v>28</v>
      </c>
      <c r="H83" s="21">
        <v>51</v>
      </c>
      <c r="I83" s="550">
        <v>10</v>
      </c>
      <c r="J83" s="18">
        <f>365324+274223.5+203452+116521.5+40713.5+8734.5+7823+1091+1063.5+451</f>
        <v>1019397.5</v>
      </c>
      <c r="K83" s="19">
        <f>32747+24923+18547+11662+5049+1079+999+148+136+54</f>
        <v>95344</v>
      </c>
      <c r="L83" s="216">
        <f>+J83/K83</f>
        <v>10.691784485651954</v>
      </c>
      <c r="M83" s="423">
        <v>73</v>
      </c>
      <c r="N83" s="340"/>
    </row>
    <row r="84" spans="1:14" s="68" customFormat="1" ht="9.75" customHeight="1">
      <c r="A84" s="69">
        <v>74</v>
      </c>
      <c r="B84" s="133" t="s">
        <v>768</v>
      </c>
      <c r="C84" s="20" t="s">
        <v>790</v>
      </c>
      <c r="D84" s="20" t="s">
        <v>695</v>
      </c>
      <c r="E84" s="20" t="s">
        <v>769</v>
      </c>
      <c r="F84" s="22">
        <v>40879</v>
      </c>
      <c r="G84" s="345" t="s">
        <v>8</v>
      </c>
      <c r="H84" s="21">
        <v>100</v>
      </c>
      <c r="I84" s="14">
        <v>2</v>
      </c>
      <c r="J84" s="16">
        <v>998675</v>
      </c>
      <c r="K84" s="17">
        <v>80828</v>
      </c>
      <c r="L84" s="216">
        <f>+J84/K84</f>
        <v>12.35555748008116</v>
      </c>
      <c r="M84" s="420">
        <v>74</v>
      </c>
      <c r="N84" s="340"/>
    </row>
    <row r="85" spans="1:14" s="68" customFormat="1" ht="9.75" customHeight="1">
      <c r="A85" s="69">
        <v>75</v>
      </c>
      <c r="B85" s="157" t="s">
        <v>179</v>
      </c>
      <c r="C85" s="10"/>
      <c r="D85" s="10"/>
      <c r="E85" s="10" t="s">
        <v>179</v>
      </c>
      <c r="F85" s="2">
        <v>40613</v>
      </c>
      <c r="G85" s="14" t="s">
        <v>134</v>
      </c>
      <c r="H85" s="14">
        <v>105</v>
      </c>
      <c r="I85" s="14">
        <v>10</v>
      </c>
      <c r="J85" s="199">
        <v>895090.5</v>
      </c>
      <c r="K85" s="201">
        <v>101557</v>
      </c>
      <c r="L85" s="713">
        <f>+J85/K85</f>
        <v>8.813676063688373</v>
      </c>
      <c r="M85" s="420">
        <v>75</v>
      </c>
      <c r="N85" s="340"/>
    </row>
    <row r="86" spans="1:14" s="68" customFormat="1" ht="9.75" customHeight="1">
      <c r="A86" s="69">
        <v>76</v>
      </c>
      <c r="B86" s="709" t="s">
        <v>56</v>
      </c>
      <c r="C86" s="685"/>
      <c r="D86" s="685"/>
      <c r="E86" s="685" t="s">
        <v>530</v>
      </c>
      <c r="F86" s="84">
        <v>40676</v>
      </c>
      <c r="G86" s="344" t="s">
        <v>10</v>
      </c>
      <c r="H86" s="345">
        <v>112</v>
      </c>
      <c r="I86" s="12">
        <v>12</v>
      </c>
      <c r="J86" s="16">
        <v>889611</v>
      </c>
      <c r="K86" s="17">
        <v>94485</v>
      </c>
      <c r="L86" s="396">
        <f>J86/K86</f>
        <v>9.415367518653754</v>
      </c>
      <c r="M86" s="423">
        <v>76</v>
      </c>
      <c r="N86" s="340"/>
    </row>
    <row r="87" spans="1:14" s="68" customFormat="1" ht="9.75" customHeight="1">
      <c r="A87" s="69">
        <v>77</v>
      </c>
      <c r="B87" s="150" t="s">
        <v>648</v>
      </c>
      <c r="C87" s="20" t="s">
        <v>724</v>
      </c>
      <c r="D87" s="137" t="s">
        <v>725</v>
      </c>
      <c r="E87" s="137" t="s">
        <v>649</v>
      </c>
      <c r="F87" s="84">
        <v>40837</v>
      </c>
      <c r="G87" s="345" t="s">
        <v>23</v>
      </c>
      <c r="H87" s="354">
        <v>130</v>
      </c>
      <c r="I87" s="21">
        <v>8</v>
      </c>
      <c r="J87" s="18">
        <v>888167</v>
      </c>
      <c r="K87" s="19">
        <v>89398</v>
      </c>
      <c r="L87" s="396">
        <f>J87/K87</f>
        <v>9.934976173963623</v>
      </c>
      <c r="M87" s="420">
        <v>77</v>
      </c>
      <c r="N87" s="340"/>
    </row>
    <row r="88" spans="1:14" s="68" customFormat="1" ht="9.75" customHeight="1">
      <c r="A88" s="69">
        <v>78</v>
      </c>
      <c r="B88" s="198" t="s">
        <v>34</v>
      </c>
      <c r="C88" s="677"/>
      <c r="D88" s="677"/>
      <c r="E88" s="85" t="s">
        <v>531</v>
      </c>
      <c r="F88" s="22">
        <v>40648</v>
      </c>
      <c r="G88" s="345" t="s">
        <v>30</v>
      </c>
      <c r="H88" s="21">
        <v>72</v>
      </c>
      <c r="I88" s="21">
        <v>25</v>
      </c>
      <c r="J88" s="16">
        <f>313705+218661+94172+73484.5+60319.5+15976+18868+7512+25645.5+15093+6591+2599+2683+1937.5+1629+2257+1715+1468+632+686+483+950+882+2440.5+336</f>
        <v>870725.5</v>
      </c>
      <c r="K88" s="17">
        <f>29673+21437+10530+10169+8845+2631+2981+1155+3600+2641+1030+393+512+262+251+329+256+223+101+108+77+153+142+619+90</f>
        <v>98208</v>
      </c>
      <c r="L88" s="216">
        <f>+J88/K88</f>
        <v>8.866136159986967</v>
      </c>
      <c r="M88" s="420">
        <v>78</v>
      </c>
      <c r="N88" s="340"/>
    </row>
    <row r="89" spans="1:14" s="68" customFormat="1" ht="9.75" customHeight="1">
      <c r="A89" s="69">
        <v>79</v>
      </c>
      <c r="B89" s="311" t="s">
        <v>421</v>
      </c>
      <c r="C89" s="682"/>
      <c r="D89" s="682"/>
      <c r="E89" s="682" t="s">
        <v>443</v>
      </c>
      <c r="F89" s="84">
        <v>40802</v>
      </c>
      <c r="G89" s="345" t="s">
        <v>23</v>
      </c>
      <c r="H89" s="354">
        <v>139</v>
      </c>
      <c r="I89" s="21">
        <v>7</v>
      </c>
      <c r="J89" s="18">
        <v>866065</v>
      </c>
      <c r="K89" s="19">
        <v>93382</v>
      </c>
      <c r="L89" s="396">
        <f>J89/K89</f>
        <v>9.274431903364674</v>
      </c>
      <c r="M89" s="423">
        <v>79</v>
      </c>
      <c r="N89" s="340"/>
    </row>
    <row r="90" spans="1:14" s="68" customFormat="1" ht="9.75" customHeight="1">
      <c r="A90" s="69">
        <v>80</v>
      </c>
      <c r="B90" s="198" t="s">
        <v>39</v>
      </c>
      <c r="C90" s="677" t="s">
        <v>746</v>
      </c>
      <c r="D90" s="85" t="s">
        <v>691</v>
      </c>
      <c r="E90" s="677" t="s">
        <v>659</v>
      </c>
      <c r="F90" s="22">
        <v>40655</v>
      </c>
      <c r="G90" s="345" t="s">
        <v>30</v>
      </c>
      <c r="H90" s="21">
        <v>156</v>
      </c>
      <c r="I90" s="21">
        <v>22</v>
      </c>
      <c r="J90" s="16">
        <f>633760.5+136320.5+35218.5+12632+4659.5+2946+8058+2678+3172+3399.5+598+564+1471+2243+357+860+1425.5+8382.5+1782+968+1958+1164</f>
        <v>864617.5</v>
      </c>
      <c r="K90" s="17">
        <f>74640+17307+4811+1875+917+522+1372+426+632+730+116+93+159+384+67+172+356+2088+446+190+480+372</f>
        <v>108155</v>
      </c>
      <c r="L90" s="396">
        <f>J90/K90</f>
        <v>7.99424437150386</v>
      </c>
      <c r="M90" s="420">
        <v>80</v>
      </c>
      <c r="N90" s="340"/>
    </row>
    <row r="91" spans="1:14" s="68" customFormat="1" ht="9.75" customHeight="1">
      <c r="A91" s="69">
        <v>81</v>
      </c>
      <c r="B91" s="208" t="s">
        <v>388</v>
      </c>
      <c r="C91" s="85"/>
      <c r="D91" s="85"/>
      <c r="E91" s="85" t="s">
        <v>532</v>
      </c>
      <c r="F91" s="22">
        <v>40620</v>
      </c>
      <c r="G91" s="346" t="s">
        <v>23</v>
      </c>
      <c r="H91" s="21">
        <v>51</v>
      </c>
      <c r="I91" s="21">
        <v>22</v>
      </c>
      <c r="J91" s="18">
        <v>856424</v>
      </c>
      <c r="K91" s="19">
        <v>74107</v>
      </c>
      <c r="L91" s="216">
        <f>+J91/K91</f>
        <v>11.556587097035369</v>
      </c>
      <c r="M91" s="420">
        <v>81</v>
      </c>
      <c r="N91" s="340"/>
    </row>
    <row r="92" spans="1:14" s="68" customFormat="1" ht="9.75" customHeight="1">
      <c r="A92" s="69">
        <v>82</v>
      </c>
      <c r="B92" s="311" t="s">
        <v>18</v>
      </c>
      <c r="C92" s="682"/>
      <c r="D92" s="682"/>
      <c r="E92" s="682" t="s">
        <v>533</v>
      </c>
      <c r="F92" s="84">
        <v>40620</v>
      </c>
      <c r="G92" s="346" t="s">
        <v>8</v>
      </c>
      <c r="H92" s="14">
        <v>37</v>
      </c>
      <c r="I92" s="14">
        <v>20</v>
      </c>
      <c r="J92" s="16">
        <v>852143</v>
      </c>
      <c r="K92" s="17">
        <v>76620</v>
      </c>
      <c r="L92" s="396">
        <f>J92/K92</f>
        <v>11.121678412947011</v>
      </c>
      <c r="M92" s="423">
        <v>82</v>
      </c>
      <c r="N92" s="340"/>
    </row>
    <row r="93" spans="1:14" s="68" customFormat="1" ht="9.75" customHeight="1">
      <c r="A93" s="69">
        <v>83</v>
      </c>
      <c r="B93" s="157" t="s">
        <v>410</v>
      </c>
      <c r="C93" s="10" t="s">
        <v>696</v>
      </c>
      <c r="D93" s="682" t="s">
        <v>697</v>
      </c>
      <c r="E93" s="10" t="s">
        <v>449</v>
      </c>
      <c r="F93" s="2">
        <v>40795</v>
      </c>
      <c r="G93" s="345" t="s">
        <v>10</v>
      </c>
      <c r="H93" s="14">
        <v>70</v>
      </c>
      <c r="I93" s="12">
        <v>9</v>
      </c>
      <c r="J93" s="16">
        <v>847210</v>
      </c>
      <c r="K93" s="17">
        <v>85958</v>
      </c>
      <c r="L93" s="396">
        <f>J93/K93</f>
        <v>9.856092510295726</v>
      </c>
      <c r="M93" s="420">
        <v>83</v>
      </c>
      <c r="N93" s="340"/>
    </row>
    <row r="94" spans="1:14" s="68" customFormat="1" ht="9.75" customHeight="1">
      <c r="A94" s="69">
        <v>84</v>
      </c>
      <c r="B94" s="712" t="s">
        <v>397</v>
      </c>
      <c r="C94" s="690"/>
      <c r="D94" s="690"/>
      <c r="E94" s="690" t="s">
        <v>478</v>
      </c>
      <c r="F94" s="84">
        <v>40781</v>
      </c>
      <c r="G94" s="345" t="s">
        <v>10</v>
      </c>
      <c r="H94" s="345">
        <v>93</v>
      </c>
      <c r="I94" s="12">
        <v>7</v>
      </c>
      <c r="J94" s="16">
        <v>816932</v>
      </c>
      <c r="K94" s="17">
        <v>71544</v>
      </c>
      <c r="L94" s="216">
        <f>+J94/K94</f>
        <v>11.41859554959186</v>
      </c>
      <c r="M94" s="420">
        <v>84</v>
      </c>
      <c r="N94" s="340"/>
    </row>
    <row r="95" spans="1:14" s="68" customFormat="1" ht="9.75" customHeight="1">
      <c r="A95" s="69">
        <v>85</v>
      </c>
      <c r="B95" s="198" t="s">
        <v>58</v>
      </c>
      <c r="C95" s="677"/>
      <c r="D95" s="677"/>
      <c r="E95" s="85" t="s">
        <v>494</v>
      </c>
      <c r="F95" s="22">
        <v>40669</v>
      </c>
      <c r="G95" s="345" t="s">
        <v>30</v>
      </c>
      <c r="H95" s="21">
        <v>58</v>
      </c>
      <c r="I95" s="21">
        <v>21</v>
      </c>
      <c r="J95" s="16">
        <f>283662.5+204713+63694+61522.5+37976+46923.5+23377.5+15917+7067.5+2523.5+6128.5+15179.5+11086.5+9981+4315+1379+1711+405+749+298+213</f>
        <v>798822.5</v>
      </c>
      <c r="K95" s="17">
        <f>29595+21640+7444+8447+5671+7156+3524+2414+1006+405+822+1862+1355+1194+582+204+215+57+104+58+41</f>
        <v>93796</v>
      </c>
      <c r="L95" s="396">
        <f>J95/K95</f>
        <v>8.51659452428675</v>
      </c>
      <c r="M95" s="423">
        <v>85</v>
      </c>
      <c r="N95" s="340"/>
    </row>
    <row r="96" spans="1:14" s="68" customFormat="1" ht="9.75" customHeight="1">
      <c r="A96" s="69">
        <v>86</v>
      </c>
      <c r="B96" s="208" t="s">
        <v>180</v>
      </c>
      <c r="C96" s="85"/>
      <c r="D96" s="85"/>
      <c r="E96" s="85" t="s">
        <v>180</v>
      </c>
      <c r="F96" s="84">
        <v>40571</v>
      </c>
      <c r="G96" s="344" t="s">
        <v>133</v>
      </c>
      <c r="H96" s="21">
        <v>20</v>
      </c>
      <c r="I96" s="21">
        <v>20</v>
      </c>
      <c r="J96" s="691">
        <v>789257</v>
      </c>
      <c r="K96" s="692">
        <v>66250</v>
      </c>
      <c r="L96" s="396">
        <f>J96/K96</f>
        <v>11.91331320754717</v>
      </c>
      <c r="M96" s="420">
        <v>86</v>
      </c>
      <c r="N96" s="340"/>
    </row>
    <row r="97" spans="1:14" s="68" customFormat="1" ht="9.75" customHeight="1">
      <c r="A97" s="69">
        <v>87</v>
      </c>
      <c r="B97" s="208" t="s">
        <v>206</v>
      </c>
      <c r="C97" s="85"/>
      <c r="D97" s="85"/>
      <c r="E97" s="85" t="s">
        <v>534</v>
      </c>
      <c r="F97" s="84">
        <v>40690</v>
      </c>
      <c r="G97" s="344" t="s">
        <v>10</v>
      </c>
      <c r="H97" s="12">
        <v>65</v>
      </c>
      <c r="I97" s="12">
        <v>14</v>
      </c>
      <c r="J97" s="16">
        <v>773534</v>
      </c>
      <c r="K97" s="17">
        <v>81358</v>
      </c>
      <c r="L97" s="216">
        <f>+J97/K97</f>
        <v>9.507780427247473</v>
      </c>
      <c r="M97" s="420">
        <v>87</v>
      </c>
      <c r="N97" s="340"/>
    </row>
    <row r="98" spans="1:14" s="68" customFormat="1" ht="9.75" customHeight="1">
      <c r="A98" s="69">
        <v>88</v>
      </c>
      <c r="B98" s="150" t="s">
        <v>751</v>
      </c>
      <c r="C98" s="20" t="s">
        <v>752</v>
      </c>
      <c r="D98" s="137" t="s">
        <v>704</v>
      </c>
      <c r="E98" s="137" t="s">
        <v>753</v>
      </c>
      <c r="F98" s="84">
        <v>40872</v>
      </c>
      <c r="G98" s="345" t="s">
        <v>23</v>
      </c>
      <c r="H98" s="354">
        <v>55</v>
      </c>
      <c r="I98" s="21">
        <v>3</v>
      </c>
      <c r="J98" s="18">
        <v>752918</v>
      </c>
      <c r="K98" s="19">
        <v>62579</v>
      </c>
      <c r="L98" s="396">
        <f>J98/K98</f>
        <v>12.031480209015804</v>
      </c>
      <c r="M98" s="423">
        <v>88</v>
      </c>
      <c r="N98" s="340"/>
    </row>
    <row r="99" spans="1:14" s="68" customFormat="1" ht="9.75" customHeight="1">
      <c r="A99" s="69">
        <v>89</v>
      </c>
      <c r="B99" s="157" t="s">
        <v>439</v>
      </c>
      <c r="C99" s="20" t="s">
        <v>730</v>
      </c>
      <c r="D99" s="10" t="s">
        <v>695</v>
      </c>
      <c r="E99" s="10" t="s">
        <v>440</v>
      </c>
      <c r="F99" s="2">
        <v>40816</v>
      </c>
      <c r="G99" s="345" t="s">
        <v>8</v>
      </c>
      <c r="H99" s="14">
        <v>60</v>
      </c>
      <c r="I99" s="14">
        <v>11</v>
      </c>
      <c r="J99" s="16">
        <v>713342</v>
      </c>
      <c r="K99" s="17">
        <v>73186</v>
      </c>
      <c r="L99" s="216">
        <f>+J99/K99</f>
        <v>9.746973464870331</v>
      </c>
      <c r="M99" s="420">
        <v>89</v>
      </c>
      <c r="N99" s="340"/>
    </row>
    <row r="100" spans="1:14" s="68" customFormat="1" ht="9.75" customHeight="1">
      <c r="A100" s="69">
        <v>90</v>
      </c>
      <c r="B100" s="133" t="s">
        <v>181</v>
      </c>
      <c r="C100" s="20"/>
      <c r="D100" s="20"/>
      <c r="E100" s="20" t="s">
        <v>535</v>
      </c>
      <c r="F100" s="22">
        <v>40627</v>
      </c>
      <c r="G100" s="183" t="s">
        <v>23</v>
      </c>
      <c r="H100" s="21">
        <v>80</v>
      </c>
      <c r="I100" s="21">
        <v>8</v>
      </c>
      <c r="J100" s="18">
        <v>689625</v>
      </c>
      <c r="K100" s="19">
        <v>71616</v>
      </c>
      <c r="L100" s="710">
        <f>+J100/K100</f>
        <v>9.629482238605899</v>
      </c>
      <c r="M100" s="420">
        <v>90</v>
      </c>
      <c r="N100" s="340"/>
    </row>
    <row r="101" spans="1:14" s="68" customFormat="1" ht="9.75" customHeight="1">
      <c r="A101" s="69">
        <v>91</v>
      </c>
      <c r="B101" s="208" t="s">
        <v>27</v>
      </c>
      <c r="C101" s="85"/>
      <c r="D101" s="85"/>
      <c r="E101" s="85" t="s">
        <v>536</v>
      </c>
      <c r="F101" s="84">
        <v>40634</v>
      </c>
      <c r="G101" s="344" t="s">
        <v>10</v>
      </c>
      <c r="H101" s="344">
        <v>76</v>
      </c>
      <c r="I101" s="344">
        <v>9</v>
      </c>
      <c r="J101" s="16">
        <v>681170</v>
      </c>
      <c r="K101" s="17">
        <v>69882</v>
      </c>
      <c r="L101" s="396">
        <f>J101/K101</f>
        <v>9.747431384333591</v>
      </c>
      <c r="M101" s="423">
        <v>91</v>
      </c>
      <c r="N101" s="340"/>
    </row>
    <row r="102" spans="1:14" s="68" customFormat="1" ht="9.75" customHeight="1">
      <c r="A102" s="69">
        <v>92</v>
      </c>
      <c r="B102" s="208" t="s">
        <v>71</v>
      </c>
      <c r="C102" s="85"/>
      <c r="D102" s="85"/>
      <c r="E102" s="85" t="s">
        <v>71</v>
      </c>
      <c r="F102" s="84">
        <v>40634</v>
      </c>
      <c r="G102" s="344" t="s">
        <v>43</v>
      </c>
      <c r="H102" s="344">
        <v>149</v>
      </c>
      <c r="I102" s="344">
        <v>9</v>
      </c>
      <c r="J102" s="18">
        <v>674482</v>
      </c>
      <c r="K102" s="19">
        <v>96075</v>
      </c>
      <c r="L102" s="396">
        <f>J102/K102</f>
        <v>7.0203695029924535</v>
      </c>
      <c r="M102" s="420">
        <v>92</v>
      </c>
      <c r="N102" s="340"/>
    </row>
    <row r="103" spans="1:14" s="68" customFormat="1" ht="9.75" customHeight="1">
      <c r="A103" s="69">
        <v>93</v>
      </c>
      <c r="B103" s="198" t="s">
        <v>227</v>
      </c>
      <c r="C103" s="20"/>
      <c r="D103" s="677" t="s">
        <v>712</v>
      </c>
      <c r="E103" s="677" t="s">
        <v>475</v>
      </c>
      <c r="F103" s="22">
        <v>40718</v>
      </c>
      <c r="G103" s="345" t="s">
        <v>30</v>
      </c>
      <c r="H103" s="21">
        <v>42</v>
      </c>
      <c r="I103" s="21">
        <v>20</v>
      </c>
      <c r="J103" s="16">
        <f>206744+133125+83915.5+50898.5+53053.5+49526+20766+13108.5+7886.5+18395+9625+6653+2181+717+2335.5+4064.5+2681+1656+713+1188</f>
        <v>669232.5</v>
      </c>
      <c r="K103" s="17">
        <f>19325+12664+8208+6197+7341+6951+3245+2073+1102+2616+1516+888+316+98+449+609+435+266+102+297</f>
        <v>74698</v>
      </c>
      <c r="L103" s="216">
        <f>+J103/K103</f>
        <v>8.959175613804922</v>
      </c>
      <c r="M103" s="420">
        <v>93</v>
      </c>
      <c r="N103" s="340"/>
    </row>
    <row r="104" spans="1:14" s="68" customFormat="1" ht="9.75" customHeight="1">
      <c r="A104" s="69">
        <v>94</v>
      </c>
      <c r="B104" s="198" t="s">
        <v>422</v>
      </c>
      <c r="C104" s="677"/>
      <c r="D104" s="677"/>
      <c r="E104" s="677" t="s">
        <v>422</v>
      </c>
      <c r="F104" s="22">
        <v>40781</v>
      </c>
      <c r="G104" s="345" t="s">
        <v>30</v>
      </c>
      <c r="H104" s="21">
        <v>76</v>
      </c>
      <c r="I104" s="21">
        <v>8</v>
      </c>
      <c r="J104" s="16">
        <f>264177+157589+85109.5+64106.5+35488.5+11689.5+2493+3052.5</f>
        <v>623705.5</v>
      </c>
      <c r="K104" s="17">
        <f>29068+17742+11117+9660+5037+1702+342+537</f>
        <v>75205</v>
      </c>
      <c r="L104" s="396">
        <f>J104/K104</f>
        <v>8.293404693836846</v>
      </c>
      <c r="M104" s="423">
        <v>94</v>
      </c>
      <c r="N104" s="340"/>
    </row>
    <row r="105" spans="1:14" s="68" customFormat="1" ht="9.75" customHeight="1">
      <c r="A105" s="69">
        <v>95</v>
      </c>
      <c r="B105" s="150" t="s">
        <v>398</v>
      </c>
      <c r="C105" s="137"/>
      <c r="D105" s="137"/>
      <c r="E105" s="137" t="s">
        <v>462</v>
      </c>
      <c r="F105" s="22">
        <v>40781</v>
      </c>
      <c r="G105" s="345" t="s">
        <v>23</v>
      </c>
      <c r="H105" s="14">
        <v>74</v>
      </c>
      <c r="I105" s="21">
        <v>9</v>
      </c>
      <c r="J105" s="18">
        <v>623294</v>
      </c>
      <c r="K105" s="19">
        <v>61773</v>
      </c>
      <c r="L105" s="216">
        <f>+J105/K105</f>
        <v>10.090071714179334</v>
      </c>
      <c r="M105" s="420">
        <v>95</v>
      </c>
      <c r="N105" s="340"/>
    </row>
    <row r="106" spans="1:14" s="68" customFormat="1" ht="9.75" customHeight="1">
      <c r="A106" s="69">
        <v>96</v>
      </c>
      <c r="B106" s="198" t="s">
        <v>126</v>
      </c>
      <c r="C106" s="677"/>
      <c r="D106" s="677"/>
      <c r="E106" s="677" t="s">
        <v>537</v>
      </c>
      <c r="F106" s="22">
        <v>40599</v>
      </c>
      <c r="G106" s="344" t="s">
        <v>30</v>
      </c>
      <c r="H106" s="21">
        <v>60</v>
      </c>
      <c r="I106" s="21">
        <v>16</v>
      </c>
      <c r="J106" s="16">
        <f>324952+205669.75+36076.25+7149.5+4976+6474+8888+8102.5+7995.5+1904.5+2442.5+3379+326+230+1971.5+455</f>
        <v>620992</v>
      </c>
      <c r="K106" s="17">
        <f>28582+18445+3670+1269+845+865+1858+1230+1292+340+347+689+52+38+447+79</f>
        <v>60048</v>
      </c>
      <c r="L106" s="216">
        <f>+J106/K106</f>
        <v>10.341593391953104</v>
      </c>
      <c r="M106" s="420">
        <v>96</v>
      </c>
      <c r="N106" s="340"/>
    </row>
    <row r="107" spans="1:14" s="68" customFormat="1" ht="9.75" customHeight="1">
      <c r="A107" s="69">
        <v>97</v>
      </c>
      <c r="B107" s="152" t="s">
        <v>61</v>
      </c>
      <c r="C107" s="9"/>
      <c r="D107" s="9"/>
      <c r="E107" s="9" t="s">
        <v>61</v>
      </c>
      <c r="F107" s="2">
        <v>40682</v>
      </c>
      <c r="G107" s="346" t="s">
        <v>10</v>
      </c>
      <c r="H107" s="12">
        <v>164</v>
      </c>
      <c r="I107" s="12">
        <v>11</v>
      </c>
      <c r="J107" s="16">
        <v>577480</v>
      </c>
      <c r="K107" s="17">
        <v>63466</v>
      </c>
      <c r="L107" s="216">
        <f>+J107/K107</f>
        <v>9.099045158037374</v>
      </c>
      <c r="M107" s="423">
        <v>97</v>
      </c>
      <c r="N107" s="340"/>
    </row>
    <row r="108" spans="1:14" s="68" customFormat="1" ht="9.75" customHeight="1">
      <c r="A108" s="69">
        <v>98</v>
      </c>
      <c r="B108" s="711" t="s">
        <v>235</v>
      </c>
      <c r="C108" s="686"/>
      <c r="D108" s="686"/>
      <c r="E108" s="686" t="s">
        <v>538</v>
      </c>
      <c r="F108" s="687">
        <v>40592</v>
      </c>
      <c r="G108" s="688" t="s">
        <v>10</v>
      </c>
      <c r="H108" s="688">
        <v>168</v>
      </c>
      <c r="I108" s="688">
        <v>3</v>
      </c>
      <c r="J108" s="16">
        <v>572572</v>
      </c>
      <c r="K108" s="17">
        <v>51135</v>
      </c>
      <c r="L108" s="713">
        <v>11.197262149212868</v>
      </c>
      <c r="M108" s="420">
        <v>98</v>
      </c>
      <c r="N108" s="340"/>
    </row>
    <row r="109" spans="1:14" s="68" customFormat="1" ht="9.75" customHeight="1">
      <c r="A109" s="69">
        <v>99</v>
      </c>
      <c r="B109" s="150" t="s">
        <v>36</v>
      </c>
      <c r="C109" s="137" t="s">
        <v>713</v>
      </c>
      <c r="D109" s="137"/>
      <c r="E109" s="137" t="s">
        <v>36</v>
      </c>
      <c r="F109" s="84">
        <v>40648</v>
      </c>
      <c r="G109" s="345" t="s">
        <v>23</v>
      </c>
      <c r="H109" s="354">
        <v>75</v>
      </c>
      <c r="I109" s="21">
        <v>31</v>
      </c>
      <c r="J109" s="18">
        <v>570271</v>
      </c>
      <c r="K109" s="19">
        <v>61144</v>
      </c>
      <c r="L109" s="396">
        <f>J109/K109</f>
        <v>9.326687818919272</v>
      </c>
      <c r="M109" s="420">
        <v>99</v>
      </c>
      <c r="N109" s="340"/>
    </row>
    <row r="110" spans="1:14" s="68" customFormat="1" ht="9.75" customHeight="1">
      <c r="A110" s="69">
        <v>100</v>
      </c>
      <c r="B110" s="311" t="s">
        <v>430</v>
      </c>
      <c r="C110" s="682"/>
      <c r="D110" s="682"/>
      <c r="E110" s="682" t="s">
        <v>441</v>
      </c>
      <c r="F110" s="84">
        <v>40809</v>
      </c>
      <c r="G110" s="345" t="s">
        <v>23</v>
      </c>
      <c r="H110" s="354">
        <v>79</v>
      </c>
      <c r="I110" s="21">
        <v>5</v>
      </c>
      <c r="J110" s="18">
        <v>567214</v>
      </c>
      <c r="K110" s="19">
        <v>53676</v>
      </c>
      <c r="L110" s="396">
        <f>J110/K110</f>
        <v>10.567367165958716</v>
      </c>
      <c r="M110" s="423">
        <v>100</v>
      </c>
      <c r="N110" s="340"/>
    </row>
    <row r="111" spans="1:14" s="68" customFormat="1" ht="9.75" customHeight="1">
      <c r="A111" s="69">
        <v>101</v>
      </c>
      <c r="B111" s="208" t="s">
        <v>217</v>
      </c>
      <c r="C111" s="85"/>
      <c r="D111" s="85"/>
      <c r="E111" s="85" t="s">
        <v>217</v>
      </c>
      <c r="F111" s="84">
        <v>40704</v>
      </c>
      <c r="G111" s="344" t="s">
        <v>10</v>
      </c>
      <c r="H111" s="12">
        <v>70</v>
      </c>
      <c r="I111" s="12">
        <v>11</v>
      </c>
      <c r="J111" s="16">
        <v>566191</v>
      </c>
      <c r="K111" s="17">
        <v>58066</v>
      </c>
      <c r="L111" s="216">
        <f>+J111/K111</f>
        <v>9.750818034650226</v>
      </c>
      <c r="M111" s="420">
        <v>101</v>
      </c>
      <c r="N111" s="340"/>
    </row>
    <row r="112" spans="1:14" s="68" customFormat="1" ht="9.75" customHeight="1">
      <c r="A112" s="69">
        <v>102</v>
      </c>
      <c r="B112" s="208" t="s">
        <v>35</v>
      </c>
      <c r="C112" s="85"/>
      <c r="D112" s="85"/>
      <c r="E112" s="85" t="s">
        <v>35</v>
      </c>
      <c r="F112" s="84">
        <v>40648</v>
      </c>
      <c r="G112" s="344" t="s">
        <v>10</v>
      </c>
      <c r="H112" s="344">
        <v>76</v>
      </c>
      <c r="I112" s="344">
        <v>6</v>
      </c>
      <c r="J112" s="562">
        <v>545267</v>
      </c>
      <c r="K112" s="140">
        <v>56316</v>
      </c>
      <c r="L112" s="713">
        <f>+J112/K112</f>
        <v>9.682275019532637</v>
      </c>
      <c r="M112" s="420">
        <v>102</v>
      </c>
      <c r="N112" s="340"/>
    </row>
    <row r="113" spans="1:14" s="68" customFormat="1" ht="9.75" customHeight="1">
      <c r="A113" s="69">
        <v>103</v>
      </c>
      <c r="B113" s="133" t="s">
        <v>182</v>
      </c>
      <c r="C113" s="20"/>
      <c r="D113" s="20"/>
      <c r="E113" s="20" t="s">
        <v>539</v>
      </c>
      <c r="F113" s="22">
        <v>40592</v>
      </c>
      <c r="G113" s="183" t="s">
        <v>23</v>
      </c>
      <c r="H113" s="21">
        <v>80</v>
      </c>
      <c r="I113" s="21">
        <v>8</v>
      </c>
      <c r="J113" s="18">
        <v>520522</v>
      </c>
      <c r="K113" s="19">
        <v>59736</v>
      </c>
      <c r="L113" s="710">
        <f>+J113/K113</f>
        <v>8.713706977367082</v>
      </c>
      <c r="M113" s="423">
        <v>103</v>
      </c>
      <c r="N113" s="340"/>
    </row>
    <row r="114" spans="1:14" s="68" customFormat="1" ht="9.75" customHeight="1">
      <c r="A114" s="69">
        <v>104</v>
      </c>
      <c r="B114" s="311" t="s">
        <v>361</v>
      </c>
      <c r="C114" s="682"/>
      <c r="D114" s="682"/>
      <c r="E114" s="682" t="s">
        <v>463</v>
      </c>
      <c r="F114" s="84">
        <v>40746</v>
      </c>
      <c r="G114" s="345" t="s">
        <v>8</v>
      </c>
      <c r="H114" s="14">
        <v>26</v>
      </c>
      <c r="I114" s="14">
        <v>14</v>
      </c>
      <c r="J114" s="16">
        <v>515150</v>
      </c>
      <c r="K114" s="17">
        <v>49566</v>
      </c>
      <c r="L114" s="396">
        <f>J114/K114</f>
        <v>10.393213089617884</v>
      </c>
      <c r="M114" s="420">
        <v>104</v>
      </c>
      <c r="N114" s="340"/>
    </row>
    <row r="115" spans="1:14" s="68" customFormat="1" ht="9.75" customHeight="1">
      <c r="A115" s="69">
        <v>105</v>
      </c>
      <c r="B115" s="708" t="s">
        <v>665</v>
      </c>
      <c r="C115" s="684" t="s">
        <v>694</v>
      </c>
      <c r="D115" s="684" t="s">
        <v>706</v>
      </c>
      <c r="E115" s="684" t="s">
        <v>666</v>
      </c>
      <c r="F115" s="22">
        <v>40844</v>
      </c>
      <c r="G115" s="345" t="s">
        <v>23</v>
      </c>
      <c r="H115" s="21">
        <v>41</v>
      </c>
      <c r="I115" s="21">
        <v>7</v>
      </c>
      <c r="J115" s="18">
        <v>512061</v>
      </c>
      <c r="K115" s="19">
        <v>41914</v>
      </c>
      <c r="L115" s="396">
        <f>J115/K115</f>
        <v>12.216944219115332</v>
      </c>
      <c r="M115" s="420">
        <v>105</v>
      </c>
      <c r="N115" s="340"/>
    </row>
    <row r="116" spans="1:14" s="68" customFormat="1" ht="9.75" customHeight="1">
      <c r="A116" s="69">
        <v>106</v>
      </c>
      <c r="B116" s="198" t="s">
        <v>399</v>
      </c>
      <c r="C116" s="20"/>
      <c r="D116" s="677" t="s">
        <v>720</v>
      </c>
      <c r="E116" s="677" t="s">
        <v>779</v>
      </c>
      <c r="F116" s="22">
        <v>40781</v>
      </c>
      <c r="G116" s="345" t="s">
        <v>30</v>
      </c>
      <c r="H116" s="21">
        <v>25</v>
      </c>
      <c r="I116" s="21">
        <v>13</v>
      </c>
      <c r="J116" s="16">
        <f>144733+112570+56967.5+34113.5+30823.5+33890.5+41306+25896.5+24762.5+2776+2376+588+744</f>
        <v>511547</v>
      </c>
      <c r="K116" s="17">
        <f>11669+10065+5619+3946+3929+4284+5351+3682+3657+420+594+249+124</f>
        <v>53589</v>
      </c>
      <c r="L116" s="216">
        <f>+J116/K116</f>
        <v>9.545746328537573</v>
      </c>
      <c r="M116" s="423">
        <v>106</v>
      </c>
      <c r="N116" s="340"/>
    </row>
    <row r="117" spans="1:14" s="68" customFormat="1" ht="9.75" customHeight="1">
      <c r="A117" s="69">
        <v>107</v>
      </c>
      <c r="B117" s="208" t="s">
        <v>214</v>
      </c>
      <c r="C117" s="85"/>
      <c r="D117" s="85"/>
      <c r="E117" s="85" t="s">
        <v>214</v>
      </c>
      <c r="F117" s="84">
        <v>40564</v>
      </c>
      <c r="G117" s="344" t="s">
        <v>21</v>
      </c>
      <c r="H117" s="12">
        <v>100</v>
      </c>
      <c r="I117" s="12">
        <v>10</v>
      </c>
      <c r="J117" s="562">
        <f>351928.5+109593.5+20592.5+6351+8236+2820+477+622+1188+128</f>
        <v>501936.5</v>
      </c>
      <c r="K117" s="19">
        <f>40887+13714+2624+866+1497+479+81+311+238+23</f>
        <v>60720</v>
      </c>
      <c r="L117" s="216">
        <f>+J117/K117</f>
        <v>8.26641139657444</v>
      </c>
      <c r="M117" s="420">
        <v>107</v>
      </c>
      <c r="N117" s="340"/>
    </row>
    <row r="118" spans="1:14" s="68" customFormat="1" ht="9.75" customHeight="1">
      <c r="A118" s="69">
        <v>108</v>
      </c>
      <c r="B118" s="150" t="s">
        <v>635</v>
      </c>
      <c r="C118" s="137" t="s">
        <v>694</v>
      </c>
      <c r="D118" s="684" t="s">
        <v>706</v>
      </c>
      <c r="E118" s="137" t="s">
        <v>636</v>
      </c>
      <c r="F118" s="84">
        <v>40830</v>
      </c>
      <c r="G118" s="345" t="s">
        <v>23</v>
      </c>
      <c r="H118" s="354">
        <v>47</v>
      </c>
      <c r="I118" s="21">
        <v>6</v>
      </c>
      <c r="J118" s="18">
        <v>487678</v>
      </c>
      <c r="K118" s="19">
        <v>44045</v>
      </c>
      <c r="L118" s="396">
        <f>J118/K118</f>
        <v>11.072266999659439</v>
      </c>
      <c r="M118" s="420">
        <v>108</v>
      </c>
      <c r="N118" s="340"/>
    </row>
    <row r="119" spans="1:14" s="68" customFormat="1" ht="9.75" customHeight="1">
      <c r="A119" s="69">
        <v>109</v>
      </c>
      <c r="B119" s="198" t="s">
        <v>14</v>
      </c>
      <c r="C119" s="677"/>
      <c r="D119" s="677"/>
      <c r="E119" s="677" t="s">
        <v>540</v>
      </c>
      <c r="F119" s="22">
        <v>40592</v>
      </c>
      <c r="G119" s="345" t="s">
        <v>30</v>
      </c>
      <c r="H119" s="21">
        <v>26</v>
      </c>
      <c r="I119" s="21">
        <v>23</v>
      </c>
      <c r="J119" s="16">
        <f>237198+117355.25+39279+7609+10490+5994.5+4177+5529+13722.5+15666+5837+4401.5+5554+1816.5+656+560+364+822+284+390+1425.5+1663+722</f>
        <v>481515.75</v>
      </c>
      <c r="K119" s="17">
        <f>20106+9312+4270+1420+2469+1087+657+754+2056+2109+1033+786+862+334+111+80+52+126+44+39+356+416+184</f>
        <v>48663</v>
      </c>
      <c r="L119" s="396">
        <f>J119/K119</f>
        <v>9.894904753097837</v>
      </c>
      <c r="M119" s="423">
        <v>109</v>
      </c>
      <c r="N119" s="340"/>
    </row>
    <row r="120" spans="1:14" s="68" customFormat="1" ht="9.75" customHeight="1">
      <c r="A120" s="69">
        <v>110</v>
      </c>
      <c r="B120" s="157" t="s">
        <v>541</v>
      </c>
      <c r="C120" s="10"/>
      <c r="D120" s="10"/>
      <c r="E120" s="682" t="s">
        <v>498</v>
      </c>
      <c r="F120" s="84">
        <v>40669</v>
      </c>
      <c r="G120" s="345" t="s">
        <v>8</v>
      </c>
      <c r="H120" s="14">
        <v>51</v>
      </c>
      <c r="I120" s="14">
        <v>24</v>
      </c>
      <c r="J120" s="16">
        <v>477518</v>
      </c>
      <c r="K120" s="17">
        <v>49067</v>
      </c>
      <c r="L120" s="396">
        <f>J120/K120</f>
        <v>9.731958342674302</v>
      </c>
      <c r="M120" s="420">
        <v>110</v>
      </c>
      <c r="N120" s="340"/>
    </row>
    <row r="121" spans="1:14" s="68" customFormat="1" ht="9.75" customHeight="1">
      <c r="A121" s="69">
        <v>111</v>
      </c>
      <c r="B121" s="198" t="s">
        <v>367</v>
      </c>
      <c r="C121" s="20"/>
      <c r="D121" s="677" t="s">
        <v>740</v>
      </c>
      <c r="E121" s="677" t="s">
        <v>503</v>
      </c>
      <c r="F121" s="22">
        <v>40753</v>
      </c>
      <c r="G121" s="345" t="s">
        <v>30</v>
      </c>
      <c r="H121" s="21">
        <v>58</v>
      </c>
      <c r="I121" s="21">
        <v>14</v>
      </c>
      <c r="J121" s="16">
        <f>159826+108118.5+46649+24455+74855+32945.5+7885+4137+7700.5+1167+3301+2552+1706+950</f>
        <v>476247.5</v>
      </c>
      <c r="K121" s="17">
        <f>16534+11741+6112+3510+9606+4566+1219+550+1311+165+566+434+278+188</f>
        <v>56780</v>
      </c>
      <c r="L121" s="216">
        <f>+J121/K121</f>
        <v>8.387592462134554</v>
      </c>
      <c r="M121" s="420">
        <v>111</v>
      </c>
      <c r="N121" s="340"/>
    </row>
    <row r="122" spans="1:14" s="68" customFormat="1" ht="9.75" customHeight="1">
      <c r="A122" s="69">
        <v>112</v>
      </c>
      <c r="B122" s="198" t="s">
        <v>210</v>
      </c>
      <c r="C122" s="20"/>
      <c r="D122" s="677" t="s">
        <v>709</v>
      </c>
      <c r="E122" s="677" t="s">
        <v>628</v>
      </c>
      <c r="F122" s="22">
        <v>40697</v>
      </c>
      <c r="G122" s="345" t="s">
        <v>30</v>
      </c>
      <c r="H122" s="21">
        <v>71</v>
      </c>
      <c r="I122" s="21">
        <v>28</v>
      </c>
      <c r="J122" s="16">
        <f>204018.5+92011.75+38624.5+27400+22817+12697.5+8373+8455.5+6781+2290+2830+1048+3163+3005+2166+6840+1490+14+6415.5+3721.5+7267.5+3007+701.5+608.5+3931+316+1244+768</f>
        <v>472005.25</v>
      </c>
      <c r="K122" s="17">
        <f>20915+10991+4900+3855+3433+1986+1329+1415+1032+399+409+237+591+657+312+1653+293+7+1605+687+1458+678+106+95+900+62+202+109</f>
        <v>60316</v>
      </c>
      <c r="L122" s="216">
        <f>+J122/K122</f>
        <v>7.825539657802241</v>
      </c>
      <c r="M122" s="423">
        <v>112</v>
      </c>
      <c r="N122" s="340"/>
    </row>
    <row r="123" spans="1:14" s="68" customFormat="1" ht="9.75" customHeight="1">
      <c r="A123" s="69">
        <v>113</v>
      </c>
      <c r="B123" s="133" t="s">
        <v>637</v>
      </c>
      <c r="C123" s="20" t="s">
        <v>727</v>
      </c>
      <c r="D123" s="20"/>
      <c r="E123" s="20" t="s">
        <v>637</v>
      </c>
      <c r="F123" s="22">
        <v>40830</v>
      </c>
      <c r="G123" s="345" t="s">
        <v>28</v>
      </c>
      <c r="H123" s="21">
        <v>142</v>
      </c>
      <c r="I123" s="550">
        <v>9</v>
      </c>
      <c r="J123" s="18">
        <f>248732+139942.5+41015.5+4968+2270+1973+10279+6007+1097</f>
        <v>456284</v>
      </c>
      <c r="K123" s="19">
        <f>33636+19210+5940+800+378+422+1552+983+159</f>
        <v>63080</v>
      </c>
      <c r="L123" s="396">
        <f>J123/K123</f>
        <v>7.233417882054534</v>
      </c>
      <c r="M123" s="420">
        <v>113</v>
      </c>
      <c r="N123" s="340"/>
    </row>
    <row r="124" spans="1:14" s="68" customFormat="1" ht="9.75" customHeight="1">
      <c r="A124" s="69">
        <v>114</v>
      </c>
      <c r="B124" s="198" t="s">
        <v>382</v>
      </c>
      <c r="C124" s="20"/>
      <c r="D124" s="677" t="s">
        <v>740</v>
      </c>
      <c r="E124" s="677" t="s">
        <v>686</v>
      </c>
      <c r="F124" s="22">
        <v>40767</v>
      </c>
      <c r="G124" s="345" t="s">
        <v>30</v>
      </c>
      <c r="H124" s="21">
        <v>39</v>
      </c>
      <c r="I124" s="21">
        <v>16</v>
      </c>
      <c r="J124" s="16">
        <f>227782+93706+36180+21819+14718.5+11547.5+9757.5+8598+8681+8538+4936.5+48+662+5495+26+1437</f>
        <v>453932</v>
      </c>
      <c r="K124" s="17">
        <f>21125+9522+4298+2881+1947+1746+1401+1176+1202+1176+682+7+103+939+4+204</f>
        <v>48413</v>
      </c>
      <c r="L124" s="216">
        <f>+J124/K124</f>
        <v>9.376241918492967</v>
      </c>
      <c r="M124" s="420">
        <v>114</v>
      </c>
      <c r="N124" s="340"/>
    </row>
    <row r="125" spans="1:14" s="68" customFormat="1" ht="9.75" customHeight="1">
      <c r="A125" s="69">
        <v>115</v>
      </c>
      <c r="B125" s="150" t="s">
        <v>791</v>
      </c>
      <c r="C125" s="20" t="s">
        <v>792</v>
      </c>
      <c r="D125" s="137"/>
      <c r="E125" s="137" t="s">
        <v>791</v>
      </c>
      <c r="F125" s="22">
        <v>40886</v>
      </c>
      <c r="G125" s="345" t="s">
        <v>23</v>
      </c>
      <c r="H125" s="354">
        <v>161</v>
      </c>
      <c r="I125" s="21">
        <v>1</v>
      </c>
      <c r="J125" s="18">
        <v>442171</v>
      </c>
      <c r="K125" s="19">
        <v>51498</v>
      </c>
      <c r="L125" s="396">
        <f>J125/K125</f>
        <v>8.58617810400404</v>
      </c>
      <c r="M125" s="423">
        <v>115</v>
      </c>
      <c r="N125" s="340"/>
    </row>
    <row r="126" spans="1:14" s="68" customFormat="1" ht="9.75" customHeight="1">
      <c r="A126" s="69">
        <v>116</v>
      </c>
      <c r="B126" s="150" t="s">
        <v>770</v>
      </c>
      <c r="C126" s="20" t="s">
        <v>798</v>
      </c>
      <c r="D126" s="137" t="s">
        <v>799</v>
      </c>
      <c r="E126" s="137" t="s">
        <v>771</v>
      </c>
      <c r="F126" s="84">
        <v>40879</v>
      </c>
      <c r="G126" s="345" t="s">
        <v>23</v>
      </c>
      <c r="H126" s="354">
        <v>38</v>
      </c>
      <c r="I126" s="21">
        <v>2</v>
      </c>
      <c r="J126" s="18">
        <v>440101</v>
      </c>
      <c r="K126" s="19">
        <v>40365</v>
      </c>
      <c r="L126" s="396">
        <f>J126/K126</f>
        <v>10.903034807382634</v>
      </c>
      <c r="M126" s="420">
        <v>116</v>
      </c>
      <c r="N126" s="340"/>
    </row>
    <row r="127" spans="1:14" s="68" customFormat="1" ht="9.75" customHeight="1">
      <c r="A127" s="69">
        <v>117</v>
      </c>
      <c r="B127" s="332" t="s">
        <v>238</v>
      </c>
      <c r="C127" s="680"/>
      <c r="D127" s="680"/>
      <c r="E127" s="680" t="s">
        <v>542</v>
      </c>
      <c r="F127" s="143">
        <v>40634</v>
      </c>
      <c r="G127" s="347" t="s">
        <v>130</v>
      </c>
      <c r="H127" s="347">
        <v>36</v>
      </c>
      <c r="I127" s="347">
        <v>11</v>
      </c>
      <c r="J127" s="16">
        <f>246204.5+109370+33780.5+17153+1902+8321+3738+833+560+246+350</f>
        <v>422458</v>
      </c>
      <c r="K127" s="17">
        <f>18876+8155+2662+1743+244+979+452+94+110+39+35</f>
        <v>33389</v>
      </c>
      <c r="L127" s="216">
        <f>+J127/K127</f>
        <v>12.652610141064422</v>
      </c>
      <c r="M127" s="420">
        <v>117</v>
      </c>
      <c r="N127" s="340"/>
    </row>
    <row r="128" spans="1:14" s="68" customFormat="1" ht="9.75" customHeight="1">
      <c r="A128" s="69">
        <v>118</v>
      </c>
      <c r="B128" s="332" t="s">
        <v>51</v>
      </c>
      <c r="C128" s="680"/>
      <c r="D128" s="680"/>
      <c r="E128" s="680" t="s">
        <v>51</v>
      </c>
      <c r="F128" s="143">
        <v>40669</v>
      </c>
      <c r="G128" s="345" t="s">
        <v>30</v>
      </c>
      <c r="H128" s="21">
        <v>31</v>
      </c>
      <c r="I128" s="347">
        <v>16</v>
      </c>
      <c r="J128" s="16">
        <f>175019+105176.5+33821+39610.5+24959.5+21794.5+6227+4449+362+706+2230+1369.5+1342.5+950.5+240+2366</f>
        <v>420623.5</v>
      </c>
      <c r="K128" s="17">
        <f>19673+11998+4200+5352+3807+3790+1054+773+55+128+469+229+219+157+30+429</f>
        <v>52363</v>
      </c>
      <c r="L128" s="396">
        <f>J128/K128</f>
        <v>8.03283807268491</v>
      </c>
      <c r="M128" s="423">
        <v>118</v>
      </c>
      <c r="N128" s="340"/>
    </row>
    <row r="129" spans="1:14" s="68" customFormat="1" ht="9.75" customHeight="1">
      <c r="A129" s="69">
        <v>119</v>
      </c>
      <c r="B129" s="311" t="s">
        <v>700</v>
      </c>
      <c r="C129" s="682" t="s">
        <v>701</v>
      </c>
      <c r="D129" s="682"/>
      <c r="E129" s="682" t="s">
        <v>700</v>
      </c>
      <c r="F129" s="84">
        <v>40865</v>
      </c>
      <c r="G129" s="345" t="s">
        <v>21</v>
      </c>
      <c r="H129" s="354">
        <v>64</v>
      </c>
      <c r="I129" s="12">
        <v>4</v>
      </c>
      <c r="J129" s="562">
        <f>256046+137037.5+20115+5099</f>
        <v>418297.5</v>
      </c>
      <c r="K129" s="19">
        <f>25390+13650+2140+705</f>
        <v>41885</v>
      </c>
      <c r="L129" s="396">
        <f>J129/K129</f>
        <v>9.986809120210099</v>
      </c>
      <c r="M129" s="420">
        <v>119</v>
      </c>
      <c r="N129" s="340"/>
    </row>
    <row r="130" spans="1:14" s="68" customFormat="1" ht="9.75" customHeight="1">
      <c r="A130" s="69">
        <v>120</v>
      </c>
      <c r="B130" s="150" t="s">
        <v>417</v>
      </c>
      <c r="C130" s="137"/>
      <c r="D130" s="137"/>
      <c r="E130" s="137" t="s">
        <v>452</v>
      </c>
      <c r="F130" s="22">
        <v>40795</v>
      </c>
      <c r="G130" s="345" t="s">
        <v>23</v>
      </c>
      <c r="H130" s="21">
        <v>40</v>
      </c>
      <c r="I130" s="21">
        <v>8</v>
      </c>
      <c r="J130" s="18">
        <v>413728</v>
      </c>
      <c r="K130" s="19">
        <v>40771</v>
      </c>
      <c r="L130" s="396">
        <f>J130/K130</f>
        <v>10.147604915258395</v>
      </c>
      <c r="M130" s="420">
        <v>120</v>
      </c>
      <c r="N130" s="340"/>
    </row>
    <row r="131" spans="1:14" s="68" customFormat="1" ht="9.75" customHeight="1">
      <c r="A131" s="69">
        <v>121</v>
      </c>
      <c r="B131" s="311" t="s">
        <v>390</v>
      </c>
      <c r="C131" s="682"/>
      <c r="D131" s="682"/>
      <c r="E131" s="682" t="s">
        <v>453</v>
      </c>
      <c r="F131" s="22">
        <v>40774</v>
      </c>
      <c r="G131" s="345" t="s">
        <v>59</v>
      </c>
      <c r="H131" s="21">
        <v>25</v>
      </c>
      <c r="I131" s="21">
        <v>16</v>
      </c>
      <c r="J131" s="18">
        <v>399252</v>
      </c>
      <c r="K131" s="19">
        <v>38919</v>
      </c>
      <c r="L131" s="396">
        <f>+J131/K131</f>
        <v>10.258536961381331</v>
      </c>
      <c r="M131" s="423">
        <v>121</v>
      </c>
      <c r="N131" s="340"/>
    </row>
    <row r="132" spans="1:14" s="68" customFormat="1" ht="9.75" customHeight="1">
      <c r="A132" s="69">
        <v>122</v>
      </c>
      <c r="B132" s="709" t="s">
        <v>211</v>
      </c>
      <c r="C132" s="685"/>
      <c r="D132" s="685"/>
      <c r="E132" s="685" t="s">
        <v>543</v>
      </c>
      <c r="F132" s="22">
        <v>40697</v>
      </c>
      <c r="G132" s="344" t="s">
        <v>23</v>
      </c>
      <c r="H132" s="21">
        <v>20</v>
      </c>
      <c r="I132" s="21">
        <v>15</v>
      </c>
      <c r="J132" s="18">
        <v>394659</v>
      </c>
      <c r="K132" s="19">
        <v>41364</v>
      </c>
      <c r="L132" s="396">
        <f>+J132/K132</f>
        <v>9.5411227154047</v>
      </c>
      <c r="M132" s="420">
        <v>122</v>
      </c>
      <c r="N132" s="340"/>
    </row>
    <row r="133" spans="1:14" s="68" customFormat="1" ht="9.75" customHeight="1">
      <c r="A133" s="69">
        <v>123</v>
      </c>
      <c r="B133" s="311" t="s">
        <v>431</v>
      </c>
      <c r="C133" s="682"/>
      <c r="D133" s="682"/>
      <c r="E133" s="682" t="s">
        <v>444</v>
      </c>
      <c r="F133" s="84">
        <v>40809</v>
      </c>
      <c r="G133" s="345" t="s">
        <v>23</v>
      </c>
      <c r="H133" s="354">
        <v>53</v>
      </c>
      <c r="I133" s="21">
        <v>6</v>
      </c>
      <c r="J133" s="18">
        <v>392562</v>
      </c>
      <c r="K133" s="19">
        <v>34449</v>
      </c>
      <c r="L133" s="396">
        <f>J133/K133</f>
        <v>11.39545414961247</v>
      </c>
      <c r="M133" s="420">
        <v>123</v>
      </c>
      <c r="N133" s="340"/>
    </row>
    <row r="134" spans="1:14" s="68" customFormat="1" ht="9.75" customHeight="1">
      <c r="A134" s="69">
        <v>124</v>
      </c>
      <c r="B134" s="332" t="s">
        <v>213</v>
      </c>
      <c r="C134" s="680"/>
      <c r="D134" s="680"/>
      <c r="E134" s="680" t="s">
        <v>544</v>
      </c>
      <c r="F134" s="143">
        <v>40704</v>
      </c>
      <c r="G134" s="345" t="s">
        <v>30</v>
      </c>
      <c r="H134" s="21">
        <v>25</v>
      </c>
      <c r="I134" s="347">
        <v>14</v>
      </c>
      <c r="J134" s="16">
        <f>1507.5+116073+64240.5+36865+26116.5+23857.5+27298.75+30562+27213.5+14091+13059.5+5775+887+432+986</f>
        <v>388964.75</v>
      </c>
      <c r="K134" s="17">
        <f>73+10003+5758+3705+3172+2912+3100+4082+3485+1779+1512+765+131+60+151</f>
        <v>40688</v>
      </c>
      <c r="L134" s="216">
        <f>+J134/K134</f>
        <v>9.559692046795124</v>
      </c>
      <c r="M134" s="423">
        <v>124</v>
      </c>
      <c r="N134" s="340"/>
    </row>
    <row r="135" spans="1:14" s="68" customFormat="1" ht="9.75" customHeight="1">
      <c r="A135" s="69">
        <v>125</v>
      </c>
      <c r="B135" s="157" t="s">
        <v>638</v>
      </c>
      <c r="C135" s="20"/>
      <c r="D135" s="10"/>
      <c r="E135" s="10" t="s">
        <v>639</v>
      </c>
      <c r="F135" s="2">
        <v>40830</v>
      </c>
      <c r="G135" s="345" t="s">
        <v>8</v>
      </c>
      <c r="H135" s="14">
        <v>60</v>
      </c>
      <c r="I135" s="14">
        <v>7</v>
      </c>
      <c r="J135" s="16">
        <v>385212</v>
      </c>
      <c r="K135" s="17">
        <v>40150</v>
      </c>
      <c r="L135" s="216">
        <f>+J135/K135</f>
        <v>9.594321295143214</v>
      </c>
      <c r="M135" s="420">
        <v>125</v>
      </c>
      <c r="N135" s="340"/>
    </row>
    <row r="136" spans="1:14" s="68" customFormat="1" ht="9.75" customHeight="1">
      <c r="A136" s="69">
        <v>126</v>
      </c>
      <c r="B136" s="198" t="s">
        <v>49</v>
      </c>
      <c r="C136" s="677"/>
      <c r="D136" s="677"/>
      <c r="E136" s="677" t="s">
        <v>545</v>
      </c>
      <c r="F136" s="22">
        <v>40662</v>
      </c>
      <c r="G136" s="345" t="s">
        <v>30</v>
      </c>
      <c r="H136" s="21">
        <v>19</v>
      </c>
      <c r="I136" s="21">
        <v>22</v>
      </c>
      <c r="J136" s="16">
        <f>101742.25+50164.5+51750+9401+13450.5+18562.5+28682+16047.5+15912+8384+5213+12043+3980+9461+6303.5+6271+2673+6139.5+1849.5+1109+1307+722</f>
        <v>371167.75</v>
      </c>
      <c r="K136" s="17">
        <f>8064+3844+5093+985+1765+2797+3793+2133+2232+1161+795+1735+578+1201+748+718+399+835+292+171+327+184</f>
        <v>39850</v>
      </c>
      <c r="L136" s="396">
        <f>J136/K136</f>
        <v>9.314121706398996</v>
      </c>
      <c r="M136" s="420">
        <v>126</v>
      </c>
      <c r="N136" s="340"/>
    </row>
    <row r="137" spans="1:14" s="68" customFormat="1" ht="9.75" customHeight="1">
      <c r="A137" s="69">
        <v>127</v>
      </c>
      <c r="B137" s="198" t="s">
        <v>754</v>
      </c>
      <c r="C137" s="20" t="s">
        <v>755</v>
      </c>
      <c r="D137" s="85" t="s">
        <v>720</v>
      </c>
      <c r="E137" s="677" t="s">
        <v>756</v>
      </c>
      <c r="F137" s="22">
        <v>40872</v>
      </c>
      <c r="G137" s="345" t="s">
        <v>30</v>
      </c>
      <c r="H137" s="21">
        <v>20</v>
      </c>
      <c r="I137" s="21">
        <v>3</v>
      </c>
      <c r="J137" s="16">
        <f>176767+122916.5+61599.5</f>
        <v>361283</v>
      </c>
      <c r="K137" s="17">
        <f>14023+9525+5052</f>
        <v>28600</v>
      </c>
      <c r="L137" s="396">
        <f>J137/K137</f>
        <v>12.632272727272728</v>
      </c>
      <c r="M137" s="423">
        <v>127</v>
      </c>
      <c r="N137" s="340"/>
    </row>
    <row r="138" spans="1:14" s="68" customFormat="1" ht="9.75" customHeight="1">
      <c r="A138" s="69">
        <v>128</v>
      </c>
      <c r="B138" s="311" t="s">
        <v>793</v>
      </c>
      <c r="C138" s="20" t="s">
        <v>794</v>
      </c>
      <c r="D138" s="682"/>
      <c r="E138" s="682" t="s">
        <v>793</v>
      </c>
      <c r="F138" s="22">
        <v>40886</v>
      </c>
      <c r="G138" s="345" t="s">
        <v>134</v>
      </c>
      <c r="H138" s="21">
        <v>82</v>
      </c>
      <c r="I138" s="12">
        <v>1</v>
      </c>
      <c r="J138" s="199">
        <v>355013.5</v>
      </c>
      <c r="K138" s="201">
        <v>39664</v>
      </c>
      <c r="L138" s="396">
        <f>J138/K138</f>
        <v>8.950521883824123</v>
      </c>
      <c r="M138" s="420">
        <v>128</v>
      </c>
      <c r="N138" s="340"/>
    </row>
    <row r="139" spans="1:14" s="68" customFormat="1" ht="9.75" customHeight="1">
      <c r="A139" s="69">
        <v>129</v>
      </c>
      <c r="B139" s="157" t="s">
        <v>75</v>
      </c>
      <c r="C139" s="10"/>
      <c r="D139" s="10"/>
      <c r="E139" s="10" t="s">
        <v>546</v>
      </c>
      <c r="F139" s="84">
        <v>40585</v>
      </c>
      <c r="G139" s="346" t="s">
        <v>8</v>
      </c>
      <c r="H139" s="14">
        <v>41</v>
      </c>
      <c r="I139" s="14">
        <v>15</v>
      </c>
      <c r="J139" s="16">
        <v>348907</v>
      </c>
      <c r="K139" s="17">
        <v>29811</v>
      </c>
      <c r="L139" s="216">
        <f>+J139/K139</f>
        <v>11.703968333836503</v>
      </c>
      <c r="M139" s="420">
        <v>129</v>
      </c>
      <c r="N139" s="340"/>
    </row>
    <row r="140" spans="1:14" s="68" customFormat="1" ht="9.75" customHeight="1">
      <c r="A140" s="69">
        <v>130</v>
      </c>
      <c r="B140" s="157" t="s">
        <v>667</v>
      </c>
      <c r="C140" s="20" t="s">
        <v>764</v>
      </c>
      <c r="D140" s="10" t="s">
        <v>695</v>
      </c>
      <c r="E140" s="10" t="s">
        <v>668</v>
      </c>
      <c r="F140" s="2">
        <v>40844</v>
      </c>
      <c r="G140" s="345" t="s">
        <v>8</v>
      </c>
      <c r="H140" s="14">
        <v>29</v>
      </c>
      <c r="I140" s="14">
        <v>6</v>
      </c>
      <c r="J140" s="16">
        <v>342163</v>
      </c>
      <c r="K140" s="17">
        <v>27572</v>
      </c>
      <c r="L140" s="396">
        <f>J140/K140</f>
        <v>12.4097997968954</v>
      </c>
      <c r="M140" s="423">
        <v>130</v>
      </c>
      <c r="N140" s="340"/>
    </row>
    <row r="141" spans="1:14" s="68" customFormat="1" ht="9.75" customHeight="1">
      <c r="A141" s="69">
        <v>131</v>
      </c>
      <c r="B141" s="438" t="s">
        <v>547</v>
      </c>
      <c r="C141" s="284"/>
      <c r="D141" s="284"/>
      <c r="E141" s="284" t="s">
        <v>548</v>
      </c>
      <c r="F141" s="283">
        <v>40606</v>
      </c>
      <c r="G141" s="693" t="s">
        <v>23</v>
      </c>
      <c r="H141" s="694">
        <v>52</v>
      </c>
      <c r="I141" s="694">
        <v>5</v>
      </c>
      <c r="J141" s="695">
        <v>327940</v>
      </c>
      <c r="K141" s="689">
        <v>26292</v>
      </c>
      <c r="L141" s="713">
        <v>12.472995588011562</v>
      </c>
      <c r="M141" s="420">
        <v>131</v>
      </c>
      <c r="N141" s="340"/>
    </row>
    <row r="142" spans="1:14" s="68" customFormat="1" ht="9.75" customHeight="1">
      <c r="A142" s="69">
        <v>132</v>
      </c>
      <c r="B142" s="208" t="s">
        <v>41</v>
      </c>
      <c r="C142" s="85"/>
      <c r="D142" s="85"/>
      <c r="E142" s="85" t="s">
        <v>549</v>
      </c>
      <c r="F142" s="84">
        <v>40655</v>
      </c>
      <c r="G142" s="344" t="s">
        <v>59</v>
      </c>
      <c r="H142" s="21">
        <v>35</v>
      </c>
      <c r="I142" s="21">
        <v>15</v>
      </c>
      <c r="J142" s="18">
        <v>313689.5</v>
      </c>
      <c r="K142" s="19">
        <v>30914</v>
      </c>
      <c r="L142" s="216">
        <f aca="true" t="shared" si="2" ref="L142:L147">+J142/K142</f>
        <v>10.14716633240603</v>
      </c>
      <c r="M142" s="420">
        <v>132</v>
      </c>
      <c r="N142" s="340"/>
    </row>
    <row r="143" spans="1:14" s="68" customFormat="1" ht="9.75" customHeight="1">
      <c r="A143" s="69">
        <v>133</v>
      </c>
      <c r="B143" s="133" t="s">
        <v>650</v>
      </c>
      <c r="C143" s="20"/>
      <c r="D143" s="20"/>
      <c r="E143" s="20" t="s">
        <v>677</v>
      </c>
      <c r="F143" s="22">
        <v>40837</v>
      </c>
      <c r="G143" s="345" t="s">
        <v>28</v>
      </c>
      <c r="H143" s="21">
        <v>33</v>
      </c>
      <c r="I143" s="21">
        <v>4</v>
      </c>
      <c r="J143" s="18">
        <f>116619+101552+73709.5+15928.5-450</f>
        <v>307359</v>
      </c>
      <c r="K143" s="19">
        <f>8856+7606+5569+1092</f>
        <v>23123</v>
      </c>
      <c r="L143" s="216">
        <f t="shared" si="2"/>
        <v>13.2923496086148</v>
      </c>
      <c r="M143" s="423">
        <v>133</v>
      </c>
      <c r="N143" s="340"/>
    </row>
    <row r="144" spans="1:14" s="68" customFormat="1" ht="9.75" customHeight="1">
      <c r="A144" s="69">
        <v>134</v>
      </c>
      <c r="B144" s="332" t="s">
        <v>17</v>
      </c>
      <c r="C144" s="677"/>
      <c r="D144" s="85"/>
      <c r="E144" s="677" t="s">
        <v>17</v>
      </c>
      <c r="F144" s="143">
        <v>40613</v>
      </c>
      <c r="G144" s="345" t="s">
        <v>30</v>
      </c>
      <c r="H144" s="347">
        <v>25</v>
      </c>
      <c r="I144" s="347">
        <v>26</v>
      </c>
      <c r="J144" s="16">
        <f>75934+53479.5+29060+17465+26762+20460.5+20847+12710+19039+8622+2147+3636+459+653+4560+770+4752+402+297+502+464+1127+1384+88+276+1188</f>
        <v>307084</v>
      </c>
      <c r="K144" s="17">
        <f>9554+7103+4053+2490+4055+3124+3295+2389+2957+1767+459+626+92+107+609+124+1188+40+48+86+74+161+193+16+46+297</f>
        <v>44953</v>
      </c>
      <c r="L144" s="216">
        <f t="shared" si="2"/>
        <v>6.831223722554668</v>
      </c>
      <c r="M144" s="420">
        <v>134</v>
      </c>
      <c r="N144" s="340"/>
    </row>
    <row r="145" spans="1:14" s="68" customFormat="1" ht="9.75" customHeight="1">
      <c r="A145" s="69">
        <v>135</v>
      </c>
      <c r="B145" s="198" t="s">
        <v>447</v>
      </c>
      <c r="C145" s="20" t="s">
        <v>723</v>
      </c>
      <c r="D145" s="677" t="s">
        <v>720</v>
      </c>
      <c r="E145" s="677" t="s">
        <v>448</v>
      </c>
      <c r="F145" s="22">
        <v>40816</v>
      </c>
      <c r="G145" s="345" t="s">
        <v>30</v>
      </c>
      <c r="H145" s="21">
        <v>25</v>
      </c>
      <c r="I145" s="21">
        <v>11</v>
      </c>
      <c r="J145" s="16">
        <f>80510.5+53296+49611.5+29276.5+2781+46429+5648+1635+6908.5+15320.5+732</f>
        <v>292148.5</v>
      </c>
      <c r="K145" s="17">
        <f>8978+6079+6067+4144+482+6937+761+224+842+1960+107</f>
        <v>36581</v>
      </c>
      <c r="L145" s="216">
        <f t="shared" si="2"/>
        <v>7.986345370547552</v>
      </c>
      <c r="M145" s="420">
        <v>135</v>
      </c>
      <c r="N145" s="340"/>
    </row>
    <row r="146" spans="1:14" s="68" customFormat="1" ht="9.75" customHeight="1">
      <c r="A146" s="69">
        <v>136</v>
      </c>
      <c r="B146" s="311" t="s">
        <v>550</v>
      </c>
      <c r="C146" s="682"/>
      <c r="D146" s="682"/>
      <c r="E146" s="682" t="s">
        <v>454</v>
      </c>
      <c r="F146" s="84">
        <v>40802</v>
      </c>
      <c r="G146" s="345" t="s">
        <v>8</v>
      </c>
      <c r="H146" s="14">
        <v>70</v>
      </c>
      <c r="I146" s="14">
        <v>5</v>
      </c>
      <c r="J146" s="16">
        <v>288778</v>
      </c>
      <c r="K146" s="17">
        <v>23191</v>
      </c>
      <c r="L146" s="216">
        <f t="shared" si="2"/>
        <v>12.452158164805313</v>
      </c>
      <c r="M146" s="423">
        <v>136</v>
      </c>
      <c r="N146" s="340"/>
    </row>
    <row r="147" spans="1:14" s="68" customFormat="1" ht="9.75" customHeight="1">
      <c r="A147" s="69">
        <v>137</v>
      </c>
      <c r="B147" s="332" t="s">
        <v>32</v>
      </c>
      <c r="C147" s="680"/>
      <c r="D147" s="680"/>
      <c r="E147" s="680" t="s">
        <v>551</v>
      </c>
      <c r="F147" s="143">
        <v>40641</v>
      </c>
      <c r="G147" s="344" t="s">
        <v>30</v>
      </c>
      <c r="H147" s="347">
        <v>22</v>
      </c>
      <c r="I147" s="347">
        <v>20</v>
      </c>
      <c r="J147" s="16">
        <f>116634.25+59106.5+23134.5+13753.5+15970+8455.5+1576+1761+10125.5+2018+2376+1505+1606+4951.5+5289.5+5175+120+1367+4606+1218</f>
        <v>280748.75</v>
      </c>
      <c r="K147" s="17">
        <f>8833+4531+2274+1803+2249+1097+201+284+1149+305+594+210+182+582+643+704+20+163+464+300</f>
        <v>26588</v>
      </c>
      <c r="L147" s="396">
        <f t="shared" si="2"/>
        <v>10.55922784714909</v>
      </c>
      <c r="M147" s="420">
        <v>137</v>
      </c>
      <c r="N147" s="340"/>
    </row>
    <row r="148" spans="1:14" s="68" customFormat="1" ht="9.75" customHeight="1">
      <c r="A148" s="69">
        <v>138</v>
      </c>
      <c r="B148" s="150">
        <v>40</v>
      </c>
      <c r="C148" s="137"/>
      <c r="D148" s="137"/>
      <c r="E148" s="85">
        <v>40</v>
      </c>
      <c r="F148" s="22">
        <v>40739</v>
      </c>
      <c r="G148" s="345" t="s">
        <v>30</v>
      </c>
      <c r="H148" s="21">
        <v>46</v>
      </c>
      <c r="I148" s="21">
        <v>14</v>
      </c>
      <c r="J148" s="16">
        <f>100961+78170+39198.5+17146.5+15865+8654.5+7262+3071+1453+1755+2525+594+802+126</f>
        <v>277583.5</v>
      </c>
      <c r="K148" s="17">
        <f>10897+8433+4553+2347+2252+1187+1192+483+247+374+321+148+177+23</f>
        <v>32634</v>
      </c>
      <c r="L148" s="396">
        <f>J148/K148</f>
        <v>8.505960041674328</v>
      </c>
      <c r="M148" s="420">
        <v>138</v>
      </c>
      <c r="N148" s="340"/>
    </row>
    <row r="149" spans="1:14" s="68" customFormat="1" ht="9.75" customHeight="1">
      <c r="A149" s="69">
        <v>139</v>
      </c>
      <c r="B149" s="311" t="s">
        <v>403</v>
      </c>
      <c r="C149" s="20" t="s">
        <v>696</v>
      </c>
      <c r="D149" s="682" t="s">
        <v>697</v>
      </c>
      <c r="E149" s="682" t="s">
        <v>459</v>
      </c>
      <c r="F149" s="84">
        <v>40788</v>
      </c>
      <c r="G149" s="345" t="s">
        <v>10</v>
      </c>
      <c r="H149" s="21">
        <v>60</v>
      </c>
      <c r="I149" s="12">
        <v>10</v>
      </c>
      <c r="J149" s="16">
        <v>276610</v>
      </c>
      <c r="K149" s="17">
        <v>29821</v>
      </c>
      <c r="L149" s="396">
        <f>J149/K149</f>
        <v>9.275678213339592</v>
      </c>
      <c r="M149" s="423">
        <v>139</v>
      </c>
      <c r="N149" s="340"/>
    </row>
    <row r="150" spans="1:14" s="68" customFormat="1" ht="9.75" customHeight="1">
      <c r="A150" s="69">
        <v>140</v>
      </c>
      <c r="B150" s="133" t="s">
        <v>183</v>
      </c>
      <c r="C150" s="20"/>
      <c r="D150" s="20"/>
      <c r="E150" s="20" t="s">
        <v>552</v>
      </c>
      <c r="F150" s="22">
        <v>40599</v>
      </c>
      <c r="G150" s="183" t="s">
        <v>23</v>
      </c>
      <c r="H150" s="21">
        <v>30</v>
      </c>
      <c r="I150" s="21">
        <v>12</v>
      </c>
      <c r="J150" s="18">
        <v>273347</v>
      </c>
      <c r="K150" s="19">
        <v>22741</v>
      </c>
      <c r="L150" s="710">
        <f>+J150/K150</f>
        <v>12.020007915219207</v>
      </c>
      <c r="M150" s="420">
        <v>140</v>
      </c>
      <c r="N150" s="340"/>
    </row>
    <row r="151" spans="1:14" s="68" customFormat="1" ht="9.75" customHeight="1">
      <c r="A151" s="69">
        <v>141</v>
      </c>
      <c r="B151" s="133" t="s">
        <v>334</v>
      </c>
      <c r="C151" s="20"/>
      <c r="D151" s="20"/>
      <c r="E151" s="85" t="s">
        <v>483</v>
      </c>
      <c r="F151" s="84">
        <v>40732</v>
      </c>
      <c r="G151" s="345" t="s">
        <v>21</v>
      </c>
      <c r="H151" s="354">
        <v>23</v>
      </c>
      <c r="I151" s="12">
        <v>19</v>
      </c>
      <c r="J151" s="562">
        <f>63653+42613.5+25162+24678+27035+17664.5+29023+19302.5+8403+4014+3999+3151+1229+246+339+400+24+133+107</f>
        <v>271176.5</v>
      </c>
      <c r="K151" s="19">
        <f>5385+3679+2937+3272+3739+2418+3548+2625+1396+628+585+505+204+46+53+62+4+21+17</f>
        <v>31124</v>
      </c>
      <c r="L151" s="216">
        <f>+J151/K151</f>
        <v>8.712777920575762</v>
      </c>
      <c r="M151" s="420">
        <v>141</v>
      </c>
      <c r="N151" s="340"/>
    </row>
    <row r="152" spans="1:14" s="68" customFormat="1" ht="9.75" customHeight="1">
      <c r="A152" s="69">
        <v>142</v>
      </c>
      <c r="B152" s="198" t="s">
        <v>682</v>
      </c>
      <c r="C152" s="677" t="s">
        <v>707</v>
      </c>
      <c r="D152" s="677"/>
      <c r="E152" s="677" t="s">
        <v>682</v>
      </c>
      <c r="F152" s="22">
        <v>40858</v>
      </c>
      <c r="G152" s="345" t="s">
        <v>30</v>
      </c>
      <c r="H152" s="23">
        <v>32</v>
      </c>
      <c r="I152" s="23">
        <v>5</v>
      </c>
      <c r="J152" s="16">
        <f>119417+74006.5+30939.5+15734+16859.5</f>
        <v>256956.5</v>
      </c>
      <c r="K152" s="17">
        <f>12383+8559+4204+1986+2581</f>
        <v>29713</v>
      </c>
      <c r="L152" s="396">
        <f>J152/K152</f>
        <v>8.647948709319154</v>
      </c>
      <c r="M152" s="423">
        <v>142</v>
      </c>
      <c r="N152" s="340"/>
    </row>
    <row r="153" spans="1:14" s="68" customFormat="1" ht="9.75" customHeight="1">
      <c r="A153" s="69">
        <v>143</v>
      </c>
      <c r="B153" s="311" t="s">
        <v>42</v>
      </c>
      <c r="C153" s="682"/>
      <c r="D153" s="682"/>
      <c r="E153" s="682" t="s">
        <v>553</v>
      </c>
      <c r="F153" s="84">
        <v>40641</v>
      </c>
      <c r="G153" s="345" t="s">
        <v>67</v>
      </c>
      <c r="H153" s="88">
        <v>20</v>
      </c>
      <c r="I153" s="139">
        <v>12</v>
      </c>
      <c r="J153" s="16">
        <v>245782</v>
      </c>
      <c r="K153" s="17">
        <v>32811</v>
      </c>
      <c r="L153" s="216">
        <f>+J153/K153</f>
        <v>7.490841486086983</v>
      </c>
      <c r="M153" s="420">
        <v>143</v>
      </c>
      <c r="N153" s="340"/>
    </row>
    <row r="154" spans="1:14" s="68" customFormat="1" ht="9.75" customHeight="1">
      <c r="A154" s="69">
        <v>144</v>
      </c>
      <c r="B154" s="311" t="s">
        <v>795</v>
      </c>
      <c r="C154" s="20" t="s">
        <v>796</v>
      </c>
      <c r="D154" s="682" t="s">
        <v>697</v>
      </c>
      <c r="E154" s="682" t="s">
        <v>797</v>
      </c>
      <c r="F154" s="22">
        <v>40886</v>
      </c>
      <c r="G154" s="345" t="s">
        <v>10</v>
      </c>
      <c r="H154" s="23">
        <v>25</v>
      </c>
      <c r="I154" s="3">
        <v>1</v>
      </c>
      <c r="J154" s="16">
        <v>244999</v>
      </c>
      <c r="K154" s="17">
        <v>19169</v>
      </c>
      <c r="L154" s="396">
        <f>J154/K154</f>
        <v>12.781000573843185</v>
      </c>
      <c r="M154" s="420">
        <v>144</v>
      </c>
      <c r="N154" s="340"/>
    </row>
    <row r="155" spans="1:14" s="68" customFormat="1" ht="9.75" customHeight="1">
      <c r="A155" s="69">
        <v>145</v>
      </c>
      <c r="B155" s="714" t="s">
        <v>184</v>
      </c>
      <c r="C155" s="11"/>
      <c r="D155" s="11"/>
      <c r="E155" s="11" t="s">
        <v>554</v>
      </c>
      <c r="F155" s="2">
        <v>40543</v>
      </c>
      <c r="G155" s="15" t="s">
        <v>67</v>
      </c>
      <c r="H155" s="721" t="s">
        <v>185</v>
      </c>
      <c r="I155" s="721" t="s">
        <v>186</v>
      </c>
      <c r="J155" s="16">
        <v>241335</v>
      </c>
      <c r="K155" s="17">
        <v>20302</v>
      </c>
      <c r="L155" s="713">
        <f>+J155/K155</f>
        <v>11.88725248743966</v>
      </c>
      <c r="M155" s="423">
        <v>145</v>
      </c>
      <c r="N155" s="340"/>
    </row>
    <row r="156" spans="1:14" s="68" customFormat="1" ht="9.75" customHeight="1">
      <c r="A156" s="69">
        <v>146</v>
      </c>
      <c r="B156" s="311" t="s">
        <v>345</v>
      </c>
      <c r="C156" s="682"/>
      <c r="D156" s="682"/>
      <c r="E156" s="682" t="s">
        <v>477</v>
      </c>
      <c r="F156" s="84">
        <v>40725</v>
      </c>
      <c r="G156" s="345" t="s">
        <v>59</v>
      </c>
      <c r="H156" s="139">
        <v>18</v>
      </c>
      <c r="I156" s="23">
        <v>18</v>
      </c>
      <c r="J156" s="18">
        <v>241162</v>
      </c>
      <c r="K156" s="19">
        <v>26587</v>
      </c>
      <c r="L156" s="396">
        <f>+J156/K156</f>
        <v>9.070673637492007</v>
      </c>
      <c r="M156" s="420">
        <v>146</v>
      </c>
      <c r="N156" s="340"/>
    </row>
    <row r="157" spans="1:14" s="68" customFormat="1" ht="9.75" customHeight="1">
      <c r="A157" s="69">
        <v>147</v>
      </c>
      <c r="B157" s="157" t="s">
        <v>47</v>
      </c>
      <c r="C157" s="10"/>
      <c r="D157" s="10"/>
      <c r="E157" s="10" t="s">
        <v>555</v>
      </c>
      <c r="F157" s="84">
        <v>40662</v>
      </c>
      <c r="G157" s="346" t="s">
        <v>8</v>
      </c>
      <c r="H157" s="4">
        <v>68</v>
      </c>
      <c r="I157" s="4">
        <v>14</v>
      </c>
      <c r="J157" s="16">
        <v>240610</v>
      </c>
      <c r="K157" s="17">
        <v>29256</v>
      </c>
      <c r="L157" s="396">
        <f>J157/K157</f>
        <v>8.224295870932458</v>
      </c>
      <c r="M157" s="420">
        <v>147</v>
      </c>
      <c r="N157" s="340"/>
    </row>
    <row r="158" spans="1:14" s="68" customFormat="1" ht="9.75" customHeight="1">
      <c r="A158" s="69">
        <v>148</v>
      </c>
      <c r="B158" s="331" t="s">
        <v>556</v>
      </c>
      <c r="C158" s="678"/>
      <c r="D158" s="678"/>
      <c r="E158" s="678" t="s">
        <v>557</v>
      </c>
      <c r="F158" s="84">
        <v>40655</v>
      </c>
      <c r="G158" s="344" t="s">
        <v>30</v>
      </c>
      <c r="H158" s="21">
        <v>15</v>
      </c>
      <c r="I158" s="21">
        <v>20</v>
      </c>
      <c r="J158" s="16">
        <f>41594+16674.5+20041.5+21789.5+6150+7886+17173.5+27384+16704.5+16122.5+8157+5086+2378+11487+5687.5+2577+3287+518+1706+319</f>
        <v>232722.5</v>
      </c>
      <c r="K158" s="17">
        <f>4913+2342+2355+2524+869+1326+2610+3337+2297+2315+1175+747+414+1699+885+370+451+86+214+44</f>
        <v>30973</v>
      </c>
      <c r="L158" s="396">
        <f>+J158/K158</f>
        <v>7.5137216285151585</v>
      </c>
      <c r="M158" s="423">
        <v>148</v>
      </c>
      <c r="N158" s="340"/>
    </row>
    <row r="159" spans="1:14" s="68" customFormat="1" ht="9.75" customHeight="1">
      <c r="A159" s="69">
        <v>149</v>
      </c>
      <c r="B159" s="198" t="s">
        <v>228</v>
      </c>
      <c r="C159" s="677" t="s">
        <v>743</v>
      </c>
      <c r="D159" s="85" t="s">
        <v>709</v>
      </c>
      <c r="E159" s="677" t="s">
        <v>504</v>
      </c>
      <c r="F159" s="22">
        <v>40718</v>
      </c>
      <c r="G159" s="345" t="s">
        <v>30</v>
      </c>
      <c r="H159" s="21">
        <v>25</v>
      </c>
      <c r="I159" s="21">
        <v>15</v>
      </c>
      <c r="J159" s="16">
        <f>57373+29138.5+18608.5+18274+18081+33158.5+15047+12993+4041+3825+2818+2748+473+119+6415.5</f>
        <v>223113</v>
      </c>
      <c r="K159" s="17">
        <f>5353+2775+2460+2094+2184+3706+2068+1709+576+481+366+567+74+16+1605</f>
        <v>26034</v>
      </c>
      <c r="L159" s="396">
        <f>J159/K159</f>
        <v>8.570062226319429</v>
      </c>
      <c r="M159" s="420">
        <v>149</v>
      </c>
      <c r="N159" s="340"/>
    </row>
    <row r="160" spans="1:14" s="68" customFormat="1" ht="9.75" customHeight="1">
      <c r="A160" s="69">
        <v>150</v>
      </c>
      <c r="B160" s="709" t="s">
        <v>558</v>
      </c>
      <c r="C160" s="685"/>
      <c r="D160" s="685"/>
      <c r="E160" s="685" t="s">
        <v>559</v>
      </c>
      <c r="F160" s="84">
        <v>40606</v>
      </c>
      <c r="G160" s="344" t="s">
        <v>23</v>
      </c>
      <c r="H160" s="21">
        <v>35</v>
      </c>
      <c r="I160" s="21">
        <v>12</v>
      </c>
      <c r="J160" s="18">
        <v>219977</v>
      </c>
      <c r="K160" s="19">
        <v>22235</v>
      </c>
      <c r="L160" s="216">
        <f>+J160/K160</f>
        <v>9.893276366089498</v>
      </c>
      <c r="M160" s="420">
        <v>150</v>
      </c>
      <c r="N160" s="340"/>
    </row>
    <row r="161" spans="1:14" s="68" customFormat="1" ht="9.75" customHeight="1">
      <c r="A161" s="69">
        <v>151</v>
      </c>
      <c r="B161" s="150" t="s">
        <v>560</v>
      </c>
      <c r="C161" s="137"/>
      <c r="D161" s="137"/>
      <c r="E161" s="137" t="s">
        <v>481</v>
      </c>
      <c r="F161" s="22">
        <v>40697</v>
      </c>
      <c r="G161" s="345" t="s">
        <v>59</v>
      </c>
      <c r="H161" s="354">
        <v>15</v>
      </c>
      <c r="I161" s="21">
        <v>19</v>
      </c>
      <c r="J161" s="18">
        <v>219352.5</v>
      </c>
      <c r="K161" s="19">
        <v>28616</v>
      </c>
      <c r="L161" s="216">
        <f>+J161/K161</f>
        <v>7.665379507967571</v>
      </c>
      <c r="M161" s="423">
        <v>151</v>
      </c>
      <c r="N161" s="340"/>
    </row>
    <row r="162" spans="1:14" s="68" customFormat="1" ht="9.75" customHeight="1">
      <c r="A162" s="69">
        <v>152</v>
      </c>
      <c r="B162" s="133" t="s">
        <v>404</v>
      </c>
      <c r="C162" s="20" t="s">
        <v>810</v>
      </c>
      <c r="D162" s="20" t="s">
        <v>759</v>
      </c>
      <c r="E162" s="85" t="s">
        <v>470</v>
      </c>
      <c r="F162" s="84">
        <v>40760</v>
      </c>
      <c r="G162" s="345" t="s">
        <v>21</v>
      </c>
      <c r="H162" s="354">
        <v>50</v>
      </c>
      <c r="I162" s="12">
        <v>14</v>
      </c>
      <c r="J162" s="562">
        <f>67535+40656.5+19844+37179+18125.5+8409+4094.5+9234.5+2702+4742+2416+1318+342+198</f>
        <v>216796</v>
      </c>
      <c r="K162" s="19">
        <f>6900+4516+2977+4823+2464+1226+612+1455+430+728+372+211+57+33</f>
        <v>26804</v>
      </c>
      <c r="L162" s="216">
        <f>+J162/K162</f>
        <v>8.088195791672884</v>
      </c>
      <c r="M162" s="420">
        <v>152</v>
      </c>
      <c r="N162" s="340"/>
    </row>
    <row r="163" spans="1:14" s="68" customFormat="1" ht="9.75" customHeight="1">
      <c r="A163" s="69">
        <v>153</v>
      </c>
      <c r="B163" s="311" t="s">
        <v>561</v>
      </c>
      <c r="C163" s="20"/>
      <c r="D163" s="677" t="s">
        <v>740</v>
      </c>
      <c r="E163" s="677" t="s">
        <v>778</v>
      </c>
      <c r="F163" s="22">
        <v>40739</v>
      </c>
      <c r="G163" s="345" t="s">
        <v>30</v>
      </c>
      <c r="H163" s="21">
        <v>17</v>
      </c>
      <c r="I163" s="21">
        <v>18</v>
      </c>
      <c r="J163" s="16">
        <f>42541+25929.5+29063+12725.5+17698.5+26553.5+14176.5+9569.5+16711+7438+2494+2704.5+4533.5+1133+196+1782+939+414</f>
        <v>216602</v>
      </c>
      <c r="K163" s="17">
        <f>3864+2719+2642+1433+2106+3202+2032+1129+1888+1023+354+402+565+140+26+446+186+62</f>
        <v>24219</v>
      </c>
      <c r="L163" s="216">
        <f>+J163/K163</f>
        <v>8.94347413187993</v>
      </c>
      <c r="M163" s="420">
        <v>153</v>
      </c>
      <c r="N163" s="340"/>
    </row>
    <row r="164" spans="1:14" s="68" customFormat="1" ht="9.75" customHeight="1">
      <c r="A164" s="69">
        <v>154</v>
      </c>
      <c r="B164" s="332" t="s">
        <v>340</v>
      </c>
      <c r="C164" s="680"/>
      <c r="D164" s="680"/>
      <c r="E164" s="680" t="s">
        <v>340</v>
      </c>
      <c r="F164" s="143">
        <v>40543</v>
      </c>
      <c r="G164" s="344" t="s">
        <v>30</v>
      </c>
      <c r="H164" s="347">
        <v>77</v>
      </c>
      <c r="I164" s="347">
        <v>11</v>
      </c>
      <c r="J164" s="16">
        <f>163528+30551+13366.5+447+2034+736+438+615.5+1401.5+258+42</f>
        <v>213417.5</v>
      </c>
      <c r="K164" s="17">
        <f>16190+3500+1888+71+488+168+61+118+314+42+7</f>
        <v>22847</v>
      </c>
      <c r="L164" s="396">
        <f>+J164/K164</f>
        <v>9.341160765089509</v>
      </c>
      <c r="M164" s="423">
        <v>154</v>
      </c>
      <c r="N164" s="340"/>
    </row>
    <row r="165" spans="1:14" s="68" customFormat="1" ht="9.75" customHeight="1">
      <c r="A165" s="69">
        <v>155</v>
      </c>
      <c r="B165" s="311" t="s">
        <v>120</v>
      </c>
      <c r="C165" s="682" t="s">
        <v>811</v>
      </c>
      <c r="D165" s="682"/>
      <c r="E165" s="682" t="s">
        <v>120</v>
      </c>
      <c r="F165" s="22">
        <v>40613</v>
      </c>
      <c r="G165" s="345" t="s">
        <v>59</v>
      </c>
      <c r="H165" s="21">
        <v>25</v>
      </c>
      <c r="I165" s="21">
        <v>18</v>
      </c>
      <c r="J165" s="18">
        <v>210949.5</v>
      </c>
      <c r="K165" s="19">
        <v>28348</v>
      </c>
      <c r="L165" s="396">
        <f>J165/K165</f>
        <v>7.44142443911387</v>
      </c>
      <c r="M165" s="420">
        <v>155</v>
      </c>
      <c r="N165" s="340"/>
    </row>
    <row r="166" spans="1:14" s="68" customFormat="1" ht="9.75" customHeight="1">
      <c r="A166" s="69">
        <v>156</v>
      </c>
      <c r="B166" s="133" t="s">
        <v>450</v>
      </c>
      <c r="C166" s="20" t="s">
        <v>808</v>
      </c>
      <c r="D166" s="20"/>
      <c r="E166" s="20" t="s">
        <v>450</v>
      </c>
      <c r="F166" s="22">
        <v>40809</v>
      </c>
      <c r="G166" s="345" t="s">
        <v>28</v>
      </c>
      <c r="H166" s="21">
        <v>100</v>
      </c>
      <c r="I166" s="550">
        <v>7</v>
      </c>
      <c r="J166" s="18">
        <f>82571.5+83206+36155.5+6572.5+1130+270+599</f>
        <v>210504.5</v>
      </c>
      <c r="K166" s="19">
        <f>10644+10871+4961+959+182+54+69</f>
        <v>27740</v>
      </c>
      <c r="L166" s="216">
        <f>+J166/K166</f>
        <v>7.588482335976929</v>
      </c>
      <c r="M166" s="420">
        <v>156</v>
      </c>
      <c r="N166" s="340"/>
    </row>
    <row r="167" spans="1:14" s="68" customFormat="1" ht="9.75" customHeight="1">
      <c r="A167" s="69">
        <v>157</v>
      </c>
      <c r="B167" s="715" t="s">
        <v>187</v>
      </c>
      <c r="C167" s="696"/>
      <c r="D167" s="696"/>
      <c r="E167" s="696" t="s">
        <v>187</v>
      </c>
      <c r="F167" s="687">
        <v>40557</v>
      </c>
      <c r="G167" s="697" t="s">
        <v>8</v>
      </c>
      <c r="H167" s="698">
        <v>66</v>
      </c>
      <c r="I167" s="698">
        <v>8</v>
      </c>
      <c r="J167" s="16">
        <v>207906</v>
      </c>
      <c r="K167" s="17">
        <v>24812</v>
      </c>
      <c r="L167" s="713">
        <v>8.37925197485088</v>
      </c>
      <c r="M167" s="423">
        <v>157</v>
      </c>
      <c r="N167" s="340"/>
    </row>
    <row r="168" spans="1:14" s="68" customFormat="1" ht="9.75" customHeight="1">
      <c r="A168" s="69">
        <v>158</v>
      </c>
      <c r="B168" s="133" t="s">
        <v>371</v>
      </c>
      <c r="C168" s="20"/>
      <c r="D168" s="20"/>
      <c r="E168" s="20" t="s">
        <v>371</v>
      </c>
      <c r="F168" s="22">
        <v>40543</v>
      </c>
      <c r="G168" s="344" t="s">
        <v>23</v>
      </c>
      <c r="H168" s="21">
        <v>118</v>
      </c>
      <c r="I168" s="21">
        <v>31</v>
      </c>
      <c r="J168" s="18">
        <v>203048</v>
      </c>
      <c r="K168" s="19">
        <v>22699</v>
      </c>
      <c r="L168" s="396">
        <f aca="true" t="shared" si="3" ref="L168:L174">+J168/K168</f>
        <v>8.94523987840874</v>
      </c>
      <c r="M168" s="420">
        <v>158</v>
      </c>
      <c r="N168" s="340"/>
    </row>
    <row r="169" spans="1:14" s="68" customFormat="1" ht="9.75" customHeight="1">
      <c r="A169" s="69">
        <v>159</v>
      </c>
      <c r="B169" s="311" t="s">
        <v>375</v>
      </c>
      <c r="C169" s="682"/>
      <c r="D169" s="682"/>
      <c r="E169" s="682" t="s">
        <v>469</v>
      </c>
      <c r="F169" s="84">
        <v>40760</v>
      </c>
      <c r="G169" s="345" t="s">
        <v>8</v>
      </c>
      <c r="H169" s="14">
        <v>15</v>
      </c>
      <c r="I169" s="14">
        <v>12</v>
      </c>
      <c r="J169" s="16">
        <v>202477</v>
      </c>
      <c r="K169" s="17">
        <v>18595</v>
      </c>
      <c r="L169" s="216">
        <f t="shared" si="3"/>
        <v>10.88878730841624</v>
      </c>
      <c r="M169" s="420">
        <v>159</v>
      </c>
      <c r="N169" s="340"/>
    </row>
    <row r="170" spans="1:14" s="68" customFormat="1" ht="9.75" customHeight="1">
      <c r="A170" s="69">
        <v>160</v>
      </c>
      <c r="B170" s="157" t="s">
        <v>52</v>
      </c>
      <c r="C170" s="10"/>
      <c r="D170" s="10"/>
      <c r="E170" s="10" t="s">
        <v>562</v>
      </c>
      <c r="F170" s="84">
        <v>40669</v>
      </c>
      <c r="G170" s="346" t="s">
        <v>8</v>
      </c>
      <c r="H170" s="14">
        <v>20</v>
      </c>
      <c r="I170" s="14">
        <v>13</v>
      </c>
      <c r="J170" s="16">
        <v>201291</v>
      </c>
      <c r="K170" s="17">
        <v>19555</v>
      </c>
      <c r="L170" s="396">
        <f t="shared" si="3"/>
        <v>10.293582204039888</v>
      </c>
      <c r="M170" s="423">
        <v>160</v>
      </c>
      <c r="N170" s="340"/>
    </row>
    <row r="171" spans="1:14" s="68" customFormat="1" ht="9.75" customHeight="1">
      <c r="A171" s="69">
        <v>161</v>
      </c>
      <c r="B171" s="198" t="s">
        <v>125</v>
      </c>
      <c r="C171" s="677"/>
      <c r="D171" s="677"/>
      <c r="E171" s="677" t="s">
        <v>563</v>
      </c>
      <c r="F171" s="22">
        <v>40613</v>
      </c>
      <c r="G171" s="344" t="s">
        <v>30</v>
      </c>
      <c r="H171" s="21">
        <v>22</v>
      </c>
      <c r="I171" s="21">
        <v>17</v>
      </c>
      <c r="J171" s="16">
        <f>116753+45641.5+1507+3664+4533+723.5+456.5+2184+2545+520.5+610+1419+1872+2025.5+1249+6798+2626.5</f>
        <v>195128</v>
      </c>
      <c r="K171" s="17">
        <f>8727+3759+162+393+667+140+67+296+333+73+92+210+173+255+140+905+299</f>
        <v>16691</v>
      </c>
      <c r="L171" s="396">
        <f t="shared" si="3"/>
        <v>11.690611706907914</v>
      </c>
      <c r="M171" s="420">
        <v>161</v>
      </c>
      <c r="N171" s="340"/>
    </row>
    <row r="172" spans="1:14" s="68" customFormat="1" ht="9.75" customHeight="1">
      <c r="A172" s="69">
        <v>162</v>
      </c>
      <c r="B172" s="157" t="s">
        <v>63</v>
      </c>
      <c r="C172" s="10"/>
      <c r="D172" s="10"/>
      <c r="E172" s="10" t="s">
        <v>63</v>
      </c>
      <c r="F172" s="2">
        <v>40682</v>
      </c>
      <c r="G172" s="345" t="s">
        <v>21</v>
      </c>
      <c r="H172" s="14">
        <v>45</v>
      </c>
      <c r="I172" s="12">
        <v>20</v>
      </c>
      <c r="J172" s="562">
        <f>13185+73231+37777+23268.5+18693.5+7384+9469.5+1890+288+1214+2255+1460+319+820+582+314+459+443+377+268+228</f>
        <v>193925.5</v>
      </c>
      <c r="K172" s="19">
        <f>1138+8298+4612+3436+2782+1275+1363+239+41+242+308+191+51+120+81+52+75+71+61+43+38</f>
        <v>24517</v>
      </c>
      <c r="L172" s="216">
        <f t="shared" si="3"/>
        <v>7.909838071542195</v>
      </c>
      <c r="M172" s="420">
        <v>162</v>
      </c>
      <c r="N172" s="340"/>
    </row>
    <row r="173" spans="1:14" s="68" customFormat="1" ht="9.75" customHeight="1">
      <c r="A173" s="69">
        <v>163</v>
      </c>
      <c r="B173" s="311" t="s">
        <v>369</v>
      </c>
      <c r="C173" s="682"/>
      <c r="D173" s="682"/>
      <c r="E173" s="682" t="s">
        <v>564</v>
      </c>
      <c r="F173" s="84">
        <v>40655</v>
      </c>
      <c r="G173" s="346" t="s">
        <v>28</v>
      </c>
      <c r="H173" s="21">
        <v>25</v>
      </c>
      <c r="I173" s="21">
        <v>14</v>
      </c>
      <c r="J173" s="18">
        <f>94030+36665.5+19228.5+15274+9884.5+3195.5+2792+1795+3042.5+1500+1095+266+180+156</f>
        <v>189104.5</v>
      </c>
      <c r="K173" s="19">
        <f>8677+3579+2658+2286+1470+489+408+244+413+249+211+52+30+26</f>
        <v>20792</v>
      </c>
      <c r="L173" s="216">
        <f t="shared" si="3"/>
        <v>9.095060600230857</v>
      </c>
      <c r="M173" s="423">
        <v>163</v>
      </c>
      <c r="N173" s="340"/>
    </row>
    <row r="174" spans="1:14" s="68" customFormat="1" ht="9.75" customHeight="1">
      <c r="A174" s="69">
        <v>164</v>
      </c>
      <c r="B174" s="157" t="s">
        <v>188</v>
      </c>
      <c r="C174" s="10"/>
      <c r="D174" s="10"/>
      <c r="E174" s="10" t="s">
        <v>188</v>
      </c>
      <c r="F174" s="2">
        <v>40634</v>
      </c>
      <c r="G174" s="14" t="s">
        <v>134</v>
      </c>
      <c r="H174" s="14">
        <v>44</v>
      </c>
      <c r="I174" s="14">
        <v>7</v>
      </c>
      <c r="J174" s="199">
        <v>189001.75</v>
      </c>
      <c r="K174" s="201">
        <v>21097</v>
      </c>
      <c r="L174" s="713">
        <f t="shared" si="3"/>
        <v>8.95870265914585</v>
      </c>
      <c r="M174" s="420">
        <v>164</v>
      </c>
      <c r="N174" s="340"/>
    </row>
    <row r="175" spans="1:14" s="68" customFormat="1" ht="9.75" customHeight="1">
      <c r="A175" s="69">
        <v>165</v>
      </c>
      <c r="B175" s="150" t="s">
        <v>702</v>
      </c>
      <c r="C175" s="20" t="s">
        <v>703</v>
      </c>
      <c r="D175" s="137" t="s">
        <v>704</v>
      </c>
      <c r="E175" s="137" t="s">
        <v>705</v>
      </c>
      <c r="F175" s="84">
        <v>40865</v>
      </c>
      <c r="G175" s="345" t="s">
        <v>23</v>
      </c>
      <c r="H175" s="354">
        <v>25</v>
      </c>
      <c r="I175" s="21">
        <v>4</v>
      </c>
      <c r="J175" s="18">
        <v>188532</v>
      </c>
      <c r="K175" s="19">
        <v>14410</v>
      </c>
      <c r="L175" s="396">
        <f>J175/K175</f>
        <v>13.083414295628035</v>
      </c>
      <c r="M175" s="420">
        <v>165</v>
      </c>
      <c r="N175" s="340"/>
    </row>
    <row r="176" spans="1:14" s="68" customFormat="1" ht="9.75" customHeight="1">
      <c r="A176" s="69">
        <v>166</v>
      </c>
      <c r="B176" s="198" t="s">
        <v>62</v>
      </c>
      <c r="C176" s="677"/>
      <c r="D176" s="677"/>
      <c r="E176" s="677" t="s">
        <v>62</v>
      </c>
      <c r="F176" s="22">
        <v>40682</v>
      </c>
      <c r="G176" s="344" t="s">
        <v>30</v>
      </c>
      <c r="H176" s="21">
        <v>101</v>
      </c>
      <c r="I176" s="21">
        <v>11</v>
      </c>
      <c r="J176" s="16">
        <f>27003.5+85794+43816.5+12611.5+5021+2538+922+420+6989.5+224+445+1188</f>
        <v>186973</v>
      </c>
      <c r="K176" s="17">
        <f>3081+10215+5836+1972+779+451+155+94+1736+32+81+297</f>
        <v>24729</v>
      </c>
      <c r="L176" s="216">
        <f>+J176/K176</f>
        <v>7.560879938533706</v>
      </c>
      <c r="M176" s="423">
        <v>166</v>
      </c>
      <c r="N176" s="340"/>
    </row>
    <row r="177" spans="1:14" s="68" customFormat="1" ht="9.75" customHeight="1">
      <c r="A177" s="69">
        <v>167</v>
      </c>
      <c r="B177" s="311" t="s">
        <v>343</v>
      </c>
      <c r="C177" s="682"/>
      <c r="D177" s="682"/>
      <c r="E177" s="682" t="s">
        <v>565</v>
      </c>
      <c r="F177" s="84">
        <v>40725</v>
      </c>
      <c r="G177" s="344" t="s">
        <v>67</v>
      </c>
      <c r="H177" s="12">
        <v>32</v>
      </c>
      <c r="I177" s="354">
        <v>11</v>
      </c>
      <c r="J177" s="16">
        <v>184767</v>
      </c>
      <c r="K177" s="17">
        <v>21510</v>
      </c>
      <c r="L177" s="216">
        <f>+J177/K177</f>
        <v>8.589818688981868</v>
      </c>
      <c r="M177" s="420">
        <v>167</v>
      </c>
      <c r="N177" s="340"/>
    </row>
    <row r="178" spans="1:14" s="68" customFormat="1" ht="9.75" customHeight="1">
      <c r="A178" s="69">
        <v>168</v>
      </c>
      <c r="B178" s="133" t="s">
        <v>772</v>
      </c>
      <c r="C178" s="20" t="s">
        <v>800</v>
      </c>
      <c r="D178" s="20"/>
      <c r="E178" s="20" t="s">
        <v>772</v>
      </c>
      <c r="F178" s="22">
        <v>40879</v>
      </c>
      <c r="G178" s="345" t="s">
        <v>8</v>
      </c>
      <c r="H178" s="21">
        <v>39</v>
      </c>
      <c r="I178" s="14">
        <v>2</v>
      </c>
      <c r="J178" s="16">
        <v>184628</v>
      </c>
      <c r="K178" s="17">
        <v>19637</v>
      </c>
      <c r="L178" s="396">
        <f>J178/K178</f>
        <v>9.402047155879208</v>
      </c>
      <c r="M178" s="420">
        <v>168</v>
      </c>
      <c r="N178" s="340"/>
    </row>
    <row r="179" spans="1:14" s="68" customFormat="1" ht="9.75" customHeight="1">
      <c r="A179" s="69">
        <v>169</v>
      </c>
      <c r="B179" s="150" t="s">
        <v>335</v>
      </c>
      <c r="C179" s="137"/>
      <c r="D179" s="137"/>
      <c r="E179" s="137" t="s">
        <v>473</v>
      </c>
      <c r="F179" s="22">
        <v>40732</v>
      </c>
      <c r="G179" s="345" t="s">
        <v>59</v>
      </c>
      <c r="H179" s="354">
        <v>15</v>
      </c>
      <c r="I179" s="21">
        <v>14</v>
      </c>
      <c r="J179" s="18">
        <v>184428</v>
      </c>
      <c r="K179" s="19">
        <v>22627</v>
      </c>
      <c r="L179" s="216">
        <f>+J179/K179</f>
        <v>8.150793300039776</v>
      </c>
      <c r="M179" s="423">
        <v>169</v>
      </c>
      <c r="N179" s="340"/>
    </row>
    <row r="180" spans="1:14" s="68" customFormat="1" ht="9.75" customHeight="1">
      <c r="A180" s="69">
        <v>170</v>
      </c>
      <c r="B180" s="712" t="s">
        <v>408</v>
      </c>
      <c r="C180" s="690"/>
      <c r="D180" s="690"/>
      <c r="E180" s="690" t="s">
        <v>465</v>
      </c>
      <c r="F180" s="84">
        <v>40788</v>
      </c>
      <c r="G180" s="345" t="s">
        <v>23</v>
      </c>
      <c r="H180" s="354">
        <v>40</v>
      </c>
      <c r="I180" s="21">
        <v>6</v>
      </c>
      <c r="J180" s="18">
        <v>180591</v>
      </c>
      <c r="K180" s="19">
        <v>16640</v>
      </c>
      <c r="L180" s="396">
        <f>J180/K180</f>
        <v>10.852824519230769</v>
      </c>
      <c r="M180" s="420">
        <v>170</v>
      </c>
      <c r="N180" s="340"/>
    </row>
    <row r="181" spans="1:14" s="68" customFormat="1" ht="9.75" customHeight="1">
      <c r="A181" s="69">
        <v>171</v>
      </c>
      <c r="B181" s="157" t="s">
        <v>37</v>
      </c>
      <c r="C181" s="10"/>
      <c r="D181" s="10"/>
      <c r="E181" s="10" t="s">
        <v>566</v>
      </c>
      <c r="F181" s="84">
        <v>40648</v>
      </c>
      <c r="G181" s="346" t="s">
        <v>8</v>
      </c>
      <c r="H181" s="14">
        <v>10</v>
      </c>
      <c r="I181" s="14">
        <v>18</v>
      </c>
      <c r="J181" s="16">
        <v>178719</v>
      </c>
      <c r="K181" s="17">
        <v>17042</v>
      </c>
      <c r="L181" s="216">
        <f aca="true" t="shared" si="4" ref="L181:L187">+J181/K181</f>
        <v>10.48697335993428</v>
      </c>
      <c r="M181" s="420">
        <v>171</v>
      </c>
      <c r="N181" s="340"/>
    </row>
    <row r="182" spans="1:14" s="68" customFormat="1" ht="9.75" customHeight="1">
      <c r="A182" s="69">
        <v>172</v>
      </c>
      <c r="B182" s="198" t="s">
        <v>19</v>
      </c>
      <c r="C182" s="677"/>
      <c r="D182" s="677"/>
      <c r="E182" s="677" t="s">
        <v>19</v>
      </c>
      <c r="F182" s="22">
        <v>40620</v>
      </c>
      <c r="G182" s="344" t="s">
        <v>30</v>
      </c>
      <c r="H182" s="21">
        <v>18</v>
      </c>
      <c r="I182" s="21">
        <v>11</v>
      </c>
      <c r="J182" s="16">
        <f>39453.5+44225+30459.5+23462+13989+8982.5+6844+2370+4120+2588+1886</f>
        <v>178379.5</v>
      </c>
      <c r="K182" s="17">
        <f>5345+6302+4080+3427+1964+1106+1298+366+730+571+456</f>
        <v>25645</v>
      </c>
      <c r="L182" s="396">
        <f t="shared" si="4"/>
        <v>6.95572236303373</v>
      </c>
      <c r="M182" s="423">
        <v>172</v>
      </c>
      <c r="N182" s="340"/>
    </row>
    <row r="183" spans="1:14" s="68" customFormat="1" ht="9.75" customHeight="1">
      <c r="A183" s="69">
        <v>173</v>
      </c>
      <c r="B183" s="311" t="s">
        <v>642</v>
      </c>
      <c r="C183" s="682"/>
      <c r="D183" s="682"/>
      <c r="E183" s="682" t="s">
        <v>458</v>
      </c>
      <c r="F183" s="84">
        <v>40760</v>
      </c>
      <c r="G183" s="345" t="s">
        <v>59</v>
      </c>
      <c r="H183" s="354">
        <v>15</v>
      </c>
      <c r="I183" s="21">
        <v>13</v>
      </c>
      <c r="J183" s="18">
        <v>171676.5</v>
      </c>
      <c r="K183" s="19">
        <v>22501</v>
      </c>
      <c r="L183" s="396">
        <f t="shared" si="4"/>
        <v>7.629727567663659</v>
      </c>
      <c r="M183" s="420">
        <v>173</v>
      </c>
      <c r="N183" s="340"/>
    </row>
    <row r="184" spans="1:14" s="68" customFormat="1" ht="9.75" customHeight="1">
      <c r="A184" s="69">
        <v>174</v>
      </c>
      <c r="B184" s="709" t="s">
        <v>53</v>
      </c>
      <c r="C184" s="685"/>
      <c r="D184" s="685"/>
      <c r="E184" s="685" t="s">
        <v>53</v>
      </c>
      <c r="F184" s="84">
        <v>40669</v>
      </c>
      <c r="G184" s="344" t="s">
        <v>23</v>
      </c>
      <c r="H184" s="345">
        <v>71</v>
      </c>
      <c r="I184" s="21">
        <v>8</v>
      </c>
      <c r="J184" s="18">
        <v>168950</v>
      </c>
      <c r="K184" s="19">
        <v>18267</v>
      </c>
      <c r="L184" s="216">
        <f t="shared" si="4"/>
        <v>9.248918815350084</v>
      </c>
      <c r="M184" s="420">
        <v>174</v>
      </c>
      <c r="N184" s="340"/>
    </row>
    <row r="185" spans="1:14" s="68" customFormat="1" ht="9.75" customHeight="1">
      <c r="A185" s="69">
        <v>175</v>
      </c>
      <c r="B185" s="157" t="s">
        <v>362</v>
      </c>
      <c r="C185" s="10"/>
      <c r="D185" s="10"/>
      <c r="E185" s="10" t="s">
        <v>471</v>
      </c>
      <c r="F185" s="2">
        <v>40746</v>
      </c>
      <c r="G185" s="345" t="s">
        <v>21</v>
      </c>
      <c r="H185" s="14">
        <v>23</v>
      </c>
      <c r="I185" s="12">
        <v>15</v>
      </c>
      <c r="J185" s="562">
        <f>47685+27229.5+17697.5+18612+19593.5+16691+6089.5+2551.5+2254+4358+2609+1310+356+168+150</f>
        <v>167354.5</v>
      </c>
      <c r="K185" s="19">
        <f>4321+2419+2108+2430+2448+2072+892+397+346+639+377+205+49+24+23</f>
        <v>18750</v>
      </c>
      <c r="L185" s="216">
        <f t="shared" si="4"/>
        <v>8.925573333333332</v>
      </c>
      <c r="M185" s="423">
        <v>175</v>
      </c>
      <c r="N185" s="340"/>
    </row>
    <row r="186" spans="1:14" s="68" customFormat="1" ht="9.75" customHeight="1">
      <c r="A186" s="69">
        <v>176</v>
      </c>
      <c r="B186" s="198" t="s">
        <v>38</v>
      </c>
      <c r="C186" s="20" t="s">
        <v>742</v>
      </c>
      <c r="D186" s="677"/>
      <c r="E186" s="677" t="s">
        <v>38</v>
      </c>
      <c r="F186" s="22">
        <v>40648</v>
      </c>
      <c r="G186" s="345" t="s">
        <v>30</v>
      </c>
      <c r="H186" s="21">
        <v>28</v>
      </c>
      <c r="I186" s="21">
        <v>24</v>
      </c>
      <c r="J186" s="16">
        <f>67573+47761.5+14206.5+4949+3617+1080.5+492+714+1413.5+3743.5+735+1502.5+825+1147+1818+154+295+2263+179+160+3326.5+950.5+1782+1425.5</f>
        <v>162113.5</v>
      </c>
      <c r="K186" s="17">
        <f>6695+4901+2068+559+504+215+178+122+205+836+119+235+131+174+400+22+45+527+35+28+831+237+446+356</f>
        <v>19869</v>
      </c>
      <c r="L186" s="216">
        <f t="shared" si="4"/>
        <v>8.159117217776435</v>
      </c>
      <c r="M186" s="420">
        <v>176</v>
      </c>
      <c r="N186" s="340"/>
    </row>
    <row r="187" spans="1:14" s="68" customFormat="1" ht="9.75" customHeight="1">
      <c r="A187" s="69">
        <v>177</v>
      </c>
      <c r="B187" s="311" t="s">
        <v>207</v>
      </c>
      <c r="C187" s="682"/>
      <c r="D187" s="682"/>
      <c r="E187" s="682" t="s">
        <v>567</v>
      </c>
      <c r="F187" s="84">
        <v>40690</v>
      </c>
      <c r="G187" s="346" t="s">
        <v>28</v>
      </c>
      <c r="H187" s="21">
        <v>50</v>
      </c>
      <c r="I187" s="21">
        <v>11</v>
      </c>
      <c r="J187" s="18">
        <f>158493+654+221+564+90+36</f>
        <v>160058</v>
      </c>
      <c r="K187" s="19">
        <f>17460+97+38+91+15+6</f>
        <v>17707</v>
      </c>
      <c r="L187" s="216">
        <f t="shared" si="4"/>
        <v>9.03925001411871</v>
      </c>
      <c r="M187" s="420">
        <v>177</v>
      </c>
      <c r="N187" s="340"/>
    </row>
    <row r="188" spans="1:14" s="68" customFormat="1" ht="9.75" customHeight="1">
      <c r="A188" s="69">
        <v>178</v>
      </c>
      <c r="B188" s="150" t="s">
        <v>672</v>
      </c>
      <c r="C188" s="137"/>
      <c r="D188" s="137"/>
      <c r="E188" s="137" t="s">
        <v>506</v>
      </c>
      <c r="F188" s="22">
        <v>40725</v>
      </c>
      <c r="G188" s="345" t="s">
        <v>67</v>
      </c>
      <c r="H188" s="21">
        <v>10</v>
      </c>
      <c r="I188" s="21">
        <v>17</v>
      </c>
      <c r="J188" s="16">
        <v>151641</v>
      </c>
      <c r="K188" s="17">
        <v>18817</v>
      </c>
      <c r="L188" s="396">
        <f>J188/K188</f>
        <v>8.058723494712229</v>
      </c>
      <c r="M188" s="423">
        <v>178</v>
      </c>
      <c r="N188" s="340"/>
    </row>
    <row r="189" spans="1:14" s="68" customFormat="1" ht="9.75" customHeight="1">
      <c r="A189" s="69">
        <v>179</v>
      </c>
      <c r="B189" s="208" t="s">
        <v>54</v>
      </c>
      <c r="C189" s="85"/>
      <c r="D189" s="85"/>
      <c r="E189" s="85" t="s">
        <v>54</v>
      </c>
      <c r="F189" s="84">
        <v>40655</v>
      </c>
      <c r="G189" s="344" t="s">
        <v>28</v>
      </c>
      <c r="H189" s="21">
        <v>67</v>
      </c>
      <c r="I189" s="21">
        <v>11</v>
      </c>
      <c r="J189" s="18">
        <f>67248.5+45099.5+15076+5484+3476+6884.5+3289+1008+1347+56+29</f>
        <v>148997.5</v>
      </c>
      <c r="K189" s="19">
        <f>9201+6328+2377+887+535+1078+734+154+231+8+4</f>
        <v>21537</v>
      </c>
      <c r="L189" s="216">
        <f>+J189/K189</f>
        <v>6.9182105214282394</v>
      </c>
      <c r="M189" s="420">
        <v>179</v>
      </c>
      <c r="N189" s="340"/>
    </row>
    <row r="190" spans="1:14" s="68" customFormat="1" ht="9.75" customHeight="1">
      <c r="A190" s="69">
        <v>180</v>
      </c>
      <c r="B190" s="198" t="s">
        <v>658</v>
      </c>
      <c r="C190" s="20"/>
      <c r="D190" s="677" t="s">
        <v>740</v>
      </c>
      <c r="E190" s="677" t="s">
        <v>644</v>
      </c>
      <c r="F190" s="22">
        <v>40816</v>
      </c>
      <c r="G190" s="345" t="s">
        <v>30</v>
      </c>
      <c r="H190" s="21">
        <v>20</v>
      </c>
      <c r="I190" s="21">
        <v>9</v>
      </c>
      <c r="J190" s="16">
        <f>75142.5+52388.5+8679+971+3899.5+2877+58+4904+58</f>
        <v>148977.5</v>
      </c>
      <c r="K190" s="17">
        <f>6131+4590+666+86+328+725+26+1257+26</f>
        <v>13835</v>
      </c>
      <c r="L190" s="216">
        <f>+J190/K190</f>
        <v>10.768160462594867</v>
      </c>
      <c r="M190" s="420">
        <v>180</v>
      </c>
      <c r="N190" s="340"/>
    </row>
    <row r="191" spans="1:14" s="68" customFormat="1" ht="9.75" customHeight="1">
      <c r="A191" s="69">
        <v>181</v>
      </c>
      <c r="B191" s="157" t="s">
        <v>189</v>
      </c>
      <c r="C191" s="10"/>
      <c r="D191" s="10"/>
      <c r="E191" s="10" t="s">
        <v>189</v>
      </c>
      <c r="F191" s="2">
        <v>40592</v>
      </c>
      <c r="G191" s="15" t="s">
        <v>8</v>
      </c>
      <c r="H191" s="14">
        <v>68</v>
      </c>
      <c r="I191" s="14">
        <v>6</v>
      </c>
      <c r="J191" s="16">
        <v>148435</v>
      </c>
      <c r="K191" s="17">
        <v>15321</v>
      </c>
      <c r="L191" s="216">
        <f>+J191/K191</f>
        <v>9.688336270478429</v>
      </c>
      <c r="M191" s="423">
        <v>181</v>
      </c>
      <c r="N191" s="340"/>
    </row>
    <row r="192" spans="1:14" s="68" customFormat="1" ht="9.75" customHeight="1">
      <c r="A192" s="69">
        <v>182</v>
      </c>
      <c r="B192" s="157" t="s">
        <v>568</v>
      </c>
      <c r="C192" s="10"/>
      <c r="D192" s="10"/>
      <c r="E192" s="10" t="s">
        <v>472</v>
      </c>
      <c r="F192" s="84">
        <v>40767</v>
      </c>
      <c r="G192" s="345" t="s">
        <v>8</v>
      </c>
      <c r="H192" s="14">
        <v>35</v>
      </c>
      <c r="I192" s="14">
        <v>9</v>
      </c>
      <c r="J192" s="16">
        <v>146409</v>
      </c>
      <c r="K192" s="17">
        <v>16030</v>
      </c>
      <c r="L192" s="396">
        <f>J192/K192</f>
        <v>9.133437305053025</v>
      </c>
      <c r="M192" s="420">
        <v>182</v>
      </c>
      <c r="N192" s="340"/>
    </row>
    <row r="193" spans="1:14" s="68" customFormat="1" ht="9.75" customHeight="1">
      <c r="A193" s="69">
        <v>183</v>
      </c>
      <c r="B193" s="198" t="s">
        <v>190</v>
      </c>
      <c r="C193" s="677" t="s">
        <v>744</v>
      </c>
      <c r="D193" s="85" t="s">
        <v>740</v>
      </c>
      <c r="E193" s="677" t="s">
        <v>739</v>
      </c>
      <c r="F193" s="22">
        <v>40662</v>
      </c>
      <c r="G193" s="345" t="s">
        <v>30</v>
      </c>
      <c r="H193" s="21">
        <v>8</v>
      </c>
      <c r="I193" s="21">
        <v>7</v>
      </c>
      <c r="J193" s="16">
        <f>67674.75+46830+18110+1476+5524+1520+2851</f>
        <v>143985.75</v>
      </c>
      <c r="K193" s="17">
        <f>4668+3128+1120+94+406+135+715</f>
        <v>10266</v>
      </c>
      <c r="L193" s="396">
        <f>J193/K193</f>
        <v>14.025496785505553</v>
      </c>
      <c r="M193" s="420">
        <v>183</v>
      </c>
      <c r="N193" s="340"/>
    </row>
    <row r="194" spans="1:14" s="68" customFormat="1" ht="9.75" customHeight="1">
      <c r="A194" s="69">
        <v>184</v>
      </c>
      <c r="B194" s="311" t="s">
        <v>392</v>
      </c>
      <c r="C194" s="682" t="s">
        <v>721</v>
      </c>
      <c r="D194" s="682" t="s">
        <v>720</v>
      </c>
      <c r="E194" s="682" t="s">
        <v>460</v>
      </c>
      <c r="F194" s="22">
        <v>40774</v>
      </c>
      <c r="G194" s="345" t="s">
        <v>59</v>
      </c>
      <c r="H194" s="21">
        <v>7</v>
      </c>
      <c r="I194" s="21">
        <v>16</v>
      </c>
      <c r="J194" s="18">
        <v>138878</v>
      </c>
      <c r="K194" s="19">
        <v>17344</v>
      </c>
      <c r="L194" s="396">
        <f>+J194/K194</f>
        <v>8.007264760147601</v>
      </c>
      <c r="M194" s="423">
        <v>184</v>
      </c>
      <c r="N194" s="340"/>
    </row>
    <row r="195" spans="1:14" s="68" customFormat="1" ht="9.75" customHeight="1">
      <c r="A195" s="69">
        <v>185</v>
      </c>
      <c r="B195" s="198" t="s">
        <v>391</v>
      </c>
      <c r="C195" s="677"/>
      <c r="D195" s="677"/>
      <c r="E195" s="677" t="s">
        <v>464</v>
      </c>
      <c r="F195" s="22">
        <v>40774</v>
      </c>
      <c r="G195" s="345" t="s">
        <v>30</v>
      </c>
      <c r="H195" s="21">
        <v>25</v>
      </c>
      <c r="I195" s="21">
        <v>11</v>
      </c>
      <c r="J195" s="16">
        <f>71665+23168+6045+9867+5511.5+7115.5+3954.5+6872+2674+324+1001</f>
        <v>138197.5</v>
      </c>
      <c r="K195" s="17">
        <f>5766+2127+747+1564+727+1254+590+980+592+25+143</f>
        <v>14515</v>
      </c>
      <c r="L195" s="396">
        <f>J195/K195</f>
        <v>9.521012745435756</v>
      </c>
      <c r="M195" s="420">
        <v>185</v>
      </c>
      <c r="N195" s="340"/>
    </row>
    <row r="196" spans="1:14" s="68" customFormat="1" ht="9.75" customHeight="1">
      <c r="A196" s="69">
        <v>186</v>
      </c>
      <c r="B196" s="332" t="s">
        <v>569</v>
      </c>
      <c r="C196" s="680"/>
      <c r="D196" s="680"/>
      <c r="E196" s="680" t="s">
        <v>570</v>
      </c>
      <c r="F196" s="143">
        <v>40676</v>
      </c>
      <c r="G196" s="344" t="s">
        <v>30</v>
      </c>
      <c r="H196" s="347">
        <v>10</v>
      </c>
      <c r="I196" s="347">
        <v>18</v>
      </c>
      <c r="J196" s="16">
        <f>25538+8567.5+9964.5+12234+14938.5+9476+11986.5+8134.5+5758+8917.5+7919+5060.5+2172+2744.5+2803.5+532+234+96</f>
        <v>137076.5</v>
      </c>
      <c r="K196" s="17">
        <f>2653+1137+1115+1743+2142+1338+1216+1069+896+1180+1242+698+379+388+425+83+39+16</f>
        <v>17759</v>
      </c>
      <c r="L196" s="396">
        <f aca="true" t="shared" si="5" ref="L196:L203">+J196/K196</f>
        <v>7.718706008221184</v>
      </c>
      <c r="M196" s="420">
        <v>186</v>
      </c>
      <c r="N196" s="340"/>
    </row>
    <row r="197" spans="1:14" s="68" customFormat="1" ht="9.75" customHeight="1">
      <c r="A197" s="69">
        <v>187</v>
      </c>
      <c r="B197" s="711" t="s">
        <v>191</v>
      </c>
      <c r="C197" s="686"/>
      <c r="D197" s="686"/>
      <c r="E197" s="686" t="s">
        <v>571</v>
      </c>
      <c r="F197" s="687">
        <v>40634</v>
      </c>
      <c r="G197" s="688" t="s">
        <v>192</v>
      </c>
      <c r="H197" s="688">
        <v>1</v>
      </c>
      <c r="I197" s="688">
        <v>6</v>
      </c>
      <c r="J197" s="699">
        <v>128300</v>
      </c>
      <c r="K197" s="700">
        <v>14008</v>
      </c>
      <c r="L197" s="713">
        <f t="shared" si="5"/>
        <v>9.159051970302684</v>
      </c>
      <c r="M197" s="423">
        <v>187</v>
      </c>
      <c r="N197" s="340"/>
    </row>
    <row r="198" spans="1:14" s="68" customFormat="1" ht="9.75" customHeight="1">
      <c r="A198" s="69">
        <v>188</v>
      </c>
      <c r="B198" s="311" t="s">
        <v>356</v>
      </c>
      <c r="C198" s="682"/>
      <c r="D198" s="682"/>
      <c r="E198" s="682" t="s">
        <v>482</v>
      </c>
      <c r="F198" s="84">
        <v>40739</v>
      </c>
      <c r="G198" s="345" t="s">
        <v>59</v>
      </c>
      <c r="H198" s="345">
        <v>15</v>
      </c>
      <c r="I198" s="21">
        <v>12</v>
      </c>
      <c r="J198" s="18">
        <v>117482</v>
      </c>
      <c r="K198" s="19">
        <v>12921</v>
      </c>
      <c r="L198" s="216">
        <f t="shared" si="5"/>
        <v>9.0923303149911</v>
      </c>
      <c r="M198" s="420">
        <v>188</v>
      </c>
      <c r="N198" s="340"/>
    </row>
    <row r="199" spans="1:14" s="68" customFormat="1" ht="9.75" customHeight="1">
      <c r="A199" s="69">
        <v>189</v>
      </c>
      <c r="B199" s="208" t="s">
        <v>342</v>
      </c>
      <c r="C199" s="85"/>
      <c r="D199" s="85"/>
      <c r="E199" s="10" t="s">
        <v>497</v>
      </c>
      <c r="F199" s="2">
        <v>40704</v>
      </c>
      <c r="G199" s="345" t="s">
        <v>28</v>
      </c>
      <c r="H199" s="14">
        <v>25</v>
      </c>
      <c r="I199" s="21">
        <v>17</v>
      </c>
      <c r="J199" s="18">
        <f>43219+22056.5+14006+11048+8484+3910+2043+1766+1438.5+2339+1978+2019+1227+324+188+152+91</f>
        <v>116289</v>
      </c>
      <c r="K199" s="19">
        <f>5354+2999+1948+1502+1234+633+338+284+205+242+255+266+163+48+28+22+13</f>
        <v>15534</v>
      </c>
      <c r="L199" s="216">
        <f t="shared" si="5"/>
        <v>7.486095017381229</v>
      </c>
      <c r="M199" s="420">
        <v>189</v>
      </c>
      <c r="N199" s="340"/>
    </row>
    <row r="200" spans="1:14" s="68" customFormat="1" ht="9.75" customHeight="1">
      <c r="A200" s="69">
        <v>190</v>
      </c>
      <c r="B200" s="311" t="s">
        <v>64</v>
      </c>
      <c r="C200" s="682"/>
      <c r="D200" s="682"/>
      <c r="E200" s="682" t="s">
        <v>64</v>
      </c>
      <c r="F200" s="84">
        <v>40683</v>
      </c>
      <c r="G200" s="345" t="s">
        <v>59</v>
      </c>
      <c r="H200" s="354">
        <v>33</v>
      </c>
      <c r="I200" s="21">
        <v>17</v>
      </c>
      <c r="J200" s="18">
        <v>115381.25</v>
      </c>
      <c r="K200" s="19">
        <v>14198</v>
      </c>
      <c r="L200" s="396">
        <f t="shared" si="5"/>
        <v>8.126584730243696</v>
      </c>
      <c r="M200" s="423">
        <v>190</v>
      </c>
      <c r="N200" s="340"/>
    </row>
    <row r="201" spans="1:14" s="68" customFormat="1" ht="9.75" customHeight="1">
      <c r="A201" s="69">
        <v>191</v>
      </c>
      <c r="B201" s="208" t="s">
        <v>572</v>
      </c>
      <c r="C201" s="85"/>
      <c r="D201" s="85"/>
      <c r="E201" s="85" t="s">
        <v>573</v>
      </c>
      <c r="F201" s="84">
        <v>40676</v>
      </c>
      <c r="G201" s="344" t="s">
        <v>59</v>
      </c>
      <c r="H201" s="21">
        <v>15</v>
      </c>
      <c r="I201" s="21">
        <v>15</v>
      </c>
      <c r="J201" s="18">
        <v>111384.75</v>
      </c>
      <c r="K201" s="19">
        <v>10340</v>
      </c>
      <c r="L201" s="216">
        <f t="shared" si="5"/>
        <v>10.772219535783366</v>
      </c>
      <c r="M201" s="420">
        <v>191</v>
      </c>
      <c r="N201" s="340"/>
    </row>
    <row r="202" spans="1:14" s="68" customFormat="1" ht="9.75" customHeight="1">
      <c r="A202" s="69">
        <v>192</v>
      </c>
      <c r="B202" s="198" t="s">
        <v>242</v>
      </c>
      <c r="C202" s="677"/>
      <c r="D202" s="677"/>
      <c r="E202" s="677" t="s">
        <v>505</v>
      </c>
      <c r="F202" s="22">
        <v>40725</v>
      </c>
      <c r="G202" s="345" t="s">
        <v>30</v>
      </c>
      <c r="H202" s="21">
        <v>6</v>
      </c>
      <c r="I202" s="21">
        <v>17</v>
      </c>
      <c r="J202" s="16">
        <f>16465+9500+5645+13030+10398+11692+7410.5+2355+7761+5462+3973.5+3146+3115.5+585+5455+2365+459</f>
        <v>108817.5</v>
      </c>
      <c r="K202" s="17">
        <f>1904+1204+844+1431+1183+1312+852+328+971+757+559+444+457+89+674+401+89</f>
        <v>13499</v>
      </c>
      <c r="L202" s="216">
        <f t="shared" si="5"/>
        <v>8.061152677976146</v>
      </c>
      <c r="M202" s="420">
        <v>192</v>
      </c>
      <c r="N202" s="340"/>
    </row>
    <row r="203" spans="1:14" s="68" customFormat="1" ht="9.75" customHeight="1">
      <c r="A203" s="69">
        <v>193</v>
      </c>
      <c r="B203" s="133" t="s">
        <v>222</v>
      </c>
      <c r="C203" s="20"/>
      <c r="D203" s="20"/>
      <c r="E203" s="20" t="s">
        <v>574</v>
      </c>
      <c r="F203" s="22">
        <v>40711</v>
      </c>
      <c r="G203" s="344" t="s">
        <v>59</v>
      </c>
      <c r="H203" s="21">
        <v>10</v>
      </c>
      <c r="I203" s="21">
        <v>13</v>
      </c>
      <c r="J203" s="18">
        <v>107985.5</v>
      </c>
      <c r="K203" s="19">
        <v>12346</v>
      </c>
      <c r="L203" s="396">
        <f t="shared" si="5"/>
        <v>8.7465980884497</v>
      </c>
      <c r="M203" s="423">
        <v>193</v>
      </c>
      <c r="N203" s="340"/>
    </row>
    <row r="204" spans="1:14" s="68" customFormat="1" ht="9.75" customHeight="1">
      <c r="A204" s="69">
        <v>194</v>
      </c>
      <c r="B204" s="133" t="s">
        <v>193</v>
      </c>
      <c r="C204" s="20"/>
      <c r="D204" s="20"/>
      <c r="E204" s="20" t="s">
        <v>575</v>
      </c>
      <c r="F204" s="22">
        <v>40557</v>
      </c>
      <c r="G204" s="21" t="s">
        <v>59</v>
      </c>
      <c r="H204" s="21">
        <v>7</v>
      </c>
      <c r="I204" s="21">
        <v>13</v>
      </c>
      <c r="J204" s="18">
        <v>106233</v>
      </c>
      <c r="K204" s="19">
        <v>8418</v>
      </c>
      <c r="L204" s="710">
        <f>J204/K204</f>
        <v>12.619743406985032</v>
      </c>
      <c r="M204" s="420">
        <v>194</v>
      </c>
      <c r="N204" s="340"/>
    </row>
    <row r="205" spans="1:14" s="68" customFormat="1" ht="9.75" customHeight="1">
      <c r="A205" s="69">
        <v>195</v>
      </c>
      <c r="B205" s="311" t="s">
        <v>66</v>
      </c>
      <c r="C205" s="682"/>
      <c r="D205" s="682"/>
      <c r="E205" s="682" t="s">
        <v>576</v>
      </c>
      <c r="F205" s="84">
        <v>40683</v>
      </c>
      <c r="G205" s="345" t="s">
        <v>67</v>
      </c>
      <c r="H205" s="345">
        <v>10</v>
      </c>
      <c r="I205" s="354">
        <v>12</v>
      </c>
      <c r="J205" s="16">
        <v>103579</v>
      </c>
      <c r="K205" s="17">
        <v>12626</v>
      </c>
      <c r="L205" s="396">
        <f>J205/K205</f>
        <v>8.203627435450658</v>
      </c>
      <c r="M205" s="420">
        <v>195</v>
      </c>
      <c r="N205" s="340"/>
    </row>
    <row r="206" spans="1:14" s="68" customFormat="1" ht="9.75" customHeight="1">
      <c r="A206" s="69">
        <v>196</v>
      </c>
      <c r="B206" s="198" t="s">
        <v>122</v>
      </c>
      <c r="C206" s="677"/>
      <c r="D206" s="677"/>
      <c r="E206" s="677" t="s">
        <v>539</v>
      </c>
      <c r="F206" s="22">
        <v>40627</v>
      </c>
      <c r="G206" s="344" t="s">
        <v>30</v>
      </c>
      <c r="H206" s="21">
        <v>28</v>
      </c>
      <c r="I206" s="21">
        <v>19</v>
      </c>
      <c r="J206" s="16">
        <f>43236.5+18123.5+2183+2517+14418.5+7091+2412+1549+490+210+952+2955+475+189+1225.5+4251.5+245+646+111</f>
        <v>103280.5</v>
      </c>
      <c r="K206" s="17">
        <f>4478+2475+287+545+1573+1026+361+242+70+30+145+654+78+27+178+568+31+97+19</f>
        <v>12884</v>
      </c>
      <c r="L206" s="216">
        <f>+J206/K206</f>
        <v>8.016182862465072</v>
      </c>
      <c r="M206" s="423">
        <v>196</v>
      </c>
      <c r="N206" s="340"/>
    </row>
    <row r="207" spans="1:14" s="68" customFormat="1" ht="9.75" customHeight="1">
      <c r="A207" s="69">
        <v>197</v>
      </c>
      <c r="B207" s="150" t="s">
        <v>580</v>
      </c>
      <c r="C207" s="137"/>
      <c r="D207" s="137"/>
      <c r="E207" s="137" t="s">
        <v>467</v>
      </c>
      <c r="F207" s="22">
        <v>40753</v>
      </c>
      <c r="G207" s="345" t="s">
        <v>30</v>
      </c>
      <c r="H207" s="354">
        <v>13</v>
      </c>
      <c r="I207" s="21">
        <v>13</v>
      </c>
      <c r="J207" s="16">
        <f>37355+12427+7492+8213.5+4676+5757+7050+1356+2892.5+6045+5978+639+919</f>
        <v>100800</v>
      </c>
      <c r="K207" s="17">
        <f>3112+1234+925+858+645+791+1079+205+381+739+757+85+126</f>
        <v>10937</v>
      </c>
      <c r="L207" s="216">
        <f>+J207/K207</f>
        <v>9.216421322117583</v>
      </c>
      <c r="M207" s="420">
        <v>197</v>
      </c>
      <c r="N207" s="340"/>
    </row>
    <row r="208" spans="1:14" s="68" customFormat="1" ht="9.75" customHeight="1">
      <c r="A208" s="69">
        <v>198</v>
      </c>
      <c r="B208" s="185" t="s">
        <v>194</v>
      </c>
      <c r="C208" s="681"/>
      <c r="D208" s="681"/>
      <c r="E208" s="681" t="s">
        <v>194</v>
      </c>
      <c r="F208" s="2">
        <v>40543</v>
      </c>
      <c r="G208" s="344" t="s">
        <v>21</v>
      </c>
      <c r="H208" s="12">
        <v>20</v>
      </c>
      <c r="I208" s="12">
        <v>14</v>
      </c>
      <c r="J208" s="562">
        <f>66843.5+17122+2473.5+3354+459+3105+2586+96+1107+715+177+672.5+455+1188</f>
        <v>100353.5</v>
      </c>
      <c r="K208" s="19">
        <f>6779+1684+271+528+66+413+401+16+171+108+29+104+65+238</f>
        <v>10873</v>
      </c>
      <c r="L208" s="216">
        <f>+J208/K208</f>
        <v>9.229605444679482</v>
      </c>
      <c r="M208" s="420">
        <v>198</v>
      </c>
      <c r="N208" s="340"/>
    </row>
    <row r="209" spans="1:14" s="68" customFormat="1" ht="9.75" customHeight="1">
      <c r="A209" s="69">
        <v>199</v>
      </c>
      <c r="B209" s="150" t="s">
        <v>196</v>
      </c>
      <c r="C209" s="137"/>
      <c r="D209" s="137"/>
      <c r="E209" s="137" t="s">
        <v>577</v>
      </c>
      <c r="F209" s="22">
        <v>40620</v>
      </c>
      <c r="G209" s="345" t="s">
        <v>133</v>
      </c>
      <c r="H209" s="354">
        <v>15</v>
      </c>
      <c r="I209" s="21">
        <v>14</v>
      </c>
      <c r="J209" s="691">
        <v>96784</v>
      </c>
      <c r="K209" s="692">
        <v>7895</v>
      </c>
      <c r="L209" s="216">
        <f>+J209/K209</f>
        <v>12.25889803673211</v>
      </c>
      <c r="M209" s="423">
        <v>199</v>
      </c>
      <c r="N209" s="340"/>
    </row>
    <row r="210" spans="1:14" s="68" customFormat="1" ht="9.75" customHeight="1">
      <c r="A210" s="69">
        <v>200</v>
      </c>
      <c r="B210" s="198" t="s">
        <v>344</v>
      </c>
      <c r="C210" s="20" t="s">
        <v>716</v>
      </c>
      <c r="D210" s="85" t="s">
        <v>717</v>
      </c>
      <c r="E210" s="677" t="s">
        <v>579</v>
      </c>
      <c r="F210" s="22">
        <v>40655</v>
      </c>
      <c r="G210" s="345" t="s">
        <v>74</v>
      </c>
      <c r="H210" s="14">
        <v>10</v>
      </c>
      <c r="I210" s="14">
        <v>12</v>
      </c>
      <c r="J210" s="16">
        <v>96145.5</v>
      </c>
      <c r="K210" s="17">
        <v>9111</v>
      </c>
      <c r="L210" s="396">
        <f>J210/K210</f>
        <v>10.55268356931182</v>
      </c>
      <c r="M210" s="420">
        <v>200</v>
      </c>
      <c r="N210" s="340"/>
    </row>
    <row r="211" spans="1:14" s="68" customFormat="1" ht="9.75" customHeight="1">
      <c r="A211" s="69">
        <v>201</v>
      </c>
      <c r="B211" s="332" t="s">
        <v>221</v>
      </c>
      <c r="C211" s="680"/>
      <c r="D211" s="680"/>
      <c r="E211" s="680" t="s">
        <v>578</v>
      </c>
      <c r="F211" s="143">
        <v>40711</v>
      </c>
      <c r="G211" s="344" t="s">
        <v>30</v>
      </c>
      <c r="H211" s="347">
        <v>35</v>
      </c>
      <c r="I211" s="347">
        <v>12</v>
      </c>
      <c r="J211" s="16">
        <f>42716+18359+6954+4671+7219+4213.5+7453.5+115+391+1782+1095.5+151</f>
        <v>95120.5</v>
      </c>
      <c r="K211" s="17">
        <f>3820+1772+995+686+1245+656+919+17+55+446+120+21</f>
        <v>10752</v>
      </c>
      <c r="L211" s="396">
        <f>+J211/K211</f>
        <v>8.846772693452381</v>
      </c>
      <c r="M211" s="420">
        <v>201</v>
      </c>
      <c r="N211" s="340"/>
    </row>
    <row r="212" spans="1:14" s="68" customFormat="1" ht="9.75" customHeight="1">
      <c r="A212" s="69">
        <v>202</v>
      </c>
      <c r="B212" s="353" t="s">
        <v>195</v>
      </c>
      <c r="C212" s="683"/>
      <c r="D212" s="683"/>
      <c r="E212" s="683" t="s">
        <v>581</v>
      </c>
      <c r="F212" s="143">
        <v>40564</v>
      </c>
      <c r="G212" s="344" t="s">
        <v>30</v>
      </c>
      <c r="H212" s="347">
        <v>13</v>
      </c>
      <c r="I212" s="347">
        <v>10</v>
      </c>
      <c r="J212" s="16">
        <f>64028+21223+629+205+489+141+1188+2376+335+485</f>
        <v>91099</v>
      </c>
      <c r="K212" s="17">
        <f>5321+1577+38+24+63+17+297+594+36+47</f>
        <v>8014</v>
      </c>
      <c r="L212" s="396">
        <f>J212/K212</f>
        <v>11.36748190666334</v>
      </c>
      <c r="M212" s="423">
        <v>202</v>
      </c>
      <c r="N212" s="340"/>
    </row>
    <row r="213" spans="1:14" s="68" customFormat="1" ht="9.75" customHeight="1">
      <c r="A213" s="69">
        <v>203</v>
      </c>
      <c r="B213" s="198" t="s">
        <v>363</v>
      </c>
      <c r="C213" s="20" t="s">
        <v>822</v>
      </c>
      <c r="D213" s="677" t="s">
        <v>709</v>
      </c>
      <c r="E213" s="677" t="s">
        <v>486</v>
      </c>
      <c r="F213" s="22">
        <v>40746</v>
      </c>
      <c r="G213" s="345" t="s">
        <v>30</v>
      </c>
      <c r="H213" s="21">
        <v>8</v>
      </c>
      <c r="I213" s="21">
        <v>11</v>
      </c>
      <c r="J213" s="16">
        <f>34995.5+29767+4050+6340+3008.5+4152+1152+3132.5+792+962+1663</f>
        <v>90014.5</v>
      </c>
      <c r="K213" s="17">
        <f>2476+2114+377+695+481+799+155+438+105+135+416</f>
        <v>8191</v>
      </c>
      <c r="L213" s="216">
        <f aca="true" t="shared" si="6" ref="L213:L218">+J213/K213</f>
        <v>10.989439628860945</v>
      </c>
      <c r="M213" s="420">
        <v>203</v>
      </c>
      <c r="N213" s="340"/>
    </row>
    <row r="214" spans="1:14" s="68" customFormat="1" ht="9.75" customHeight="1">
      <c r="A214" s="69">
        <v>204</v>
      </c>
      <c r="B214" s="208" t="s">
        <v>360</v>
      </c>
      <c r="C214" s="85"/>
      <c r="D214" s="85"/>
      <c r="E214" s="85" t="s">
        <v>582</v>
      </c>
      <c r="F214" s="84">
        <v>40690</v>
      </c>
      <c r="G214" s="344" t="s">
        <v>59</v>
      </c>
      <c r="H214" s="21">
        <v>17</v>
      </c>
      <c r="I214" s="21">
        <v>12</v>
      </c>
      <c r="J214" s="18">
        <v>87318.5</v>
      </c>
      <c r="K214" s="19">
        <v>10837</v>
      </c>
      <c r="L214" s="396">
        <f t="shared" si="6"/>
        <v>8.057442096521177</v>
      </c>
      <c r="M214" s="420">
        <v>204</v>
      </c>
      <c r="N214" s="340"/>
    </row>
    <row r="215" spans="1:14" s="68" customFormat="1" ht="9.75" customHeight="1">
      <c r="A215" s="69">
        <v>205</v>
      </c>
      <c r="B215" s="133" t="s">
        <v>675</v>
      </c>
      <c r="C215" s="20" t="s">
        <v>728</v>
      </c>
      <c r="D215" s="20" t="s">
        <v>729</v>
      </c>
      <c r="E215" s="85" t="s">
        <v>676</v>
      </c>
      <c r="F215" s="84">
        <v>40851</v>
      </c>
      <c r="G215" s="345" t="s">
        <v>21</v>
      </c>
      <c r="H215" s="354">
        <v>29</v>
      </c>
      <c r="I215" s="12">
        <v>4</v>
      </c>
      <c r="J215" s="562">
        <f>58904+19329.5+590+8101</f>
        <v>86924.5</v>
      </c>
      <c r="K215" s="19">
        <f>5890+1991+54+1603</f>
        <v>9538</v>
      </c>
      <c r="L215" s="216">
        <f t="shared" si="6"/>
        <v>9.113493394841687</v>
      </c>
      <c r="M215" s="423">
        <v>205</v>
      </c>
      <c r="N215" s="340"/>
    </row>
    <row r="216" spans="1:14" s="68" customFormat="1" ht="9.75" customHeight="1">
      <c r="A216" s="69">
        <v>206</v>
      </c>
      <c r="B216" s="208" t="s">
        <v>346</v>
      </c>
      <c r="C216" s="85"/>
      <c r="D216" s="85"/>
      <c r="E216" s="677" t="s">
        <v>492</v>
      </c>
      <c r="F216" s="22">
        <v>40690</v>
      </c>
      <c r="G216" s="345" t="s">
        <v>30</v>
      </c>
      <c r="H216" s="21">
        <v>11</v>
      </c>
      <c r="I216" s="21">
        <v>15</v>
      </c>
      <c r="J216" s="16">
        <f>21135+10001+7203+6368+7720+4884+7428.5+4294.5+2616+4268+595+267+2541.5+151+440</f>
        <v>79912.5</v>
      </c>
      <c r="K216" s="17">
        <f>2229+1334+989+996+1479+737+886+576+402+612+88+44+346+21+74</f>
        <v>10813</v>
      </c>
      <c r="L216" s="216">
        <f t="shared" si="6"/>
        <v>7.3904096920373625</v>
      </c>
      <c r="M216" s="420">
        <v>206</v>
      </c>
      <c r="N216" s="340"/>
    </row>
    <row r="217" spans="1:14" s="68" customFormat="1" ht="9.75" customHeight="1">
      <c r="A217" s="69">
        <v>207</v>
      </c>
      <c r="B217" s="716" t="s">
        <v>69</v>
      </c>
      <c r="C217" s="701"/>
      <c r="D217" s="701"/>
      <c r="E217" s="701" t="s">
        <v>69</v>
      </c>
      <c r="F217" s="22">
        <v>40655</v>
      </c>
      <c r="G217" s="344" t="s">
        <v>70</v>
      </c>
      <c r="H217" s="21">
        <v>5</v>
      </c>
      <c r="I217" s="21">
        <v>17</v>
      </c>
      <c r="J217" s="16">
        <v>78703</v>
      </c>
      <c r="K217" s="17">
        <v>12334</v>
      </c>
      <c r="L217" s="216">
        <f t="shared" si="6"/>
        <v>6.380979406518566</v>
      </c>
      <c r="M217" s="420">
        <v>207</v>
      </c>
      <c r="N217" s="340"/>
    </row>
    <row r="218" spans="1:14" s="68" customFormat="1" ht="9.75" customHeight="1">
      <c r="A218" s="69">
        <v>208</v>
      </c>
      <c r="B218" s="311" t="s">
        <v>65</v>
      </c>
      <c r="C218" s="682"/>
      <c r="D218" s="682"/>
      <c r="E218" s="682" t="s">
        <v>583</v>
      </c>
      <c r="F218" s="84">
        <v>40683</v>
      </c>
      <c r="G218" s="345" t="s">
        <v>59</v>
      </c>
      <c r="H218" s="354">
        <v>15</v>
      </c>
      <c r="I218" s="21">
        <v>14</v>
      </c>
      <c r="J218" s="18">
        <v>78223.25</v>
      </c>
      <c r="K218" s="19">
        <v>7359</v>
      </c>
      <c r="L218" s="216">
        <f t="shared" si="6"/>
        <v>10.629603206957468</v>
      </c>
      <c r="M218" s="423">
        <v>208</v>
      </c>
      <c r="N218" s="340"/>
    </row>
    <row r="219" spans="1:14" s="68" customFormat="1" ht="9.75" customHeight="1">
      <c r="A219" s="69">
        <v>209</v>
      </c>
      <c r="B219" s="198" t="s">
        <v>68</v>
      </c>
      <c r="C219" s="677"/>
      <c r="D219" s="677"/>
      <c r="E219" s="85" t="s">
        <v>487</v>
      </c>
      <c r="F219" s="22">
        <v>40683</v>
      </c>
      <c r="G219" s="345" t="s">
        <v>30</v>
      </c>
      <c r="H219" s="21">
        <v>6</v>
      </c>
      <c r="I219" s="21">
        <v>19</v>
      </c>
      <c r="J219" s="16">
        <f>16905.5+10044+3710+2342+9911.5+7248+6024+1678+1960+374+2139+2655.5+2562+447+1328+1270+869+1782+475</f>
        <v>73724.5</v>
      </c>
      <c r="K219" s="17">
        <f>1241+811+837+224+905+1125+738+283+277+57+267+346+338+61+166+189+146+446+119</f>
        <v>8576</v>
      </c>
      <c r="L219" s="396">
        <f>J219/K219</f>
        <v>8.596606809701493</v>
      </c>
      <c r="M219" s="420">
        <v>209</v>
      </c>
      <c r="N219" s="340"/>
    </row>
    <row r="220" spans="1:14" s="68" customFormat="1" ht="9.75" customHeight="1">
      <c r="A220" s="69">
        <v>210</v>
      </c>
      <c r="B220" s="133" t="s">
        <v>585</v>
      </c>
      <c r="C220" s="20"/>
      <c r="D220" s="20"/>
      <c r="E220" s="20" t="s">
        <v>585</v>
      </c>
      <c r="F220" s="22">
        <v>40543</v>
      </c>
      <c r="G220" s="345" t="s">
        <v>43</v>
      </c>
      <c r="H220" s="21">
        <v>37</v>
      </c>
      <c r="I220" s="21">
        <v>12</v>
      </c>
      <c r="J220" s="18">
        <v>72584.5</v>
      </c>
      <c r="K220" s="19">
        <v>10472</v>
      </c>
      <c r="L220" s="216">
        <f>+J220/K220</f>
        <v>6.931292971734148</v>
      </c>
      <c r="M220" s="420">
        <v>210</v>
      </c>
      <c r="N220" s="340"/>
    </row>
    <row r="221" spans="1:14" s="68" customFormat="1" ht="9.75" customHeight="1">
      <c r="A221" s="69">
        <v>211</v>
      </c>
      <c r="B221" s="198" t="s">
        <v>123</v>
      </c>
      <c r="C221" s="677"/>
      <c r="D221" s="677"/>
      <c r="E221" s="677" t="s">
        <v>584</v>
      </c>
      <c r="F221" s="22">
        <v>40606</v>
      </c>
      <c r="G221" s="344" t="s">
        <v>30</v>
      </c>
      <c r="H221" s="21">
        <v>6</v>
      </c>
      <c r="I221" s="21">
        <v>21</v>
      </c>
      <c r="J221" s="16">
        <f>23509.5+4775.5+1638+419+8818.5+506+3133+2970+2646+2538+107+2062+2879.5+1195+1956+1584+3301+2206+2177+3195+872</f>
        <v>72488</v>
      </c>
      <c r="K221" s="17">
        <f>1642+339+312+83+823+52+341+742+437+351+14+315+704+136+274+191+392+306+326+475+132</f>
        <v>8387</v>
      </c>
      <c r="L221" s="396">
        <f>J221/K221</f>
        <v>8.642899725766066</v>
      </c>
      <c r="M221" s="423">
        <v>211</v>
      </c>
      <c r="N221" s="340"/>
    </row>
    <row r="222" spans="1:14" s="68" customFormat="1" ht="9.75" customHeight="1">
      <c r="A222" s="69">
        <v>212</v>
      </c>
      <c r="B222" s="198" t="s">
        <v>379</v>
      </c>
      <c r="C222" s="677" t="s">
        <v>747</v>
      </c>
      <c r="D222" s="85" t="s">
        <v>740</v>
      </c>
      <c r="E222" s="677" t="s">
        <v>466</v>
      </c>
      <c r="F222" s="22">
        <v>40760</v>
      </c>
      <c r="G222" s="345" t="s">
        <v>30</v>
      </c>
      <c r="H222" s="21">
        <v>8</v>
      </c>
      <c r="I222" s="21">
        <v>14</v>
      </c>
      <c r="J222" s="16">
        <f>23216+11984.5+4614+3340+789+2639+10549.5+2435+3367+4060.5+1682+1376+1782+475</f>
        <v>72309.5</v>
      </c>
      <c r="K222" s="17">
        <f>1703+1053+544+464+111+478+932+312+452+510+264+182+446+119</f>
        <v>7570</v>
      </c>
      <c r="L222" s="396">
        <f>J222/K222</f>
        <v>9.55211360634082</v>
      </c>
      <c r="M222" s="420">
        <v>212</v>
      </c>
      <c r="N222" s="340"/>
    </row>
    <row r="223" spans="1:14" s="68" customFormat="1" ht="9.75" customHeight="1">
      <c r="A223" s="69">
        <v>213</v>
      </c>
      <c r="B223" s="208" t="s">
        <v>348</v>
      </c>
      <c r="C223" s="682"/>
      <c r="D223" s="682"/>
      <c r="E223" s="682" t="s">
        <v>484</v>
      </c>
      <c r="F223" s="22">
        <v>40802</v>
      </c>
      <c r="G223" s="345" t="s">
        <v>59</v>
      </c>
      <c r="H223" s="21">
        <v>8</v>
      </c>
      <c r="I223" s="21">
        <v>12</v>
      </c>
      <c r="J223" s="18">
        <v>71577.5</v>
      </c>
      <c r="K223" s="19">
        <v>7724</v>
      </c>
      <c r="L223" s="396">
        <f>+J223/K223</f>
        <v>9.266895390989125</v>
      </c>
      <c r="M223" s="420">
        <v>213</v>
      </c>
      <c r="N223" s="340"/>
    </row>
    <row r="224" spans="1:14" s="68" customFormat="1" ht="9.75" customHeight="1">
      <c r="A224" s="69">
        <v>214</v>
      </c>
      <c r="B224" s="133" t="s">
        <v>586</v>
      </c>
      <c r="C224" s="20"/>
      <c r="D224" s="20"/>
      <c r="E224" s="20" t="s">
        <v>587</v>
      </c>
      <c r="F224" s="22">
        <v>40543</v>
      </c>
      <c r="G224" s="21" t="s">
        <v>59</v>
      </c>
      <c r="H224" s="21">
        <v>2</v>
      </c>
      <c r="I224" s="354">
        <v>13</v>
      </c>
      <c r="J224" s="18">
        <v>69613.5</v>
      </c>
      <c r="K224" s="19">
        <v>5640</v>
      </c>
      <c r="L224" s="396">
        <f>J224/K224</f>
        <v>12.34281914893617</v>
      </c>
      <c r="M224" s="423">
        <v>214</v>
      </c>
      <c r="N224" s="340"/>
    </row>
    <row r="225" spans="1:14" s="68" customFormat="1" ht="9.75" customHeight="1">
      <c r="A225" s="69">
        <v>215</v>
      </c>
      <c r="B225" s="198" t="s">
        <v>761</v>
      </c>
      <c r="C225" s="20" t="s">
        <v>762</v>
      </c>
      <c r="D225" s="85" t="s">
        <v>709</v>
      </c>
      <c r="E225" s="677" t="s">
        <v>763</v>
      </c>
      <c r="F225" s="22">
        <v>40872</v>
      </c>
      <c r="G225" s="345" t="s">
        <v>30</v>
      </c>
      <c r="H225" s="21">
        <v>5</v>
      </c>
      <c r="I225" s="21">
        <v>3</v>
      </c>
      <c r="J225" s="16">
        <f>49492.5+14406.5+693</f>
        <v>64592</v>
      </c>
      <c r="K225" s="17">
        <f>4472+1208+62</f>
        <v>5742</v>
      </c>
      <c r="L225" s="396">
        <f>J225/K225</f>
        <v>11.24904214559387</v>
      </c>
      <c r="M225" s="420">
        <v>215</v>
      </c>
      <c r="N225" s="340"/>
    </row>
    <row r="226" spans="1:14" s="68" customFormat="1" ht="9.75" customHeight="1">
      <c r="A226" s="69">
        <v>216</v>
      </c>
      <c r="B226" s="208" t="s">
        <v>212</v>
      </c>
      <c r="C226" s="85"/>
      <c r="D226" s="85"/>
      <c r="E226" s="85" t="s">
        <v>212</v>
      </c>
      <c r="F226" s="84">
        <v>40697</v>
      </c>
      <c r="G226" s="344" t="s">
        <v>43</v>
      </c>
      <c r="H226" s="12">
        <v>49</v>
      </c>
      <c r="I226" s="12">
        <v>7</v>
      </c>
      <c r="J226" s="18">
        <v>63967</v>
      </c>
      <c r="K226" s="19">
        <v>8542</v>
      </c>
      <c r="L226" s="216">
        <f>+J226/K226</f>
        <v>7.488527276984313</v>
      </c>
      <c r="M226" s="420">
        <v>216</v>
      </c>
      <c r="N226" s="340"/>
    </row>
    <row r="227" spans="1:14" s="68" customFormat="1" ht="9.75" customHeight="1">
      <c r="A227" s="69">
        <v>217</v>
      </c>
      <c r="B227" s="311" t="s">
        <v>424</v>
      </c>
      <c r="C227" s="682"/>
      <c r="D227" s="682"/>
      <c r="E227" s="682" t="s">
        <v>457</v>
      </c>
      <c r="F227" s="22">
        <v>40725</v>
      </c>
      <c r="G227" s="345" t="s">
        <v>59</v>
      </c>
      <c r="H227" s="21">
        <v>3</v>
      </c>
      <c r="I227" s="21">
        <v>18</v>
      </c>
      <c r="J227" s="18">
        <v>61571</v>
      </c>
      <c r="K227" s="19">
        <v>7218</v>
      </c>
      <c r="L227" s="396">
        <f>+J227/K227</f>
        <v>8.530202272097535</v>
      </c>
      <c r="M227" s="423">
        <v>217</v>
      </c>
      <c r="N227" s="340"/>
    </row>
    <row r="228" spans="1:14" s="68" customFormat="1" ht="9.75" customHeight="1">
      <c r="A228" s="69">
        <v>218</v>
      </c>
      <c r="B228" s="208" t="s">
        <v>44</v>
      </c>
      <c r="C228" s="85"/>
      <c r="D228" s="85"/>
      <c r="E228" s="85" t="s">
        <v>44</v>
      </c>
      <c r="F228" s="84">
        <v>40655</v>
      </c>
      <c r="G228" s="344" t="s">
        <v>43</v>
      </c>
      <c r="H228" s="12">
        <v>26</v>
      </c>
      <c r="I228" s="21">
        <v>8</v>
      </c>
      <c r="J228" s="18">
        <v>60604</v>
      </c>
      <c r="K228" s="19">
        <v>9497</v>
      </c>
      <c r="L228" s="396">
        <f>J228/K228</f>
        <v>6.381383594819416</v>
      </c>
      <c r="M228" s="420">
        <v>218</v>
      </c>
      <c r="N228" s="340"/>
    </row>
    <row r="229" spans="1:14" s="68" customFormat="1" ht="9.75" customHeight="1">
      <c r="A229" s="69">
        <v>219</v>
      </c>
      <c r="B229" s="717" t="s">
        <v>197</v>
      </c>
      <c r="C229" s="702"/>
      <c r="D229" s="702"/>
      <c r="E229" s="702" t="s">
        <v>588</v>
      </c>
      <c r="F229" s="283">
        <v>40585</v>
      </c>
      <c r="G229" s="703" t="s">
        <v>23</v>
      </c>
      <c r="H229" s="703">
        <v>13</v>
      </c>
      <c r="I229" s="703">
        <v>2</v>
      </c>
      <c r="J229" s="695">
        <v>60408</v>
      </c>
      <c r="K229" s="689">
        <v>4591</v>
      </c>
      <c r="L229" s="713">
        <v>13.157917664996733</v>
      </c>
      <c r="M229" s="420">
        <v>219</v>
      </c>
      <c r="N229" s="340"/>
    </row>
    <row r="230" spans="1:14" s="68" customFormat="1" ht="9.75" customHeight="1">
      <c r="A230" s="69">
        <v>220</v>
      </c>
      <c r="B230" s="198" t="s">
        <v>801</v>
      </c>
      <c r="C230" s="20" t="s">
        <v>802</v>
      </c>
      <c r="D230" s="85" t="s">
        <v>709</v>
      </c>
      <c r="E230" s="677" t="s">
        <v>801</v>
      </c>
      <c r="F230" s="22">
        <v>40886</v>
      </c>
      <c r="G230" s="345" t="s">
        <v>30</v>
      </c>
      <c r="H230" s="21">
        <v>9</v>
      </c>
      <c r="I230" s="21">
        <v>1</v>
      </c>
      <c r="J230" s="16">
        <f>55869.5</f>
        <v>55869.5</v>
      </c>
      <c r="K230" s="17">
        <f>3902</f>
        <v>3902</v>
      </c>
      <c r="L230" s="396">
        <f>J230/K230</f>
        <v>14.318170169144029</v>
      </c>
      <c r="M230" s="423">
        <v>220</v>
      </c>
      <c r="N230" s="340"/>
    </row>
    <row r="231" spans="1:14" s="68" customFormat="1" ht="9.75" customHeight="1">
      <c r="A231" s="69">
        <v>221</v>
      </c>
      <c r="B231" s="198" t="s">
        <v>201</v>
      </c>
      <c r="C231" s="677"/>
      <c r="D231" s="677"/>
      <c r="E231" s="677" t="s">
        <v>589</v>
      </c>
      <c r="F231" s="22">
        <v>40662</v>
      </c>
      <c r="G231" s="344" t="s">
        <v>30</v>
      </c>
      <c r="H231" s="21">
        <v>10</v>
      </c>
      <c r="I231" s="21">
        <v>18</v>
      </c>
      <c r="J231" s="16">
        <f>12741+4425+5437.5+2837.5+1398+7610.5+2745+1373+5773+1526+509+395+2116+2833+2018+170+252+192</f>
        <v>54351.5</v>
      </c>
      <c r="K231" s="17">
        <f>1277+498+629+407+231+902+351+177+635+249+80+61+242+355+254+24+42+32</f>
        <v>6446</v>
      </c>
      <c r="L231" s="216">
        <f>+J231/K231</f>
        <v>8.431818181818182</v>
      </c>
      <c r="M231" s="420">
        <v>221</v>
      </c>
      <c r="N231" s="340"/>
    </row>
    <row r="232" spans="1:14" s="68" customFormat="1" ht="9.75" customHeight="1">
      <c r="A232" s="69">
        <v>222</v>
      </c>
      <c r="B232" s="133" t="s">
        <v>775</v>
      </c>
      <c r="C232" s="20" t="s">
        <v>809</v>
      </c>
      <c r="D232" s="9" t="s">
        <v>759</v>
      </c>
      <c r="E232" s="85" t="s">
        <v>640</v>
      </c>
      <c r="F232" s="84">
        <v>40830</v>
      </c>
      <c r="G232" s="345" t="s">
        <v>21</v>
      </c>
      <c r="H232" s="354">
        <v>24</v>
      </c>
      <c r="I232" s="12">
        <v>5</v>
      </c>
      <c r="J232" s="562">
        <f>39089+12457+497+1407+378</f>
        <v>53828</v>
      </c>
      <c r="K232" s="19">
        <f>3631+1290+71+217+63</f>
        <v>5272</v>
      </c>
      <c r="L232" s="216">
        <f>+J232/K232</f>
        <v>10.210166919575114</v>
      </c>
      <c r="M232" s="420">
        <v>222</v>
      </c>
      <c r="N232" s="340"/>
    </row>
    <row r="233" spans="1:14" s="68" customFormat="1" ht="9.75" customHeight="1">
      <c r="A233" s="69">
        <v>223</v>
      </c>
      <c r="B233" s="198" t="s">
        <v>60</v>
      </c>
      <c r="C233" s="677"/>
      <c r="D233" s="85"/>
      <c r="E233" s="677" t="s">
        <v>60</v>
      </c>
      <c r="F233" s="22">
        <v>40676</v>
      </c>
      <c r="G233" s="345" t="s">
        <v>30</v>
      </c>
      <c r="H233" s="21">
        <v>10</v>
      </c>
      <c r="I233" s="21">
        <v>18</v>
      </c>
      <c r="J233" s="16">
        <f>19776.5+5289.5+3941.5+4149+6030.5+491+2263+886+669+235+576+182+578+116+1188+1782+1782+1782</f>
        <v>51717</v>
      </c>
      <c r="K233" s="17">
        <f>2214+710+772+646+1024+103+434+139+105+46+100+16+62+13+297+446+446+446</f>
        <v>8019</v>
      </c>
      <c r="L233" s="396">
        <f>J233/K233</f>
        <v>6.449307893752338</v>
      </c>
      <c r="M233" s="423">
        <v>223</v>
      </c>
      <c r="N233" s="340"/>
    </row>
    <row r="234" spans="1:14" s="68" customFormat="1" ht="9.75" customHeight="1">
      <c r="A234" s="69">
        <v>224</v>
      </c>
      <c r="B234" s="150" t="s">
        <v>590</v>
      </c>
      <c r="C234" s="137"/>
      <c r="D234" s="137"/>
      <c r="E234" s="20" t="s">
        <v>591</v>
      </c>
      <c r="F234" s="22">
        <v>40669</v>
      </c>
      <c r="G234" s="345" t="s">
        <v>30</v>
      </c>
      <c r="H234" s="354">
        <v>10</v>
      </c>
      <c r="I234" s="12">
        <v>11</v>
      </c>
      <c r="J234" s="18">
        <v>51494.75</v>
      </c>
      <c r="K234" s="19">
        <v>4423</v>
      </c>
      <c r="L234" s="396">
        <f>J234/K234</f>
        <v>11.642493782500566</v>
      </c>
      <c r="M234" s="420">
        <v>224</v>
      </c>
      <c r="N234" s="340"/>
    </row>
    <row r="235" spans="1:14" s="68" customFormat="1" ht="9.75" customHeight="1">
      <c r="A235" s="69">
        <v>225</v>
      </c>
      <c r="B235" s="152" t="s">
        <v>757</v>
      </c>
      <c r="C235" s="9" t="s">
        <v>758</v>
      </c>
      <c r="D235" s="9" t="s">
        <v>759</v>
      </c>
      <c r="E235" s="9" t="s">
        <v>760</v>
      </c>
      <c r="F235" s="2">
        <v>40872</v>
      </c>
      <c r="G235" s="345" t="s">
        <v>21</v>
      </c>
      <c r="H235" s="14">
        <v>21</v>
      </c>
      <c r="I235" s="12">
        <v>3</v>
      </c>
      <c r="J235" s="562">
        <f>48871+740+512</f>
        <v>50123</v>
      </c>
      <c r="K235" s="19">
        <f>5142+80+52</f>
        <v>5274</v>
      </c>
      <c r="L235" s="216">
        <f>+J235/K235</f>
        <v>9.503792188092529</v>
      </c>
      <c r="M235" s="420">
        <v>225</v>
      </c>
      <c r="N235" s="340"/>
    </row>
    <row r="236" spans="1:14" s="68" customFormat="1" ht="9.75" customHeight="1">
      <c r="A236" s="69">
        <v>226</v>
      </c>
      <c r="B236" s="198" t="s">
        <v>643</v>
      </c>
      <c r="C236" s="677" t="s">
        <v>748</v>
      </c>
      <c r="D236" s="677" t="s">
        <v>740</v>
      </c>
      <c r="E236" s="677" t="s">
        <v>468</v>
      </c>
      <c r="F236" s="22">
        <v>40746</v>
      </c>
      <c r="G236" s="345" t="s">
        <v>30</v>
      </c>
      <c r="H236" s="21">
        <v>5</v>
      </c>
      <c r="I236" s="21">
        <v>14</v>
      </c>
      <c r="J236" s="16">
        <f>15287.5+10909.5+3453.5+1267.5+1495+5972+1476+196+990+2893+1323+722+1782+684</f>
        <v>48451</v>
      </c>
      <c r="K236" s="17">
        <f>1370+1093+336+155+192+663+166+28+134+385+183+184+446+80</f>
        <v>5415</v>
      </c>
      <c r="L236" s="216">
        <f>+J236/K236</f>
        <v>8.947553093259465</v>
      </c>
      <c r="M236" s="423">
        <v>226</v>
      </c>
      <c r="N236" s="340"/>
    </row>
    <row r="237" spans="1:14" s="68" customFormat="1" ht="9.75" customHeight="1">
      <c r="A237" s="69">
        <v>227</v>
      </c>
      <c r="B237" s="198" t="s">
        <v>641</v>
      </c>
      <c r="C237" s="677" t="s">
        <v>726</v>
      </c>
      <c r="D237" s="85"/>
      <c r="E237" s="677" t="s">
        <v>641</v>
      </c>
      <c r="F237" s="22">
        <v>40830</v>
      </c>
      <c r="G237" s="345" t="s">
        <v>30</v>
      </c>
      <c r="H237" s="21">
        <v>20</v>
      </c>
      <c r="I237" s="21">
        <v>8</v>
      </c>
      <c r="J237" s="16">
        <f>26768+13515+1530.5+2017+657+1806.5+358+1117</f>
        <v>47769</v>
      </c>
      <c r="K237" s="17">
        <f>3002+1672+228+433+100+551+82+193</f>
        <v>6261</v>
      </c>
      <c r="L237" s="216">
        <f>+J237/K237</f>
        <v>7.629611883085769</v>
      </c>
      <c r="M237" s="420">
        <v>227</v>
      </c>
      <c r="N237" s="340"/>
    </row>
    <row r="238" spans="1:14" s="68" customFormat="1" ht="9.75" customHeight="1">
      <c r="A238" s="69">
        <v>228</v>
      </c>
      <c r="B238" s="198" t="s">
        <v>218</v>
      </c>
      <c r="C238" s="677"/>
      <c r="D238" s="677"/>
      <c r="E238" s="677" t="s">
        <v>592</v>
      </c>
      <c r="F238" s="22">
        <v>40704</v>
      </c>
      <c r="G238" s="345" t="s">
        <v>30</v>
      </c>
      <c r="H238" s="21">
        <v>5</v>
      </c>
      <c r="I238" s="21">
        <v>15</v>
      </c>
      <c r="J238" s="16">
        <f>20401.5+5027+2422+1135.5+4917+1138.5+597+1238.5+1934+2721.5+1965.5+798+172+1307+1782</f>
        <v>47557</v>
      </c>
      <c r="K238" s="17">
        <f>1380+485+214+81+460+135+75+159+185+328+268+93+24+328+446</f>
        <v>4661</v>
      </c>
      <c r="L238" s="396">
        <f>J238/K238</f>
        <v>10.203175284273762</v>
      </c>
      <c r="M238" s="420">
        <v>228</v>
      </c>
      <c r="N238" s="340"/>
    </row>
    <row r="239" spans="1:14" s="68" customFormat="1" ht="9.75" customHeight="1">
      <c r="A239" s="69">
        <v>229</v>
      </c>
      <c r="B239" s="150" t="s">
        <v>234</v>
      </c>
      <c r="C239" s="137"/>
      <c r="D239" s="137"/>
      <c r="E239" s="137" t="s">
        <v>499</v>
      </c>
      <c r="F239" s="22">
        <v>40718</v>
      </c>
      <c r="G239" s="345" t="s">
        <v>133</v>
      </c>
      <c r="H239" s="354">
        <v>4</v>
      </c>
      <c r="I239" s="354">
        <v>15</v>
      </c>
      <c r="J239" s="691">
        <v>44726</v>
      </c>
      <c r="K239" s="692">
        <v>4190</v>
      </c>
      <c r="L239" s="216">
        <f aca="true" t="shared" si="7" ref="L239:L247">+J239/K239</f>
        <v>10.674463007159904</v>
      </c>
      <c r="M239" s="423">
        <v>229</v>
      </c>
      <c r="N239" s="340"/>
    </row>
    <row r="240" spans="1:14" s="68" customFormat="1" ht="9.75" customHeight="1">
      <c r="A240" s="69">
        <v>230</v>
      </c>
      <c r="B240" s="311" t="s">
        <v>625</v>
      </c>
      <c r="C240" s="682"/>
      <c r="D240" s="682"/>
      <c r="E240" s="85" t="s">
        <v>626</v>
      </c>
      <c r="F240" s="84">
        <v>40823</v>
      </c>
      <c r="G240" s="345" t="s">
        <v>8</v>
      </c>
      <c r="H240" s="14">
        <v>15</v>
      </c>
      <c r="I240" s="14">
        <v>4</v>
      </c>
      <c r="J240" s="16">
        <v>43425</v>
      </c>
      <c r="K240" s="17">
        <v>3658</v>
      </c>
      <c r="L240" s="216">
        <f t="shared" si="7"/>
        <v>11.871241115363587</v>
      </c>
      <c r="M240" s="420">
        <v>230</v>
      </c>
      <c r="N240" s="340"/>
    </row>
    <row r="241" spans="1:14" s="68" customFormat="1" ht="9.75" customHeight="1">
      <c r="A241" s="69">
        <v>231</v>
      </c>
      <c r="B241" s="711" t="s">
        <v>198</v>
      </c>
      <c r="C241" s="686"/>
      <c r="D241" s="686"/>
      <c r="E241" s="686" t="s">
        <v>593</v>
      </c>
      <c r="F241" s="687">
        <v>40634</v>
      </c>
      <c r="G241" s="688" t="s">
        <v>199</v>
      </c>
      <c r="H241" s="688">
        <v>10</v>
      </c>
      <c r="I241" s="688">
        <v>5</v>
      </c>
      <c r="J241" s="699">
        <v>42084</v>
      </c>
      <c r="K241" s="700">
        <v>6690</v>
      </c>
      <c r="L241" s="713">
        <f t="shared" si="7"/>
        <v>6.290582959641256</v>
      </c>
      <c r="M241" s="420">
        <v>231</v>
      </c>
      <c r="N241" s="340"/>
    </row>
    <row r="242" spans="1:14" s="68" customFormat="1" ht="9.75" customHeight="1">
      <c r="A242" s="69">
        <v>232</v>
      </c>
      <c r="B242" s="332" t="s">
        <v>594</v>
      </c>
      <c r="C242" s="680"/>
      <c r="D242" s="680"/>
      <c r="E242" s="680" t="s">
        <v>595</v>
      </c>
      <c r="F242" s="143">
        <v>40634</v>
      </c>
      <c r="G242" s="344" t="s">
        <v>30</v>
      </c>
      <c r="H242" s="347">
        <v>15</v>
      </c>
      <c r="I242" s="347">
        <v>12</v>
      </c>
      <c r="J242" s="16">
        <f>24857+8396+642+3588+1398.5+758+731+306+150+623+266</f>
        <v>41715.5</v>
      </c>
      <c r="K242" s="17">
        <f>1900+772+80+693+212+86+92+46+22+124+39</f>
        <v>4066</v>
      </c>
      <c r="L242" s="216">
        <f t="shared" si="7"/>
        <v>10.259591736350222</v>
      </c>
      <c r="M242" s="423">
        <v>232</v>
      </c>
      <c r="N242" s="340"/>
    </row>
    <row r="243" spans="1:14" s="68" customFormat="1" ht="9.75" customHeight="1">
      <c r="A243" s="69">
        <v>233</v>
      </c>
      <c r="B243" s="311" t="s">
        <v>596</v>
      </c>
      <c r="C243" s="682"/>
      <c r="D243" s="682"/>
      <c r="E243" s="682" t="s">
        <v>489</v>
      </c>
      <c r="F243" s="22">
        <v>40739</v>
      </c>
      <c r="G243" s="345" t="s">
        <v>59</v>
      </c>
      <c r="H243" s="21">
        <v>3</v>
      </c>
      <c r="I243" s="21">
        <v>16</v>
      </c>
      <c r="J243" s="18">
        <v>41148.5</v>
      </c>
      <c r="K243" s="19">
        <v>4967</v>
      </c>
      <c r="L243" s="396">
        <f t="shared" si="7"/>
        <v>8.284376887457217</v>
      </c>
      <c r="M243" s="420">
        <v>233</v>
      </c>
      <c r="N243" s="340"/>
    </row>
    <row r="244" spans="1:14" s="68" customFormat="1" ht="9.75" customHeight="1">
      <c r="A244" s="69">
        <v>234</v>
      </c>
      <c r="B244" s="152" t="s">
        <v>55</v>
      </c>
      <c r="C244" s="9"/>
      <c r="D244" s="9"/>
      <c r="E244" s="9" t="s">
        <v>55</v>
      </c>
      <c r="F244" s="2">
        <v>40669</v>
      </c>
      <c r="G244" s="345" t="s">
        <v>21</v>
      </c>
      <c r="H244" s="14">
        <v>9</v>
      </c>
      <c r="I244" s="12">
        <v>18</v>
      </c>
      <c r="J244" s="562">
        <f>10611.5+6246+3879+1660+2650+3829+1318+645+1041+24+977.5+84+1681+166+203+141+1090+280</f>
        <v>36526</v>
      </c>
      <c r="K244" s="19">
        <f>1405+909+512+224+387+611+221+87+151+4+128+14+189+28+32+22+139+41</f>
        <v>5104</v>
      </c>
      <c r="L244" s="216">
        <f t="shared" si="7"/>
        <v>7.156347962382445</v>
      </c>
      <c r="M244" s="420">
        <v>234</v>
      </c>
      <c r="N244" s="340"/>
    </row>
    <row r="245" spans="1:14" s="68" customFormat="1" ht="9.75" customHeight="1">
      <c r="A245" s="69">
        <v>235</v>
      </c>
      <c r="B245" s="133" t="s">
        <v>353</v>
      </c>
      <c r="C245" s="20"/>
      <c r="D245" s="20"/>
      <c r="E245" s="682" t="s">
        <v>597</v>
      </c>
      <c r="F245" s="84">
        <v>40739</v>
      </c>
      <c r="G245" s="345" t="s">
        <v>59</v>
      </c>
      <c r="H245" s="354">
        <v>3</v>
      </c>
      <c r="I245" s="21">
        <v>11</v>
      </c>
      <c r="J245" s="18">
        <v>34896</v>
      </c>
      <c r="K245" s="19">
        <v>3790</v>
      </c>
      <c r="L245" s="396">
        <f t="shared" si="7"/>
        <v>9.207387862796834</v>
      </c>
      <c r="M245" s="423">
        <v>235</v>
      </c>
      <c r="N245" s="340"/>
    </row>
    <row r="246" spans="1:14" s="68" customFormat="1" ht="9.75" customHeight="1">
      <c r="A246" s="69">
        <v>236</v>
      </c>
      <c r="B246" s="208" t="s">
        <v>48</v>
      </c>
      <c r="C246" s="85"/>
      <c r="D246" s="85"/>
      <c r="E246" s="85" t="s">
        <v>598</v>
      </c>
      <c r="F246" s="22">
        <v>40662</v>
      </c>
      <c r="G246" s="344" t="s">
        <v>59</v>
      </c>
      <c r="H246" s="21">
        <v>4</v>
      </c>
      <c r="I246" s="21">
        <v>14</v>
      </c>
      <c r="J246" s="18">
        <v>33759.75</v>
      </c>
      <c r="K246" s="19">
        <v>4201</v>
      </c>
      <c r="L246" s="396">
        <f t="shared" si="7"/>
        <v>8.036122351820994</v>
      </c>
      <c r="M246" s="420">
        <v>236</v>
      </c>
      <c r="N246" s="340"/>
    </row>
    <row r="247" spans="1:14" s="68" customFormat="1" ht="9.75" customHeight="1">
      <c r="A247" s="69">
        <v>237</v>
      </c>
      <c r="B247" s="311" t="s">
        <v>409</v>
      </c>
      <c r="C247" s="20" t="s">
        <v>731</v>
      </c>
      <c r="D247" s="682" t="s">
        <v>720</v>
      </c>
      <c r="E247" s="682" t="s">
        <v>496</v>
      </c>
      <c r="F247" s="84">
        <v>40746</v>
      </c>
      <c r="G247" s="345" t="s">
        <v>59</v>
      </c>
      <c r="H247" s="354">
        <v>3</v>
      </c>
      <c r="I247" s="21">
        <v>18</v>
      </c>
      <c r="J247" s="18">
        <v>33680</v>
      </c>
      <c r="K247" s="19">
        <v>4009</v>
      </c>
      <c r="L247" s="396">
        <f t="shared" si="7"/>
        <v>8.401097530556248</v>
      </c>
      <c r="M247" s="420">
        <v>237</v>
      </c>
      <c r="N247" s="340"/>
    </row>
    <row r="248" spans="1:14" s="68" customFormat="1" ht="9.75" customHeight="1">
      <c r="A248" s="69">
        <v>238</v>
      </c>
      <c r="B248" s="717" t="s">
        <v>237</v>
      </c>
      <c r="C248" s="702"/>
      <c r="D248" s="702"/>
      <c r="E248" s="702" t="s">
        <v>599</v>
      </c>
      <c r="F248" s="283">
        <v>40606</v>
      </c>
      <c r="G248" s="703" t="s">
        <v>28</v>
      </c>
      <c r="H248" s="703">
        <v>30</v>
      </c>
      <c r="I248" s="703">
        <v>4</v>
      </c>
      <c r="J248" s="695">
        <v>32873.5</v>
      </c>
      <c r="K248" s="689">
        <v>5254</v>
      </c>
      <c r="L248" s="713">
        <v>6.25685192234488</v>
      </c>
      <c r="M248" s="423">
        <v>238</v>
      </c>
      <c r="N248" s="340"/>
    </row>
    <row r="249" spans="1:14" s="68" customFormat="1" ht="9.75" customHeight="1">
      <c r="A249" s="69">
        <v>239</v>
      </c>
      <c r="B249" s="208" t="s">
        <v>651</v>
      </c>
      <c r="C249" s="85" t="s">
        <v>718</v>
      </c>
      <c r="D249" s="85"/>
      <c r="E249" s="85" t="s">
        <v>652</v>
      </c>
      <c r="F249" s="84">
        <v>40837</v>
      </c>
      <c r="G249" s="344" t="s">
        <v>653</v>
      </c>
      <c r="H249" s="12">
        <v>31</v>
      </c>
      <c r="I249" s="12">
        <v>5</v>
      </c>
      <c r="J249" s="562">
        <v>32380</v>
      </c>
      <c r="K249" s="19">
        <v>3963</v>
      </c>
      <c r="L249" s="244">
        <f>+J249/K249</f>
        <v>8.170577845066868</v>
      </c>
      <c r="M249" s="420">
        <v>239</v>
      </c>
      <c r="N249" s="340"/>
    </row>
    <row r="250" spans="1:14" s="68" customFormat="1" ht="9.75" customHeight="1">
      <c r="A250" s="69">
        <v>240</v>
      </c>
      <c r="B250" s="311" t="s">
        <v>347</v>
      </c>
      <c r="C250" s="682"/>
      <c r="D250" s="682"/>
      <c r="E250" s="682" t="s">
        <v>600</v>
      </c>
      <c r="F250" s="84">
        <v>40686</v>
      </c>
      <c r="G250" s="345" t="s">
        <v>59</v>
      </c>
      <c r="H250" s="354">
        <v>2</v>
      </c>
      <c r="I250" s="21">
        <v>23</v>
      </c>
      <c r="J250" s="18">
        <v>32264</v>
      </c>
      <c r="K250" s="19">
        <v>4451</v>
      </c>
      <c r="L250" s="396">
        <f>+J250/K250</f>
        <v>7.2487081554706805</v>
      </c>
      <c r="M250" s="420">
        <v>240</v>
      </c>
      <c r="N250" s="340"/>
    </row>
    <row r="251" spans="1:14" s="68" customFormat="1" ht="9.75" customHeight="1">
      <c r="A251" s="69">
        <v>241</v>
      </c>
      <c r="B251" s="133" t="s">
        <v>219</v>
      </c>
      <c r="C251" s="20"/>
      <c r="D251" s="20"/>
      <c r="E251" s="20" t="s">
        <v>219</v>
      </c>
      <c r="F251" s="22">
        <v>40704</v>
      </c>
      <c r="G251" s="345" t="s">
        <v>43</v>
      </c>
      <c r="H251" s="21">
        <v>35</v>
      </c>
      <c r="I251" s="21">
        <v>12</v>
      </c>
      <c r="J251" s="18">
        <v>31680.5</v>
      </c>
      <c r="K251" s="19">
        <v>5160</v>
      </c>
      <c r="L251" s="216">
        <f>+J251/K251</f>
        <v>6.139631782945736</v>
      </c>
      <c r="M251" s="423">
        <v>241</v>
      </c>
      <c r="N251" s="340"/>
    </row>
    <row r="252" spans="1:14" s="68" customFormat="1" ht="9.75" customHeight="1">
      <c r="A252" s="69">
        <v>242</v>
      </c>
      <c r="B252" s="198" t="s">
        <v>203</v>
      </c>
      <c r="C252" s="677" t="s">
        <v>741</v>
      </c>
      <c r="D252" s="85"/>
      <c r="E252" s="677" t="s">
        <v>203</v>
      </c>
      <c r="F252" s="22">
        <v>40662</v>
      </c>
      <c r="G252" s="345" t="s">
        <v>30</v>
      </c>
      <c r="H252" s="21">
        <v>10</v>
      </c>
      <c r="I252" s="21">
        <v>15</v>
      </c>
      <c r="J252" s="16">
        <f>12563.75+2983.5+2680+354+641+412+470+299+1405.5+1335+741+1188+1188+2138.5+2851</f>
        <v>31250.25</v>
      </c>
      <c r="K252" s="17">
        <f>1693+350+279+68+81+51+66+35+228+169+92+297+297+535+715</f>
        <v>4956</v>
      </c>
      <c r="L252" s="396">
        <f>J252/K252</f>
        <v>6.305538740920097</v>
      </c>
      <c r="M252" s="423">
        <v>242</v>
      </c>
      <c r="N252" s="340"/>
    </row>
    <row r="253" spans="1:14" s="68" customFormat="1" ht="9.75" customHeight="1">
      <c r="A253" s="69">
        <v>243</v>
      </c>
      <c r="B253" s="311" t="s">
        <v>400</v>
      </c>
      <c r="C253" s="682"/>
      <c r="D253" s="682"/>
      <c r="E253" s="682" t="s">
        <v>488</v>
      </c>
      <c r="F253" s="84">
        <v>40781</v>
      </c>
      <c r="G253" s="345" t="s">
        <v>59</v>
      </c>
      <c r="H253" s="354">
        <v>10</v>
      </c>
      <c r="I253" s="21">
        <v>8</v>
      </c>
      <c r="J253" s="18">
        <v>31248</v>
      </c>
      <c r="K253" s="19">
        <v>3858</v>
      </c>
      <c r="L253" s="216">
        <f>+J253/K253</f>
        <v>8.099533437013998</v>
      </c>
      <c r="M253" s="420">
        <v>243</v>
      </c>
      <c r="N253" s="340"/>
    </row>
    <row r="254" spans="1:14" s="68" customFormat="1" ht="9.75" customHeight="1">
      <c r="A254" s="69">
        <v>244</v>
      </c>
      <c r="B254" s="157" t="s">
        <v>479</v>
      </c>
      <c r="C254" s="10"/>
      <c r="D254" s="10"/>
      <c r="E254" s="10" t="s">
        <v>480</v>
      </c>
      <c r="F254" s="84">
        <v>40732</v>
      </c>
      <c r="G254" s="345" t="s">
        <v>8</v>
      </c>
      <c r="H254" s="14">
        <v>1</v>
      </c>
      <c r="I254" s="14">
        <v>16</v>
      </c>
      <c r="J254" s="16">
        <v>30952</v>
      </c>
      <c r="K254" s="17">
        <v>2978</v>
      </c>
      <c r="L254" s="396">
        <f>J254/K254</f>
        <v>10.393552719946273</v>
      </c>
      <c r="M254" s="420">
        <v>244</v>
      </c>
      <c r="N254" s="340"/>
    </row>
    <row r="255" spans="1:14" s="68" customFormat="1" ht="9.75" customHeight="1">
      <c r="A255" s="69">
        <v>245</v>
      </c>
      <c r="B255" s="311" t="s">
        <v>601</v>
      </c>
      <c r="C255" s="682"/>
      <c r="D255" s="682"/>
      <c r="E255" s="682" t="s">
        <v>495</v>
      </c>
      <c r="F255" s="84">
        <v>40697</v>
      </c>
      <c r="G255" s="345" t="s">
        <v>59</v>
      </c>
      <c r="H255" s="354">
        <v>2</v>
      </c>
      <c r="I255" s="21">
        <v>19</v>
      </c>
      <c r="J255" s="18">
        <v>30630</v>
      </c>
      <c r="K255" s="19">
        <v>3399</v>
      </c>
      <c r="L255" s="396">
        <f>+J255/K255</f>
        <v>9.011473962930273</v>
      </c>
      <c r="M255" s="423">
        <v>245</v>
      </c>
      <c r="N255" s="340"/>
    </row>
    <row r="256" spans="1:14" s="68" customFormat="1" ht="9.75" customHeight="1">
      <c r="A256" s="69">
        <v>246</v>
      </c>
      <c r="B256" s="133" t="s">
        <v>456</v>
      </c>
      <c r="C256" s="20" t="s">
        <v>804</v>
      </c>
      <c r="D256" s="20"/>
      <c r="E256" s="85" t="s">
        <v>456</v>
      </c>
      <c r="F256" s="84">
        <v>40682</v>
      </c>
      <c r="G256" s="345" t="s">
        <v>21</v>
      </c>
      <c r="H256" s="354">
        <v>10</v>
      </c>
      <c r="I256" s="12">
        <v>10</v>
      </c>
      <c r="J256" s="562">
        <f>13625.5+7746+4283.5+2094+362+332+182+120+138+174</f>
        <v>29057</v>
      </c>
      <c r="K256" s="19">
        <f>1586+942+519+310+52+51+26+15+25+30</f>
        <v>3556</v>
      </c>
      <c r="L256" s="216">
        <f>+J256/K256</f>
        <v>8.171259842519685</v>
      </c>
      <c r="M256" s="423">
        <v>246</v>
      </c>
      <c r="N256" s="340"/>
    </row>
    <row r="257" spans="1:14" s="68" customFormat="1" ht="9.75" customHeight="1">
      <c r="A257" s="69">
        <v>247</v>
      </c>
      <c r="B257" s="208" t="s">
        <v>349</v>
      </c>
      <c r="C257" s="85"/>
      <c r="D257" s="85"/>
      <c r="E257" s="85" t="s">
        <v>602</v>
      </c>
      <c r="F257" s="84">
        <v>40718</v>
      </c>
      <c r="G257" s="345" t="s">
        <v>59</v>
      </c>
      <c r="H257" s="354">
        <v>5</v>
      </c>
      <c r="I257" s="354">
        <v>13</v>
      </c>
      <c r="J257" s="18">
        <v>29028.25</v>
      </c>
      <c r="K257" s="19">
        <v>2964</v>
      </c>
      <c r="L257" s="396">
        <f>J257/K257</f>
        <v>9.79360661268556</v>
      </c>
      <c r="M257" s="420">
        <v>247</v>
      </c>
      <c r="N257" s="340"/>
    </row>
    <row r="258" spans="1:14" s="68" customFormat="1" ht="9.75" customHeight="1">
      <c r="A258" s="69">
        <v>248</v>
      </c>
      <c r="B258" s="208" t="s">
        <v>226</v>
      </c>
      <c r="C258" s="85"/>
      <c r="D258" s="85"/>
      <c r="E258" s="85" t="s">
        <v>603</v>
      </c>
      <c r="F258" s="84">
        <v>40711</v>
      </c>
      <c r="G258" s="344" t="s">
        <v>59</v>
      </c>
      <c r="H258" s="21">
        <v>4</v>
      </c>
      <c r="I258" s="21">
        <v>11</v>
      </c>
      <c r="J258" s="18">
        <v>28636</v>
      </c>
      <c r="K258" s="19">
        <v>2758</v>
      </c>
      <c r="L258" s="396">
        <f>J258/K258</f>
        <v>10.38288614938361</v>
      </c>
      <c r="M258" s="420">
        <v>248</v>
      </c>
      <c r="N258" s="340"/>
    </row>
    <row r="259" spans="1:14" s="68" customFormat="1" ht="9.75" customHeight="1">
      <c r="A259" s="69">
        <v>249</v>
      </c>
      <c r="B259" s="152" t="s">
        <v>630</v>
      </c>
      <c r="C259" s="9"/>
      <c r="D259" s="9"/>
      <c r="E259" s="9" t="s">
        <v>493</v>
      </c>
      <c r="F259" s="2">
        <v>40690</v>
      </c>
      <c r="G259" s="345" t="s">
        <v>21</v>
      </c>
      <c r="H259" s="14">
        <v>5</v>
      </c>
      <c r="I259" s="12">
        <v>18</v>
      </c>
      <c r="J259" s="562">
        <f>10523.5+2274+1975+2483+1830+1012+648.5+1263+1016+808+150+132+42+145+1499.5+30+397+30</f>
        <v>26258.5</v>
      </c>
      <c r="K259" s="19">
        <f>1295+340+276+411+209+137+95+167+160+122+24+22+6+21+210+5+57+5</f>
        <v>3562</v>
      </c>
      <c r="L259" s="216">
        <f>+J259/K259</f>
        <v>7.371841661987648</v>
      </c>
      <c r="M259" s="420">
        <v>249</v>
      </c>
      <c r="N259" s="340"/>
    </row>
    <row r="260" spans="1:14" s="68" customFormat="1" ht="9.75" customHeight="1">
      <c r="A260" s="69">
        <v>250</v>
      </c>
      <c r="B260" s="150" t="s">
        <v>604</v>
      </c>
      <c r="C260" s="137"/>
      <c r="D260" s="137"/>
      <c r="E260" s="85" t="s">
        <v>605</v>
      </c>
      <c r="F260" s="22">
        <v>40725</v>
      </c>
      <c r="G260" s="345" t="s">
        <v>30</v>
      </c>
      <c r="H260" s="21">
        <v>5</v>
      </c>
      <c r="I260" s="21">
        <v>14</v>
      </c>
      <c r="J260" s="16">
        <f>10816+3994+1279+2322+578+830+1180+2743+123+84+986+423+430+345</f>
        <v>26133</v>
      </c>
      <c r="K260" s="17">
        <f>727+361+121+270+90+111+287+293+22+14+147+66+71+56</f>
        <v>2636</v>
      </c>
      <c r="L260" s="396">
        <f>J260/K260</f>
        <v>9.913884673748104</v>
      </c>
      <c r="M260" s="420">
        <v>250</v>
      </c>
      <c r="N260" s="340"/>
    </row>
    <row r="261" spans="1:14" s="68" customFormat="1" ht="9.75" customHeight="1">
      <c r="A261" s="69">
        <v>251</v>
      </c>
      <c r="B261" s="150" t="s">
        <v>200</v>
      </c>
      <c r="C261" s="137"/>
      <c r="D261" s="137"/>
      <c r="E261" s="137" t="s">
        <v>500</v>
      </c>
      <c r="F261" s="22">
        <v>40557</v>
      </c>
      <c r="G261" s="345" t="s">
        <v>133</v>
      </c>
      <c r="H261" s="354">
        <v>12</v>
      </c>
      <c r="I261" s="354">
        <v>10</v>
      </c>
      <c r="J261" s="691">
        <v>25717</v>
      </c>
      <c r="K261" s="692">
        <v>2896</v>
      </c>
      <c r="L261" s="216">
        <f>+J261/K261</f>
        <v>8.880179558011049</v>
      </c>
      <c r="M261" s="423">
        <v>251</v>
      </c>
      <c r="N261" s="340"/>
    </row>
    <row r="262" spans="1:14" s="68" customFormat="1" ht="9.75" customHeight="1">
      <c r="A262" s="69">
        <v>252</v>
      </c>
      <c r="B262" s="133" t="s">
        <v>229</v>
      </c>
      <c r="C262" s="20" t="s">
        <v>812</v>
      </c>
      <c r="D262" s="20" t="s">
        <v>759</v>
      </c>
      <c r="E262" s="85" t="s">
        <v>490</v>
      </c>
      <c r="F262" s="84">
        <v>40718</v>
      </c>
      <c r="G262" s="345" t="s">
        <v>21</v>
      </c>
      <c r="H262" s="354">
        <v>1</v>
      </c>
      <c r="I262" s="12">
        <v>17</v>
      </c>
      <c r="J262" s="562">
        <f>21641+832+85+116+126+1782</f>
        <v>24582</v>
      </c>
      <c r="K262" s="19">
        <f>1707+333+12+18+20+356</f>
        <v>2446</v>
      </c>
      <c r="L262" s="216">
        <f>+J262/K262</f>
        <v>10.049877350776779</v>
      </c>
      <c r="M262" s="423">
        <v>252</v>
      </c>
      <c r="N262" s="340"/>
    </row>
    <row r="263" spans="1:14" s="68" customFormat="1" ht="9.75" customHeight="1">
      <c r="A263" s="69">
        <v>253</v>
      </c>
      <c r="B263" s="332" t="s">
        <v>202</v>
      </c>
      <c r="C263" s="680"/>
      <c r="D263" s="680"/>
      <c r="E263" s="680" t="s">
        <v>606</v>
      </c>
      <c r="F263" s="143">
        <v>40550</v>
      </c>
      <c r="G263" s="344" t="s">
        <v>30</v>
      </c>
      <c r="H263" s="347">
        <v>2</v>
      </c>
      <c r="I263" s="347">
        <v>11</v>
      </c>
      <c r="J263" s="16">
        <f>8356+3109+3208+1189+694+1140+96+624+1782+356.5+2856.5</f>
        <v>23411</v>
      </c>
      <c r="K263" s="17">
        <f>789+330+327+132+146+315+11+68+446+89+680</f>
        <v>3333</v>
      </c>
      <c r="L263" s="216">
        <f>+J263/K263</f>
        <v>7.024002400240024</v>
      </c>
      <c r="M263" s="420">
        <v>253</v>
      </c>
      <c r="N263" s="340"/>
    </row>
    <row r="264" spans="1:14" s="68" customFormat="1" ht="9.75" customHeight="1">
      <c r="A264" s="69">
        <v>254</v>
      </c>
      <c r="B264" s="150" t="s">
        <v>205</v>
      </c>
      <c r="C264" s="137"/>
      <c r="D264" s="137"/>
      <c r="E264" s="137" t="s">
        <v>205</v>
      </c>
      <c r="F264" s="22">
        <v>40592</v>
      </c>
      <c r="G264" s="345" t="s">
        <v>427</v>
      </c>
      <c r="H264" s="354">
        <v>6</v>
      </c>
      <c r="I264" s="354">
        <v>14</v>
      </c>
      <c r="J264" s="18">
        <v>21245.5</v>
      </c>
      <c r="K264" s="19">
        <v>3070</v>
      </c>
      <c r="L264" s="216">
        <f>+J264/K264</f>
        <v>6.920358306188925</v>
      </c>
      <c r="M264" s="420">
        <v>254</v>
      </c>
      <c r="N264" s="340"/>
    </row>
    <row r="265" spans="1:14" s="68" customFormat="1" ht="9.75" customHeight="1">
      <c r="A265" s="69">
        <v>255</v>
      </c>
      <c r="B265" s="332" t="s">
        <v>607</v>
      </c>
      <c r="C265" s="680"/>
      <c r="D265" s="680"/>
      <c r="E265" s="680" t="s">
        <v>608</v>
      </c>
      <c r="F265" s="143">
        <v>40697</v>
      </c>
      <c r="G265" s="344" t="s">
        <v>30</v>
      </c>
      <c r="H265" s="347">
        <v>6</v>
      </c>
      <c r="I265" s="347">
        <v>9</v>
      </c>
      <c r="J265" s="16">
        <f>7308.5+4183+1649+2054+1803+655+1433+1497+84</f>
        <v>20666.5</v>
      </c>
      <c r="K265" s="17">
        <f>676+456+178+256+234+96+216+221+14</f>
        <v>2347</v>
      </c>
      <c r="L265" s="396">
        <f>+J265/K265</f>
        <v>8.805496378355347</v>
      </c>
      <c r="M265" s="420">
        <v>255</v>
      </c>
      <c r="N265" s="340"/>
    </row>
    <row r="266" spans="1:14" s="68" customFormat="1" ht="9.75" customHeight="1">
      <c r="A266" s="69">
        <v>256</v>
      </c>
      <c r="B266" s="208" t="s">
        <v>223</v>
      </c>
      <c r="C266" s="85"/>
      <c r="D266" s="85"/>
      <c r="E266" s="85" t="s">
        <v>609</v>
      </c>
      <c r="F266" s="84">
        <v>40711</v>
      </c>
      <c r="G266" s="344" t="s">
        <v>21</v>
      </c>
      <c r="H266" s="12">
        <v>12</v>
      </c>
      <c r="I266" s="12">
        <v>4</v>
      </c>
      <c r="J266" s="562">
        <f>11028.25+3970.5+941+78</f>
        <v>16017.75</v>
      </c>
      <c r="K266" s="19">
        <f>879+413+152+13</f>
        <v>1457</v>
      </c>
      <c r="L266" s="396">
        <f>J266/K266</f>
        <v>10.993651338366506</v>
      </c>
      <c r="M266" s="420">
        <v>256</v>
      </c>
      <c r="N266" s="340"/>
    </row>
    <row r="267" spans="1:14" s="68" customFormat="1" ht="9.75" customHeight="1">
      <c r="A267" s="69">
        <v>257</v>
      </c>
      <c r="B267" s="311" t="s">
        <v>368</v>
      </c>
      <c r="C267" s="682"/>
      <c r="D267" s="682"/>
      <c r="E267" s="682" t="s">
        <v>610</v>
      </c>
      <c r="F267" s="22">
        <v>40753</v>
      </c>
      <c r="G267" s="345" t="s">
        <v>59</v>
      </c>
      <c r="H267" s="354">
        <v>3</v>
      </c>
      <c r="I267" s="354">
        <v>6</v>
      </c>
      <c r="J267" s="18">
        <v>14819.5</v>
      </c>
      <c r="K267" s="19">
        <v>1299</v>
      </c>
      <c r="L267" s="396">
        <f>+J267/K267</f>
        <v>11.408391070053888</v>
      </c>
      <c r="M267" s="420">
        <v>257</v>
      </c>
      <c r="N267" s="340"/>
    </row>
    <row r="268" spans="1:14" s="68" customFormat="1" ht="9.75" customHeight="1">
      <c r="A268" s="69">
        <v>258</v>
      </c>
      <c r="B268" s="198" t="s">
        <v>654</v>
      </c>
      <c r="C268" s="20" t="s">
        <v>828</v>
      </c>
      <c r="D268" s="677" t="s">
        <v>709</v>
      </c>
      <c r="E268" s="677" t="s">
        <v>655</v>
      </c>
      <c r="F268" s="22">
        <v>40837</v>
      </c>
      <c r="G268" s="345" t="s">
        <v>30</v>
      </c>
      <c r="H268" s="21">
        <v>10</v>
      </c>
      <c r="I268" s="21">
        <v>5</v>
      </c>
      <c r="J268" s="16">
        <f>10225+2950+986+451+172</f>
        <v>14784</v>
      </c>
      <c r="K268" s="17">
        <f>1095+291+123+65+22</f>
        <v>1596</v>
      </c>
      <c r="L268" s="216">
        <f>+J268/K268</f>
        <v>9.263157894736842</v>
      </c>
      <c r="M268" s="423">
        <v>258</v>
      </c>
      <c r="N268" s="340"/>
    </row>
    <row r="269" spans="1:14" s="68" customFormat="1" ht="9.75" customHeight="1">
      <c r="A269" s="69">
        <v>259</v>
      </c>
      <c r="B269" s="208" t="s">
        <v>204</v>
      </c>
      <c r="C269" s="85"/>
      <c r="D269" s="85"/>
      <c r="E269" s="85" t="s">
        <v>611</v>
      </c>
      <c r="F269" s="22">
        <v>40564</v>
      </c>
      <c r="G269" s="344" t="s">
        <v>59</v>
      </c>
      <c r="H269" s="21">
        <v>1</v>
      </c>
      <c r="I269" s="21">
        <v>9</v>
      </c>
      <c r="J269" s="18">
        <v>14581</v>
      </c>
      <c r="K269" s="19">
        <v>1892</v>
      </c>
      <c r="L269" s="396">
        <f>J269/K269</f>
        <v>7.706659619450317</v>
      </c>
      <c r="M269" s="423">
        <v>259</v>
      </c>
      <c r="N269" s="340"/>
    </row>
    <row r="270" spans="1:14" s="68" customFormat="1" ht="9.75" customHeight="1">
      <c r="A270" s="69">
        <v>260</v>
      </c>
      <c r="B270" s="198" t="s">
        <v>351</v>
      </c>
      <c r="C270" s="677"/>
      <c r="D270" s="677"/>
      <c r="E270" s="85" t="s">
        <v>614</v>
      </c>
      <c r="F270" s="22">
        <v>40676</v>
      </c>
      <c r="G270" s="345" t="s">
        <v>30</v>
      </c>
      <c r="H270" s="21">
        <v>3</v>
      </c>
      <c r="I270" s="21">
        <v>10</v>
      </c>
      <c r="J270" s="16">
        <f>6347+909.5+628+750+577.5+2136+808+121.5+1425.5+476</f>
        <v>14179</v>
      </c>
      <c r="K270" s="17">
        <f>404+81+65+79+78+218+117+9+356+119</f>
        <v>1526</v>
      </c>
      <c r="L270" s="396">
        <f>J270/K270</f>
        <v>9.291612057667104</v>
      </c>
      <c r="M270" s="420">
        <v>260</v>
      </c>
      <c r="N270" s="340"/>
    </row>
    <row r="271" spans="1:14" s="68" customFormat="1" ht="9.75" customHeight="1">
      <c r="A271" s="69">
        <v>261</v>
      </c>
      <c r="B271" s="331" t="s">
        <v>352</v>
      </c>
      <c r="C271" s="20"/>
      <c r="D271" s="677" t="s">
        <v>823</v>
      </c>
      <c r="E271" s="677" t="s">
        <v>616</v>
      </c>
      <c r="F271" s="22">
        <v>40606</v>
      </c>
      <c r="G271" s="345" t="s">
        <v>30</v>
      </c>
      <c r="H271" s="21">
        <v>3</v>
      </c>
      <c r="I271" s="21">
        <v>13</v>
      </c>
      <c r="J271" s="16">
        <f>3944+1062+155+222+677+559+950+399+2357.5+328+280+302+2376</f>
        <v>13611.5</v>
      </c>
      <c r="K271" s="17">
        <f>424+116+24+26+92+116+142+57+222+50+33+48+594</f>
        <v>1944</v>
      </c>
      <c r="L271" s="216">
        <f>+J271/K271</f>
        <v>7.001800411522634</v>
      </c>
      <c r="M271" s="420">
        <v>261</v>
      </c>
      <c r="N271" s="340"/>
    </row>
    <row r="272" spans="1:14" s="68" customFormat="1" ht="9.75" customHeight="1">
      <c r="A272" s="69">
        <v>262</v>
      </c>
      <c r="B272" s="150" t="s">
        <v>612</v>
      </c>
      <c r="C272" s="137"/>
      <c r="D272" s="137"/>
      <c r="E272" s="137" t="s">
        <v>612</v>
      </c>
      <c r="F272" s="22">
        <v>40620</v>
      </c>
      <c r="G272" s="21" t="s">
        <v>43</v>
      </c>
      <c r="H272" s="354">
        <v>1</v>
      </c>
      <c r="I272" s="12">
        <v>3</v>
      </c>
      <c r="J272" s="16">
        <v>13384</v>
      </c>
      <c r="K272" s="17">
        <v>1492</v>
      </c>
      <c r="L272" s="396">
        <f>J272/K272</f>
        <v>8.970509383378015</v>
      </c>
      <c r="M272" s="420">
        <v>262</v>
      </c>
      <c r="N272" s="340"/>
    </row>
    <row r="273" spans="1:14" s="68" customFormat="1" ht="9.75" customHeight="1">
      <c r="A273" s="69">
        <v>263</v>
      </c>
      <c r="B273" s="198" t="s">
        <v>617</v>
      </c>
      <c r="C273" s="677"/>
      <c r="D273" s="677"/>
      <c r="E273" s="677" t="s">
        <v>618</v>
      </c>
      <c r="F273" s="22">
        <v>40746</v>
      </c>
      <c r="G273" s="345" t="s">
        <v>30</v>
      </c>
      <c r="H273" s="21">
        <v>1</v>
      </c>
      <c r="I273" s="21">
        <v>7</v>
      </c>
      <c r="J273" s="16">
        <f>5298+3611+922.5+907+181+268.5+2138.5</f>
        <v>13326.5</v>
      </c>
      <c r="K273" s="17">
        <f>334+225+67+122+18+21+535</f>
        <v>1322</v>
      </c>
      <c r="L273" s="396">
        <f>J273/K273</f>
        <v>10.080559757942511</v>
      </c>
      <c r="M273" s="423">
        <v>263</v>
      </c>
      <c r="N273" s="340"/>
    </row>
    <row r="274" spans="1:14" s="68" customFormat="1" ht="9.75" customHeight="1">
      <c r="A274" s="69">
        <v>264</v>
      </c>
      <c r="B274" s="717" t="s">
        <v>350</v>
      </c>
      <c r="C274" s="702"/>
      <c r="D274" s="702"/>
      <c r="E274" s="702" t="s">
        <v>613</v>
      </c>
      <c r="F274" s="283">
        <v>40564</v>
      </c>
      <c r="G274" s="703" t="s">
        <v>59</v>
      </c>
      <c r="H274" s="703">
        <v>3</v>
      </c>
      <c r="I274" s="703">
        <v>5</v>
      </c>
      <c r="J274" s="695">
        <v>12546.5</v>
      </c>
      <c r="K274" s="689">
        <v>891</v>
      </c>
      <c r="L274" s="713">
        <v>14.081369248035914</v>
      </c>
      <c r="M274" s="423">
        <v>264</v>
      </c>
      <c r="N274" s="340"/>
    </row>
    <row r="275" spans="1:14" s="68" customFormat="1" ht="9.75" customHeight="1">
      <c r="A275" s="69">
        <v>265</v>
      </c>
      <c r="B275" s="198" t="s">
        <v>405</v>
      </c>
      <c r="C275" s="677"/>
      <c r="D275" s="677"/>
      <c r="E275" s="85" t="s">
        <v>615</v>
      </c>
      <c r="F275" s="22">
        <v>40753</v>
      </c>
      <c r="G275" s="345" t="s">
        <v>30</v>
      </c>
      <c r="H275" s="21">
        <v>1</v>
      </c>
      <c r="I275" s="21">
        <v>8</v>
      </c>
      <c r="J275" s="16">
        <f>8466+542+128+932+1064+258+188+332</f>
        <v>11910</v>
      </c>
      <c r="K275" s="17">
        <f>472+64+13+122+133+38+26+48</f>
        <v>916</v>
      </c>
      <c r="L275" s="396">
        <f>J275/K275</f>
        <v>13.002183406113538</v>
      </c>
      <c r="M275" s="420">
        <v>265</v>
      </c>
      <c r="N275" s="340"/>
    </row>
    <row r="276" spans="1:14" s="68" customFormat="1" ht="9.75" customHeight="1">
      <c r="A276" s="69">
        <v>266</v>
      </c>
      <c r="B276" s="133" t="s">
        <v>803</v>
      </c>
      <c r="C276" s="20" t="s">
        <v>804</v>
      </c>
      <c r="D276" s="20"/>
      <c r="E276" s="85" t="s">
        <v>803</v>
      </c>
      <c r="F276" s="22">
        <v>40886</v>
      </c>
      <c r="G276" s="345" t="s">
        <v>21</v>
      </c>
      <c r="H276" s="354">
        <v>8</v>
      </c>
      <c r="I276" s="12">
        <v>1</v>
      </c>
      <c r="J276" s="562">
        <v>11392</v>
      </c>
      <c r="K276" s="19">
        <v>1392</v>
      </c>
      <c r="L276" s="396">
        <f>J276/K276</f>
        <v>8.183908045977011</v>
      </c>
      <c r="M276" s="420">
        <v>266</v>
      </c>
      <c r="N276" s="340"/>
    </row>
    <row r="277" spans="1:14" s="68" customFormat="1" ht="9.75" customHeight="1">
      <c r="A277" s="69">
        <v>267</v>
      </c>
      <c r="B277" s="198" t="s">
        <v>337</v>
      </c>
      <c r="C277" s="677" t="s">
        <v>745</v>
      </c>
      <c r="D277" s="85" t="s">
        <v>720</v>
      </c>
      <c r="E277" s="677" t="s">
        <v>619</v>
      </c>
      <c r="F277" s="22">
        <v>40732</v>
      </c>
      <c r="G277" s="345" t="s">
        <v>30</v>
      </c>
      <c r="H277" s="21">
        <v>2</v>
      </c>
      <c r="I277" s="21">
        <v>10</v>
      </c>
      <c r="J277" s="16">
        <f>3347.5+953+825.5+1396+514.5+284+430+191+106+2851</f>
        <v>10898.5</v>
      </c>
      <c r="K277" s="17">
        <f>237+71+61+165+189+45+47+19+15+713</f>
        <v>1562</v>
      </c>
      <c r="L277" s="396">
        <f>J277/K277</f>
        <v>6.9772727272727275</v>
      </c>
      <c r="M277" s="420">
        <v>267</v>
      </c>
      <c r="N277" s="340"/>
    </row>
    <row r="278" spans="1:14" s="68" customFormat="1" ht="9.75" customHeight="1">
      <c r="A278" s="69">
        <v>268</v>
      </c>
      <c r="B278" s="208" t="s">
        <v>72</v>
      </c>
      <c r="C278" s="85"/>
      <c r="D278" s="85"/>
      <c r="E278" s="85" t="s">
        <v>72</v>
      </c>
      <c r="F278" s="84">
        <v>40655</v>
      </c>
      <c r="G278" s="344" t="s">
        <v>73</v>
      </c>
      <c r="H278" s="344">
        <v>1</v>
      </c>
      <c r="I278" s="344">
        <v>5</v>
      </c>
      <c r="J278" s="679">
        <v>10083</v>
      </c>
      <c r="K278" s="704">
        <v>1564</v>
      </c>
      <c r="L278" s="396">
        <f>J278/K278</f>
        <v>6.44693094629156</v>
      </c>
      <c r="M278" s="423">
        <v>268</v>
      </c>
      <c r="N278" s="340"/>
    </row>
    <row r="279" spans="1:14" s="68" customFormat="1" ht="9.75" customHeight="1">
      <c r="A279" s="69">
        <v>269</v>
      </c>
      <c r="B279" s="198" t="s">
        <v>419</v>
      </c>
      <c r="C279" s="677"/>
      <c r="D279" s="677"/>
      <c r="E279" s="85" t="s">
        <v>419</v>
      </c>
      <c r="F279" s="22">
        <v>40795</v>
      </c>
      <c r="G279" s="345" t="s">
        <v>30</v>
      </c>
      <c r="H279" s="21">
        <v>3</v>
      </c>
      <c r="I279" s="21">
        <v>6</v>
      </c>
      <c r="J279" s="16">
        <f>4125+2511+398+1048+854+482</f>
        <v>9418</v>
      </c>
      <c r="K279" s="17">
        <f>422+287+52+100+134+61</f>
        <v>1056</v>
      </c>
      <c r="L279" s="396">
        <f>J279/K279</f>
        <v>8.918560606060606</v>
      </c>
      <c r="M279" s="423">
        <v>269</v>
      </c>
      <c r="N279" s="340"/>
    </row>
    <row r="280" spans="1:14" s="68" customFormat="1" ht="9.75" customHeight="1">
      <c r="A280" s="69">
        <v>270</v>
      </c>
      <c r="B280" s="152" t="s">
        <v>45</v>
      </c>
      <c r="C280" s="9"/>
      <c r="D280" s="9"/>
      <c r="E280" s="9" t="s">
        <v>491</v>
      </c>
      <c r="F280" s="2">
        <v>40627</v>
      </c>
      <c r="G280" s="345" t="s">
        <v>21</v>
      </c>
      <c r="H280" s="14">
        <v>2</v>
      </c>
      <c r="I280" s="12">
        <v>20</v>
      </c>
      <c r="J280" s="562">
        <f>2223.5+279.5+324+90+90+114+120+14+1140+705+219+150+81+162+822+296+254+437+352+614</f>
        <v>8487</v>
      </c>
      <c r="K280" s="19">
        <f>155+19+39+15+15+20+20+2+154+141+30+25+12+23+78+31+25+79+44+81</f>
        <v>1008</v>
      </c>
      <c r="L280" s="216">
        <f>+J280/K280</f>
        <v>8.419642857142858</v>
      </c>
      <c r="M280" s="420">
        <v>270</v>
      </c>
      <c r="N280" s="340"/>
    </row>
    <row r="281" spans="1:14" s="68" customFormat="1" ht="9.75" customHeight="1">
      <c r="A281" s="69">
        <v>271</v>
      </c>
      <c r="B281" s="311" t="s">
        <v>805</v>
      </c>
      <c r="C281" s="682" t="s">
        <v>806</v>
      </c>
      <c r="D281" s="682" t="s">
        <v>720</v>
      </c>
      <c r="E281" s="682" t="s">
        <v>807</v>
      </c>
      <c r="F281" s="22">
        <v>40886</v>
      </c>
      <c r="G281" s="345" t="s">
        <v>59</v>
      </c>
      <c r="H281" s="21">
        <v>3</v>
      </c>
      <c r="I281" s="21">
        <v>1</v>
      </c>
      <c r="J281" s="18">
        <v>7209</v>
      </c>
      <c r="K281" s="19">
        <v>996</v>
      </c>
      <c r="L281" s="396">
        <f>J281/K281</f>
        <v>7.2379518072289155</v>
      </c>
      <c r="M281" s="420">
        <v>271</v>
      </c>
      <c r="N281" s="340"/>
    </row>
    <row r="282" spans="1:14" s="68" customFormat="1" ht="9.75" customHeight="1">
      <c r="A282" s="69">
        <v>272</v>
      </c>
      <c r="B282" s="198" t="s">
        <v>224</v>
      </c>
      <c r="C282" s="677"/>
      <c r="D282" s="677"/>
      <c r="E282" s="677" t="s">
        <v>620</v>
      </c>
      <c r="F282" s="22">
        <v>40711</v>
      </c>
      <c r="G282" s="344" t="s">
        <v>30</v>
      </c>
      <c r="H282" s="21">
        <v>1</v>
      </c>
      <c r="I282" s="347">
        <v>8</v>
      </c>
      <c r="J282" s="16">
        <f>2079+2156+600+711+244+159+324.5+129</f>
        <v>6402.5</v>
      </c>
      <c r="K282" s="17">
        <f>143+271+75+67+107+28+43+25</f>
        <v>759</v>
      </c>
      <c r="L282" s="396">
        <f>+J282/K282</f>
        <v>8.435441370223979</v>
      </c>
      <c r="M282" s="420">
        <v>272</v>
      </c>
      <c r="N282" s="340"/>
    </row>
    <row r="283" spans="1:14" s="68" customFormat="1" ht="9.75" customHeight="1">
      <c r="A283" s="69">
        <v>273</v>
      </c>
      <c r="B283" s="133" t="s">
        <v>240</v>
      </c>
      <c r="C283" s="20"/>
      <c r="D283" s="20"/>
      <c r="E283" s="20" t="s">
        <v>240</v>
      </c>
      <c r="F283" s="22">
        <v>40669</v>
      </c>
      <c r="G283" s="183" t="s">
        <v>23</v>
      </c>
      <c r="H283" s="21">
        <v>2</v>
      </c>
      <c r="I283" s="21">
        <v>1</v>
      </c>
      <c r="J283" s="18">
        <v>4244</v>
      </c>
      <c r="K283" s="19">
        <v>341</v>
      </c>
      <c r="L283" s="710">
        <f>+J283/K283</f>
        <v>12.44574780058651</v>
      </c>
      <c r="M283" s="423">
        <v>273</v>
      </c>
      <c r="N283" s="340"/>
    </row>
    <row r="284" spans="1:14" s="68" customFormat="1" ht="9.75" customHeight="1">
      <c r="A284" s="69">
        <v>274</v>
      </c>
      <c r="B284" s="198" t="s">
        <v>476</v>
      </c>
      <c r="C284" s="677"/>
      <c r="D284" s="677"/>
      <c r="E284" s="677" t="s">
        <v>476</v>
      </c>
      <c r="F284" s="22">
        <v>40816</v>
      </c>
      <c r="G284" s="345" t="s">
        <v>30</v>
      </c>
      <c r="H284" s="21">
        <v>3</v>
      </c>
      <c r="I284" s="21">
        <v>4</v>
      </c>
      <c r="J284" s="16">
        <f>2171+910+764+370</f>
        <v>4215</v>
      </c>
      <c r="K284" s="17">
        <f>206+111+79+54</f>
        <v>450</v>
      </c>
      <c r="L284" s="396">
        <f>J284/K284</f>
        <v>9.366666666666667</v>
      </c>
      <c r="M284" s="423">
        <v>274</v>
      </c>
      <c r="N284" s="340"/>
    </row>
    <row r="285" spans="1:14" s="68" customFormat="1" ht="9.75" customHeight="1">
      <c r="A285" s="69">
        <v>275</v>
      </c>
      <c r="B285" s="208" t="s">
        <v>225</v>
      </c>
      <c r="C285" s="85"/>
      <c r="D285" s="85"/>
      <c r="E285" s="85" t="s">
        <v>225</v>
      </c>
      <c r="F285" s="84">
        <v>40711</v>
      </c>
      <c r="G285" s="344" t="s">
        <v>43</v>
      </c>
      <c r="H285" s="21">
        <v>4</v>
      </c>
      <c r="I285" s="21">
        <v>5</v>
      </c>
      <c r="J285" s="18">
        <v>2675.5</v>
      </c>
      <c r="K285" s="19">
        <v>384</v>
      </c>
      <c r="L285" s="216">
        <f>+J285/K285</f>
        <v>6.967447916666667</v>
      </c>
      <c r="M285" s="420">
        <v>275</v>
      </c>
      <c r="N285" s="340"/>
    </row>
    <row r="286" spans="1:14" s="68" customFormat="1" ht="9.75" customHeight="1" thickBot="1">
      <c r="A286" s="69">
        <v>276</v>
      </c>
      <c r="B286" s="718" t="s">
        <v>683</v>
      </c>
      <c r="C286" s="533" t="s">
        <v>732</v>
      </c>
      <c r="D286" s="719"/>
      <c r="E286" s="719" t="s">
        <v>683</v>
      </c>
      <c r="F286" s="532">
        <v>40858</v>
      </c>
      <c r="G286" s="565" t="s">
        <v>23</v>
      </c>
      <c r="H286" s="720">
        <v>3</v>
      </c>
      <c r="I286" s="564">
        <v>5</v>
      </c>
      <c r="J286" s="613">
        <v>2557</v>
      </c>
      <c r="K286" s="614">
        <v>214</v>
      </c>
      <c r="L286" s="572">
        <f>J286/K286</f>
        <v>11.948598130841122</v>
      </c>
      <c r="M286" s="420">
        <v>276</v>
      </c>
      <c r="N286" s="340"/>
    </row>
    <row r="287" spans="1:14" s="68" customFormat="1" ht="15.75" thickBot="1">
      <c r="A287" s="91"/>
      <c r="F287" s="93"/>
      <c r="H287" s="92"/>
      <c r="I287" s="92"/>
      <c r="J287" s="94"/>
      <c r="K287" s="103"/>
      <c r="L287" s="98"/>
      <c r="N287" s="340"/>
    </row>
    <row r="288" spans="1:14" s="104" customFormat="1" ht="15.75" customHeight="1">
      <c r="A288" s="728" t="s">
        <v>79</v>
      </c>
      <c r="B288" s="729"/>
      <c r="C288" s="729"/>
      <c r="D288" s="729"/>
      <c r="E288" s="729"/>
      <c r="F288" s="729"/>
      <c r="G288" s="729"/>
      <c r="H288" s="729"/>
      <c r="I288" s="729"/>
      <c r="J288" s="729"/>
      <c r="K288" s="729"/>
      <c r="L288" s="729"/>
      <c r="M288" s="730"/>
      <c r="N288" s="341"/>
    </row>
    <row r="289" spans="1:14" s="104" customFormat="1" ht="15.75" customHeight="1">
      <c r="A289" s="731"/>
      <c r="B289" s="732"/>
      <c r="C289" s="732"/>
      <c r="D289" s="732"/>
      <c r="E289" s="732"/>
      <c r="F289" s="732"/>
      <c r="G289" s="732"/>
      <c r="H289" s="732"/>
      <c r="I289" s="732"/>
      <c r="J289" s="732"/>
      <c r="K289" s="732"/>
      <c r="L289" s="732"/>
      <c r="M289" s="733"/>
      <c r="N289" s="341"/>
    </row>
    <row r="290" spans="1:14" s="104" customFormat="1" ht="15.75" customHeight="1">
      <c r="A290" s="731"/>
      <c r="B290" s="732"/>
      <c r="C290" s="732"/>
      <c r="D290" s="732"/>
      <c r="E290" s="732"/>
      <c r="F290" s="732"/>
      <c r="G290" s="732"/>
      <c r="H290" s="732"/>
      <c r="I290" s="732"/>
      <c r="J290" s="732"/>
      <c r="K290" s="732"/>
      <c r="L290" s="732"/>
      <c r="M290" s="733"/>
      <c r="N290" s="341"/>
    </row>
    <row r="291" spans="1:14" s="104" customFormat="1" ht="15.75" customHeight="1">
      <c r="A291" s="731"/>
      <c r="B291" s="732"/>
      <c r="C291" s="732"/>
      <c r="D291" s="732"/>
      <c r="E291" s="732"/>
      <c r="F291" s="732"/>
      <c r="G291" s="732"/>
      <c r="H291" s="732"/>
      <c r="I291" s="732"/>
      <c r="J291" s="732"/>
      <c r="K291" s="732"/>
      <c r="L291" s="732"/>
      <c r="M291" s="733"/>
      <c r="N291" s="341"/>
    </row>
    <row r="292" spans="1:14" s="104" customFormat="1" ht="15.75" customHeight="1">
      <c r="A292" s="731"/>
      <c r="B292" s="732"/>
      <c r="C292" s="732"/>
      <c r="D292" s="732"/>
      <c r="E292" s="732"/>
      <c r="F292" s="732"/>
      <c r="G292" s="732"/>
      <c r="H292" s="732"/>
      <c r="I292" s="732"/>
      <c r="J292" s="732"/>
      <c r="K292" s="732"/>
      <c r="L292" s="732"/>
      <c r="M292" s="733"/>
      <c r="N292" s="341"/>
    </row>
    <row r="293" spans="1:14" s="104" customFormat="1" ht="15.75" customHeight="1" thickBot="1">
      <c r="A293" s="734"/>
      <c r="B293" s="735"/>
      <c r="C293" s="735"/>
      <c r="D293" s="735"/>
      <c r="E293" s="735"/>
      <c r="F293" s="735"/>
      <c r="G293" s="735"/>
      <c r="H293" s="735"/>
      <c r="I293" s="735"/>
      <c r="J293" s="735"/>
      <c r="K293" s="735"/>
      <c r="L293" s="735"/>
      <c r="M293" s="736"/>
      <c r="N293" s="341"/>
    </row>
  </sheetData>
  <sheetProtection/>
  <mergeCells count="10">
    <mergeCell ref="A1:M1"/>
    <mergeCell ref="A2:M2"/>
    <mergeCell ref="A3:M3"/>
    <mergeCell ref="B6:H6"/>
    <mergeCell ref="J6:M6"/>
    <mergeCell ref="J7:K7"/>
    <mergeCell ref="A288:M293"/>
    <mergeCell ref="A4:F4"/>
    <mergeCell ref="A5:F5"/>
    <mergeCell ref="J5:M5"/>
  </mergeCells>
  <hyperlinks>
    <hyperlink ref="A3" r:id="rId1" display="http://www.antraktsinema.com"/>
  </hyperlinks>
  <printOptions/>
  <pageMargins left="0.75" right="0.75" top="1" bottom="1" header="0.5" footer="0.5"/>
  <pageSetup horizontalDpi="200" verticalDpi="200" orientation="portrait" paperSize="9" r:id="rId3"/>
  <ignoredErrors>
    <ignoredError sqref="J17:K45 J46:K56 J58:L60 J89:L90 J61:K88 J195:L199 J171:L174 J166:L170 J194:K194 J175:K193 J202:K237 J238:K246" unlockedFormula="1"/>
    <ignoredError sqref="L17:L45 L61:L88 J95:K125 J127:K162 J163:L165 L175:L193 L194" formula="1" unlockedFormula="1"/>
    <ignoredError sqref="L46:L55 J91:L94 L95:L125 L127:L162 L210:L241" formula="1"/>
    <ignoredError sqref="H155:I156" numberStoredAsText="1"/>
  </ignoredErrors>
  <drawing r:id="rId2"/>
</worksheet>
</file>

<file path=xl/worksheets/sheet3.xml><?xml version="1.0" encoding="utf-8"?>
<worksheet xmlns="http://schemas.openxmlformats.org/spreadsheetml/2006/main" xmlns:r="http://schemas.openxmlformats.org/officeDocument/2006/relationships">
  <dimension ref="A1:Q567"/>
  <sheetViews>
    <sheetView zoomScalePageLayoutView="0" workbookViewId="0" topLeftCell="A1">
      <pane xSplit="7" ySplit="10" topLeftCell="H11" activePane="bottomRight" state="frozen"/>
      <selection pane="topLeft" activeCell="A1" sqref="A1"/>
      <selection pane="topRight" activeCell="J1" sqref="J1"/>
      <selection pane="bottomLeft" activeCell="A11" sqref="A11"/>
      <selection pane="bottomRight" activeCell="A6" sqref="A6"/>
    </sheetView>
  </sheetViews>
  <sheetFormatPr defaultColWidth="4.421875" defaultRowHeight="12.75"/>
  <cols>
    <col min="1" max="1" width="4.421875" style="105" bestFit="1" customWidth="1"/>
    <col min="2" max="2" width="52.7109375" style="108" bestFit="1" customWidth="1"/>
    <col min="3" max="3" width="7.8515625" style="109" bestFit="1" customWidth="1"/>
    <col min="4" max="4" width="19.7109375" style="109" bestFit="1" customWidth="1"/>
    <col min="5" max="5" width="5.8515625" style="109" bestFit="1" customWidth="1"/>
    <col min="6" max="6" width="9.28125" style="110" customWidth="1"/>
    <col min="7" max="7" width="9.28125" style="111" customWidth="1"/>
    <col min="8" max="8" width="11.28125" style="119" bestFit="1" customWidth="1"/>
    <col min="9" max="9" width="7.421875" style="119" bestFit="1" customWidth="1"/>
    <col min="10" max="10" width="7.421875" style="120" bestFit="1" customWidth="1"/>
    <col min="11" max="11" width="7.57421875" style="121" bestFit="1" customWidth="1"/>
    <col min="12" max="12" width="12.28125" style="108" bestFit="1" customWidth="1"/>
    <col min="13" max="13" width="8.8515625" style="108" bestFit="1" customWidth="1"/>
    <col min="14" max="14" width="9.140625" style="108" customWidth="1"/>
    <col min="15" max="15" width="4.421875" style="108" bestFit="1" customWidth="1"/>
    <col min="16" max="20" width="6.8515625" style="108" customWidth="1"/>
    <col min="21" max="16384" width="4.421875" style="108" customWidth="1"/>
  </cols>
  <sheetData>
    <row r="1" spans="1:15" s="32" customFormat="1" ht="34.5">
      <c r="A1" s="778" t="s">
        <v>166</v>
      </c>
      <c r="B1" s="779"/>
      <c r="C1" s="779"/>
      <c r="D1" s="779"/>
      <c r="E1" s="779"/>
      <c r="F1" s="779"/>
      <c r="G1" s="779"/>
      <c r="H1" s="745"/>
      <c r="I1" s="745"/>
      <c r="J1" s="745"/>
      <c r="K1" s="745"/>
      <c r="L1" s="745"/>
      <c r="M1" s="745"/>
      <c r="N1" s="745"/>
      <c r="O1" s="745"/>
    </row>
    <row r="2" spans="1:15" s="32" customFormat="1" ht="18.75">
      <c r="A2" s="768" t="s">
        <v>170</v>
      </c>
      <c r="B2" s="780"/>
      <c r="C2" s="780"/>
      <c r="D2" s="780"/>
      <c r="E2" s="780"/>
      <c r="F2" s="780"/>
      <c r="G2" s="780"/>
      <c r="H2" s="123"/>
      <c r="I2" s="123"/>
      <c r="J2" s="123"/>
      <c r="K2" s="123"/>
      <c r="L2" s="123"/>
      <c r="M2" s="123"/>
      <c r="N2" s="123"/>
      <c r="O2" s="123"/>
    </row>
    <row r="3" spans="1:15" s="32" customFormat="1" ht="27" thickBot="1">
      <c r="A3" s="752" t="s">
        <v>128</v>
      </c>
      <c r="B3" s="753"/>
      <c r="C3" s="753"/>
      <c r="D3" s="753"/>
      <c r="E3" s="753"/>
      <c r="F3" s="753"/>
      <c r="G3" s="753"/>
      <c r="H3" s="124"/>
      <c r="I3" s="125"/>
      <c r="J3" s="128"/>
      <c r="K3" s="124"/>
      <c r="L3" s="125"/>
      <c r="M3" s="126"/>
      <c r="N3" s="127"/>
      <c r="O3" s="128"/>
    </row>
    <row r="4" spans="1:15" s="32" customFormat="1" ht="32.25">
      <c r="A4" s="781" t="s">
        <v>784</v>
      </c>
      <c r="B4" s="755"/>
      <c r="C4" s="755"/>
      <c r="D4" s="35"/>
      <c r="E4" s="35"/>
      <c r="F4" s="35"/>
      <c r="G4" s="35"/>
      <c r="H4" s="775"/>
      <c r="I4" s="776"/>
      <c r="J4" s="776"/>
      <c r="K4" s="131"/>
      <c r="L4" s="131"/>
      <c r="M4" s="132"/>
      <c r="N4" s="131"/>
      <c r="O4" s="131"/>
    </row>
    <row r="5" spans="1:15" s="32" customFormat="1" ht="33" thickBot="1">
      <c r="A5" s="763" t="s">
        <v>783</v>
      </c>
      <c r="B5" s="744"/>
      <c r="C5" s="744"/>
      <c r="D5" s="36"/>
      <c r="E5" s="36"/>
      <c r="F5" s="36"/>
      <c r="G5" s="36"/>
      <c r="H5" s="777"/>
      <c r="I5" s="764"/>
      <c r="J5" s="764"/>
      <c r="K5" s="764"/>
      <c r="L5" s="764"/>
      <c r="M5" s="764"/>
      <c r="N5" s="764"/>
      <c r="O5" s="764"/>
    </row>
    <row r="6" spans="1:15" s="39" customFormat="1" ht="15.75" customHeight="1" thickBot="1">
      <c r="A6" s="37"/>
      <c r="B6" s="771" t="s">
        <v>111</v>
      </c>
      <c r="C6" s="771"/>
      <c r="D6" s="771"/>
      <c r="E6" s="771"/>
      <c r="F6" s="771" t="s">
        <v>110</v>
      </c>
      <c r="G6" s="771"/>
      <c r="H6" s="771" t="s">
        <v>208</v>
      </c>
      <c r="I6" s="771"/>
      <c r="J6" s="771" t="s">
        <v>117</v>
      </c>
      <c r="K6" s="771"/>
      <c r="L6" s="771" t="s">
        <v>109</v>
      </c>
      <c r="M6" s="771"/>
      <c r="N6" s="771"/>
      <c r="O6" s="771"/>
    </row>
    <row r="7" spans="1:15" s="43" customFormat="1" ht="12.75" customHeight="1">
      <c r="A7" s="40"/>
      <c r="B7" s="1"/>
      <c r="C7" s="42" t="s">
        <v>80</v>
      </c>
      <c r="D7" s="1"/>
      <c r="E7" s="1" t="s">
        <v>83</v>
      </c>
      <c r="F7" s="1" t="s">
        <v>83</v>
      </c>
      <c r="G7" s="1" t="s">
        <v>85</v>
      </c>
      <c r="H7" s="773"/>
      <c r="I7" s="773"/>
      <c r="J7" s="774" t="s">
        <v>118</v>
      </c>
      <c r="K7" s="774"/>
      <c r="L7" s="774"/>
      <c r="M7" s="774"/>
      <c r="N7" s="41" t="s">
        <v>95</v>
      </c>
      <c r="O7" s="41"/>
    </row>
    <row r="8" spans="1:15" s="43" customFormat="1" ht="13.5" thickBot="1">
      <c r="A8" s="44"/>
      <c r="B8" s="46" t="s">
        <v>9</v>
      </c>
      <c r="C8" s="47" t="s">
        <v>81</v>
      </c>
      <c r="D8" s="48" t="s">
        <v>1</v>
      </c>
      <c r="E8" s="48" t="s">
        <v>82</v>
      </c>
      <c r="F8" s="48" t="s">
        <v>84</v>
      </c>
      <c r="G8" s="48" t="s">
        <v>80</v>
      </c>
      <c r="H8" s="49" t="s">
        <v>7</v>
      </c>
      <c r="I8" s="49" t="s">
        <v>6</v>
      </c>
      <c r="J8" s="50" t="s">
        <v>6</v>
      </c>
      <c r="K8" s="51" t="s">
        <v>96</v>
      </c>
      <c r="L8" s="45" t="s">
        <v>7</v>
      </c>
      <c r="M8" s="45" t="s">
        <v>6</v>
      </c>
      <c r="N8" s="45" t="s">
        <v>96</v>
      </c>
      <c r="O8" s="45"/>
    </row>
    <row r="9" spans="1:15" s="57" customFormat="1" ht="12.75" customHeight="1">
      <c r="A9" s="52"/>
      <c r="B9" s="52"/>
      <c r="C9" s="53" t="s">
        <v>87</v>
      </c>
      <c r="D9" s="52"/>
      <c r="E9" s="52" t="s">
        <v>90</v>
      </c>
      <c r="F9" s="52" t="s">
        <v>92</v>
      </c>
      <c r="G9" s="52" t="s">
        <v>93</v>
      </c>
      <c r="H9" s="55"/>
      <c r="I9" s="55"/>
      <c r="J9" s="772" t="s">
        <v>119</v>
      </c>
      <c r="K9" s="772"/>
      <c r="L9" s="56"/>
      <c r="M9" s="56"/>
      <c r="N9" s="54" t="s">
        <v>101</v>
      </c>
      <c r="O9" s="54"/>
    </row>
    <row r="10" spans="1:15" s="57" customFormat="1" ht="13.5" thickBot="1">
      <c r="A10" s="58"/>
      <c r="B10" s="209" t="s">
        <v>86</v>
      </c>
      <c r="C10" s="210" t="s">
        <v>88</v>
      </c>
      <c r="D10" s="211" t="s">
        <v>89</v>
      </c>
      <c r="E10" s="211" t="s">
        <v>91</v>
      </c>
      <c r="F10" s="211" t="s">
        <v>91</v>
      </c>
      <c r="G10" s="211" t="s">
        <v>94</v>
      </c>
      <c r="H10" s="212" t="s">
        <v>103</v>
      </c>
      <c r="I10" s="212" t="s">
        <v>100</v>
      </c>
      <c r="J10" s="213" t="s">
        <v>100</v>
      </c>
      <c r="K10" s="214" t="s">
        <v>102</v>
      </c>
      <c r="L10" s="215" t="s">
        <v>100</v>
      </c>
      <c r="M10" s="215" t="s">
        <v>102</v>
      </c>
      <c r="N10" s="215" t="s">
        <v>102</v>
      </c>
      <c r="O10" s="58"/>
    </row>
    <row r="11" spans="1:15" s="68" customFormat="1" ht="12" customHeight="1">
      <c r="A11" s="432">
        <v>1</v>
      </c>
      <c r="B11" s="518" t="s">
        <v>139</v>
      </c>
      <c r="C11" s="519">
        <v>40515</v>
      </c>
      <c r="D11" s="520" t="s">
        <v>10</v>
      </c>
      <c r="E11" s="521">
        <v>337</v>
      </c>
      <c r="F11" s="521">
        <v>349</v>
      </c>
      <c r="G11" s="521">
        <v>5</v>
      </c>
      <c r="H11" s="522">
        <v>1719523</v>
      </c>
      <c r="I11" s="523">
        <v>182375</v>
      </c>
      <c r="J11" s="524">
        <f>I11/F11</f>
        <v>522.5644699140402</v>
      </c>
      <c r="K11" s="525">
        <f>H11/I11</f>
        <v>9.4285017135024</v>
      </c>
      <c r="L11" s="526">
        <v>18655018</v>
      </c>
      <c r="M11" s="527">
        <v>1982618</v>
      </c>
      <c r="N11" s="528">
        <f>+L11/M11</f>
        <v>9.409285096776081</v>
      </c>
      <c r="O11" s="432">
        <v>1</v>
      </c>
    </row>
    <row r="12" spans="1:15" s="68" customFormat="1" ht="12" customHeight="1">
      <c r="A12" s="433">
        <v>2</v>
      </c>
      <c r="B12" s="136" t="s">
        <v>311</v>
      </c>
      <c r="C12" s="22">
        <v>40536</v>
      </c>
      <c r="D12" s="183" t="s">
        <v>23</v>
      </c>
      <c r="E12" s="23">
        <v>112</v>
      </c>
      <c r="F12" s="23">
        <v>116</v>
      </c>
      <c r="G12" s="23">
        <v>2</v>
      </c>
      <c r="H12" s="467">
        <v>694227</v>
      </c>
      <c r="I12" s="476">
        <v>58647</v>
      </c>
      <c r="J12" s="28">
        <f>I12/F12</f>
        <v>505.57758620689657</v>
      </c>
      <c r="K12" s="188">
        <f>+H12/I12</f>
        <v>11.837382986342012</v>
      </c>
      <c r="L12" s="18">
        <v>1663782</v>
      </c>
      <c r="M12" s="28">
        <v>141056</v>
      </c>
      <c r="N12" s="181">
        <f>+L12/M12</f>
        <v>11.795187726860254</v>
      </c>
      <c r="O12" s="433">
        <v>2</v>
      </c>
    </row>
    <row r="13" spans="1:15" s="68" customFormat="1" ht="12" customHeight="1">
      <c r="A13" s="433">
        <v>3</v>
      </c>
      <c r="B13" s="173" t="s">
        <v>323</v>
      </c>
      <c r="C13" s="2">
        <v>40522</v>
      </c>
      <c r="D13" s="15" t="s">
        <v>8</v>
      </c>
      <c r="E13" s="4">
        <v>110</v>
      </c>
      <c r="F13" s="4">
        <v>110</v>
      </c>
      <c r="G13" s="4">
        <v>4</v>
      </c>
      <c r="H13" s="502">
        <v>694041</v>
      </c>
      <c r="I13" s="499">
        <v>64977</v>
      </c>
      <c r="J13" s="72">
        <f>+I13/F13</f>
        <v>590.7</v>
      </c>
      <c r="K13" s="161">
        <f>+H13/I13</f>
        <v>10.681333394893578</v>
      </c>
      <c r="L13" s="13">
        <v>4602088</v>
      </c>
      <c r="M13" s="6">
        <v>434759</v>
      </c>
      <c r="N13" s="160">
        <f>+L13/M13</f>
        <v>10.5853771859812</v>
      </c>
      <c r="O13" s="433">
        <v>3</v>
      </c>
    </row>
    <row r="14" spans="1:15" s="68" customFormat="1" ht="12" customHeight="1">
      <c r="A14" s="433">
        <v>4</v>
      </c>
      <c r="B14" s="152" t="s">
        <v>139</v>
      </c>
      <c r="C14" s="2">
        <v>40515</v>
      </c>
      <c r="D14" s="12" t="s">
        <v>10</v>
      </c>
      <c r="E14" s="3">
        <v>337</v>
      </c>
      <c r="F14" s="3">
        <v>292</v>
      </c>
      <c r="G14" s="3">
        <v>6</v>
      </c>
      <c r="H14" s="485">
        <v>638062</v>
      </c>
      <c r="I14" s="486">
        <v>72167</v>
      </c>
      <c r="J14" s="80">
        <f>I14/F14</f>
        <v>247.1472602739726</v>
      </c>
      <c r="K14" s="141">
        <f>H14/I14</f>
        <v>8.841464935496834</v>
      </c>
      <c r="L14" s="30">
        <v>19293080</v>
      </c>
      <c r="M14" s="29">
        <v>2054938</v>
      </c>
      <c r="N14" s="153">
        <f>+L14/M14</f>
        <v>9.388643355663286</v>
      </c>
      <c r="O14" s="433">
        <v>4</v>
      </c>
    </row>
    <row r="15" spans="1:15" s="68" customFormat="1" ht="12" customHeight="1">
      <c r="A15" s="433">
        <v>5</v>
      </c>
      <c r="B15" s="136" t="s">
        <v>143</v>
      </c>
      <c r="C15" s="22">
        <v>40529</v>
      </c>
      <c r="D15" s="137" t="s">
        <v>30</v>
      </c>
      <c r="E15" s="23">
        <v>147</v>
      </c>
      <c r="F15" s="23">
        <v>147</v>
      </c>
      <c r="G15" s="23">
        <v>3</v>
      </c>
      <c r="H15" s="479">
        <v>518408</v>
      </c>
      <c r="I15" s="478">
        <v>61133</v>
      </c>
      <c r="J15" s="81">
        <f>(I15/F15)</f>
        <v>415.8707482993197</v>
      </c>
      <c r="K15" s="138">
        <f>H15/I15</f>
        <v>8.480002617244368</v>
      </c>
      <c r="L15" s="16">
        <f>691567.5+648414.5+518408</f>
        <v>1858390</v>
      </c>
      <c r="M15" s="7">
        <f>79327+75064+61133</f>
        <v>215524</v>
      </c>
      <c r="N15" s="135">
        <f>L15/M15</f>
        <v>8.622659193407694</v>
      </c>
      <c r="O15" s="433">
        <v>5</v>
      </c>
    </row>
    <row r="16" spans="1:15" s="68" customFormat="1" ht="12" customHeight="1">
      <c r="A16" s="433">
        <v>6</v>
      </c>
      <c r="B16" s="133" t="s">
        <v>311</v>
      </c>
      <c r="C16" s="22">
        <v>40536</v>
      </c>
      <c r="D16" s="183" t="s">
        <v>23</v>
      </c>
      <c r="E16" s="23">
        <v>112</v>
      </c>
      <c r="F16" s="23">
        <v>114</v>
      </c>
      <c r="G16" s="23">
        <v>3</v>
      </c>
      <c r="H16" s="475">
        <v>439081</v>
      </c>
      <c r="I16" s="476">
        <v>38093</v>
      </c>
      <c r="J16" s="28">
        <f>I16/F16</f>
        <v>334.14912280701753</v>
      </c>
      <c r="K16" s="180">
        <f>+H16/I16</f>
        <v>11.526553435014307</v>
      </c>
      <c r="L16" s="26">
        <v>2102863</v>
      </c>
      <c r="M16" s="28">
        <v>179149</v>
      </c>
      <c r="N16" s="181">
        <f aca="true" t="shared" si="0" ref="N16:N28">+L16/M16</f>
        <v>11.738067195462994</v>
      </c>
      <c r="O16" s="433">
        <v>6</v>
      </c>
    </row>
    <row r="17" spans="1:15" s="68" customFormat="1" ht="12" customHeight="1">
      <c r="A17" s="433">
        <v>7</v>
      </c>
      <c r="B17" s="136" t="s">
        <v>290</v>
      </c>
      <c r="C17" s="22">
        <v>40536</v>
      </c>
      <c r="D17" s="183" t="s">
        <v>23</v>
      </c>
      <c r="E17" s="23">
        <v>91</v>
      </c>
      <c r="F17" s="23">
        <v>92</v>
      </c>
      <c r="G17" s="23">
        <v>2</v>
      </c>
      <c r="H17" s="467">
        <v>390086</v>
      </c>
      <c r="I17" s="476">
        <v>33581</v>
      </c>
      <c r="J17" s="28">
        <f>I17/F17</f>
        <v>365.0108695652174</v>
      </c>
      <c r="K17" s="188">
        <f>+H17/I17</f>
        <v>11.616271105684762</v>
      </c>
      <c r="L17" s="18">
        <v>972705</v>
      </c>
      <c r="M17" s="28">
        <v>84601</v>
      </c>
      <c r="N17" s="181">
        <f t="shared" si="0"/>
        <v>11.497559130506732</v>
      </c>
      <c r="O17" s="433">
        <v>7</v>
      </c>
    </row>
    <row r="18" spans="1:15" s="68" customFormat="1" ht="12" customHeight="1">
      <c r="A18" s="433">
        <v>8</v>
      </c>
      <c r="B18" s="154" t="s">
        <v>324</v>
      </c>
      <c r="C18" s="2">
        <v>40536</v>
      </c>
      <c r="D18" s="12" t="s">
        <v>10</v>
      </c>
      <c r="E18" s="3">
        <v>48</v>
      </c>
      <c r="F18" s="3">
        <v>48</v>
      </c>
      <c r="G18" s="3">
        <v>2</v>
      </c>
      <c r="H18" s="483">
        <v>281047</v>
      </c>
      <c r="I18" s="486">
        <v>23436</v>
      </c>
      <c r="J18" s="80">
        <f>I18/F18</f>
        <v>488.25</v>
      </c>
      <c r="K18" s="188">
        <f>+H18/I18</f>
        <v>11.992106161461</v>
      </c>
      <c r="L18" s="156">
        <v>605758</v>
      </c>
      <c r="M18" s="29">
        <v>52142</v>
      </c>
      <c r="N18" s="153">
        <f t="shared" si="0"/>
        <v>11.61746768440029</v>
      </c>
      <c r="O18" s="433">
        <v>8</v>
      </c>
    </row>
    <row r="19" spans="1:15" s="68" customFormat="1" ht="12" customHeight="1">
      <c r="A19" s="433">
        <v>9</v>
      </c>
      <c r="B19" s="152" t="s">
        <v>139</v>
      </c>
      <c r="C19" s="2">
        <v>40515</v>
      </c>
      <c r="D19" s="10" t="s">
        <v>10</v>
      </c>
      <c r="E19" s="4">
        <v>337</v>
      </c>
      <c r="F19" s="4">
        <v>128</v>
      </c>
      <c r="G19" s="4">
        <v>7</v>
      </c>
      <c r="H19" s="485">
        <v>271404</v>
      </c>
      <c r="I19" s="486">
        <v>30669</v>
      </c>
      <c r="J19" s="80">
        <f>I19/F19</f>
        <v>239.6015625</v>
      </c>
      <c r="K19" s="141">
        <f>H19/I19</f>
        <v>8.849457106524504</v>
      </c>
      <c r="L19" s="30">
        <v>19564484</v>
      </c>
      <c r="M19" s="29">
        <v>2085607</v>
      </c>
      <c r="N19" s="153">
        <f t="shared" si="0"/>
        <v>9.380714583332335</v>
      </c>
      <c r="O19" s="433">
        <v>9</v>
      </c>
    </row>
    <row r="20" spans="1:15" s="68" customFormat="1" ht="12" customHeight="1">
      <c r="A20" s="433">
        <v>10</v>
      </c>
      <c r="B20" s="150" t="s">
        <v>311</v>
      </c>
      <c r="C20" s="22">
        <v>40536</v>
      </c>
      <c r="D20" s="137" t="s">
        <v>23</v>
      </c>
      <c r="E20" s="139">
        <v>112</v>
      </c>
      <c r="F20" s="139">
        <v>67</v>
      </c>
      <c r="G20" s="139">
        <v>7</v>
      </c>
      <c r="H20" s="475">
        <v>251883</v>
      </c>
      <c r="I20" s="476">
        <v>23368</v>
      </c>
      <c r="J20" s="28">
        <f>I20/F20</f>
        <v>348.7761194029851</v>
      </c>
      <c r="K20" s="180">
        <f aca="true" t="shared" si="1" ref="K20:K27">+H20/I20</f>
        <v>10.778971242725094</v>
      </c>
      <c r="L20" s="26">
        <v>2567209</v>
      </c>
      <c r="M20" s="28">
        <v>225627</v>
      </c>
      <c r="N20" s="181">
        <f t="shared" si="0"/>
        <v>11.378110775749356</v>
      </c>
      <c r="O20" s="433">
        <v>10</v>
      </c>
    </row>
    <row r="21" spans="1:15" s="68" customFormat="1" ht="12" customHeight="1">
      <c r="A21" s="433">
        <v>11</v>
      </c>
      <c r="B21" s="157" t="s">
        <v>323</v>
      </c>
      <c r="C21" s="2">
        <v>40522</v>
      </c>
      <c r="D21" s="15" t="s">
        <v>8</v>
      </c>
      <c r="E21" s="4">
        <v>110</v>
      </c>
      <c r="F21" s="4">
        <v>71</v>
      </c>
      <c r="G21" s="4">
        <v>5</v>
      </c>
      <c r="H21" s="498">
        <v>224162</v>
      </c>
      <c r="I21" s="499">
        <v>19224</v>
      </c>
      <c r="J21" s="72">
        <f>+I21/F21</f>
        <v>270.76056338028167</v>
      </c>
      <c r="K21" s="159">
        <f t="shared" si="1"/>
        <v>11.660528506034124</v>
      </c>
      <c r="L21" s="5">
        <v>4826250</v>
      </c>
      <c r="M21" s="6">
        <v>453983</v>
      </c>
      <c r="N21" s="160">
        <f t="shared" si="0"/>
        <v>10.63090468145283</v>
      </c>
      <c r="O21" s="433">
        <v>11</v>
      </c>
    </row>
    <row r="22" spans="1:15" s="68" customFormat="1" ht="12" customHeight="1">
      <c r="A22" s="433">
        <v>12</v>
      </c>
      <c r="B22" s="133" t="s">
        <v>290</v>
      </c>
      <c r="C22" s="22">
        <v>40536</v>
      </c>
      <c r="D22" s="183" t="s">
        <v>23</v>
      </c>
      <c r="E22" s="23">
        <v>91</v>
      </c>
      <c r="F22" s="23">
        <v>90</v>
      </c>
      <c r="G22" s="23">
        <v>3</v>
      </c>
      <c r="H22" s="475">
        <v>191201</v>
      </c>
      <c r="I22" s="476">
        <v>16807</v>
      </c>
      <c r="J22" s="28">
        <f>I22/F22</f>
        <v>186.74444444444444</v>
      </c>
      <c r="K22" s="180">
        <f t="shared" si="1"/>
        <v>11.37627179151544</v>
      </c>
      <c r="L22" s="26">
        <v>1163906</v>
      </c>
      <c r="M22" s="28">
        <v>101408</v>
      </c>
      <c r="N22" s="181">
        <f t="shared" si="0"/>
        <v>11.477457399810666</v>
      </c>
      <c r="O22" s="433">
        <v>12</v>
      </c>
    </row>
    <row r="23" spans="1:15" s="68" customFormat="1" ht="12" customHeight="1">
      <c r="A23" s="433">
        <v>13</v>
      </c>
      <c r="B23" s="154" t="s">
        <v>287</v>
      </c>
      <c r="C23" s="2">
        <v>40529</v>
      </c>
      <c r="D23" s="12" t="s">
        <v>10</v>
      </c>
      <c r="E23" s="3">
        <v>72</v>
      </c>
      <c r="F23" s="3">
        <v>71</v>
      </c>
      <c r="G23" s="3">
        <v>3</v>
      </c>
      <c r="H23" s="483">
        <v>165182</v>
      </c>
      <c r="I23" s="486">
        <v>14707</v>
      </c>
      <c r="J23" s="80">
        <f>I23/F23</f>
        <v>207.14084507042253</v>
      </c>
      <c r="K23" s="188">
        <f t="shared" si="1"/>
        <v>11.231522404297273</v>
      </c>
      <c r="L23" s="156">
        <v>909930</v>
      </c>
      <c r="M23" s="29">
        <v>83118</v>
      </c>
      <c r="N23" s="153">
        <f t="shared" si="0"/>
        <v>10.94744820616473</v>
      </c>
      <c r="O23" s="433">
        <v>13</v>
      </c>
    </row>
    <row r="24" spans="1:15" s="68" customFormat="1" ht="12" customHeight="1">
      <c r="A24" s="433">
        <v>14</v>
      </c>
      <c r="B24" s="287" t="s">
        <v>311</v>
      </c>
      <c r="C24" s="289">
        <v>40536</v>
      </c>
      <c r="D24" s="290" t="s">
        <v>23</v>
      </c>
      <c r="E24" s="162">
        <v>112</v>
      </c>
      <c r="F24" s="162">
        <v>51</v>
      </c>
      <c r="G24" s="162">
        <v>4</v>
      </c>
      <c r="H24" s="471">
        <v>136869</v>
      </c>
      <c r="I24" s="472">
        <v>12796</v>
      </c>
      <c r="J24" s="163">
        <f>I24/F24</f>
        <v>250.90196078431373</v>
      </c>
      <c r="K24" s="291">
        <f t="shared" si="1"/>
        <v>10.696233197874335</v>
      </c>
      <c r="L24" s="164">
        <v>2239732</v>
      </c>
      <c r="M24" s="163">
        <v>191945</v>
      </c>
      <c r="N24" s="292">
        <f t="shared" si="0"/>
        <v>11.668613404881606</v>
      </c>
      <c r="O24" s="433">
        <v>14</v>
      </c>
    </row>
    <row r="25" spans="1:15" s="68" customFormat="1" ht="12" customHeight="1">
      <c r="A25" s="433">
        <v>15</v>
      </c>
      <c r="B25" s="287" t="s">
        <v>311</v>
      </c>
      <c r="C25" s="289">
        <v>40536</v>
      </c>
      <c r="D25" s="290" t="s">
        <v>23</v>
      </c>
      <c r="E25" s="162">
        <v>112</v>
      </c>
      <c r="F25" s="162">
        <v>76</v>
      </c>
      <c r="G25" s="162">
        <v>8</v>
      </c>
      <c r="H25" s="471">
        <v>133175</v>
      </c>
      <c r="I25" s="472">
        <v>12385</v>
      </c>
      <c r="J25" s="163">
        <f>I25/F25</f>
        <v>162.96052631578948</v>
      </c>
      <c r="K25" s="291">
        <f t="shared" si="1"/>
        <v>10.752926927735164</v>
      </c>
      <c r="L25" s="164">
        <v>2700384</v>
      </c>
      <c r="M25" s="163">
        <v>238012</v>
      </c>
      <c r="N25" s="292">
        <f t="shared" si="0"/>
        <v>11.345579214493387</v>
      </c>
      <c r="O25" s="433">
        <v>15</v>
      </c>
    </row>
    <row r="26" spans="1:15" s="68" customFormat="1" ht="12" customHeight="1">
      <c r="A26" s="433">
        <v>16</v>
      </c>
      <c r="B26" s="173" t="s">
        <v>153</v>
      </c>
      <c r="C26" s="2">
        <v>40487</v>
      </c>
      <c r="D26" s="15" t="s">
        <v>8</v>
      </c>
      <c r="E26" s="4">
        <v>312</v>
      </c>
      <c r="F26" s="4">
        <v>86</v>
      </c>
      <c r="G26" s="4">
        <v>9</v>
      </c>
      <c r="H26" s="502">
        <v>125458</v>
      </c>
      <c r="I26" s="499">
        <v>15869</v>
      </c>
      <c r="J26" s="72">
        <f>+I26/F26</f>
        <v>184.52325581395348</v>
      </c>
      <c r="K26" s="161">
        <f t="shared" si="1"/>
        <v>7.90585418110782</v>
      </c>
      <c r="L26" s="13">
        <v>31622053</v>
      </c>
      <c r="M26" s="6">
        <v>3470958</v>
      </c>
      <c r="N26" s="160">
        <f t="shared" si="0"/>
        <v>9.110468349084028</v>
      </c>
      <c r="O26" s="433">
        <v>16</v>
      </c>
    </row>
    <row r="27" spans="1:15" s="68" customFormat="1" ht="12" customHeight="1">
      <c r="A27" s="433">
        <v>17</v>
      </c>
      <c r="B27" s="157" t="s">
        <v>323</v>
      </c>
      <c r="C27" s="2">
        <v>40522</v>
      </c>
      <c r="D27" s="10" t="s">
        <v>8</v>
      </c>
      <c r="E27" s="4">
        <v>110</v>
      </c>
      <c r="F27" s="4">
        <v>66</v>
      </c>
      <c r="G27" s="4">
        <v>6</v>
      </c>
      <c r="H27" s="498">
        <v>118638</v>
      </c>
      <c r="I27" s="499">
        <v>12477</v>
      </c>
      <c r="J27" s="72">
        <f>+I27/F27</f>
        <v>189.04545454545453</v>
      </c>
      <c r="K27" s="159">
        <f t="shared" si="1"/>
        <v>9.508535705698485</v>
      </c>
      <c r="L27" s="5">
        <v>4944888</v>
      </c>
      <c r="M27" s="6">
        <v>466460</v>
      </c>
      <c r="N27" s="160">
        <f t="shared" si="0"/>
        <v>10.600883248295673</v>
      </c>
      <c r="O27" s="433">
        <v>17</v>
      </c>
    </row>
    <row r="28" spans="1:15" s="68" customFormat="1" ht="12" customHeight="1">
      <c r="A28" s="433">
        <v>18</v>
      </c>
      <c r="B28" s="173" t="s">
        <v>142</v>
      </c>
      <c r="C28" s="2">
        <v>40529</v>
      </c>
      <c r="D28" s="14" t="s">
        <v>134</v>
      </c>
      <c r="E28" s="4">
        <v>81</v>
      </c>
      <c r="F28" s="4">
        <v>69</v>
      </c>
      <c r="G28" s="4">
        <v>3</v>
      </c>
      <c r="H28" s="492">
        <v>90040</v>
      </c>
      <c r="I28" s="493">
        <v>10688</v>
      </c>
      <c r="J28" s="168">
        <f>I28/F28</f>
        <v>154.8985507246377</v>
      </c>
      <c r="K28" s="182">
        <f aca="true" t="shared" si="2" ref="K28:K33">H28/I28</f>
        <v>8.42440119760479</v>
      </c>
      <c r="L28" s="199">
        <v>472298</v>
      </c>
      <c r="M28" s="171">
        <v>55934</v>
      </c>
      <c r="N28" s="172">
        <f t="shared" si="0"/>
        <v>8.443844531054458</v>
      </c>
      <c r="O28" s="433">
        <v>18</v>
      </c>
    </row>
    <row r="29" spans="1:15" s="68" customFormat="1" ht="12" customHeight="1">
      <c r="A29" s="433">
        <v>19</v>
      </c>
      <c r="B29" s="133" t="s">
        <v>143</v>
      </c>
      <c r="C29" s="22">
        <v>40529</v>
      </c>
      <c r="D29" s="137" t="s">
        <v>30</v>
      </c>
      <c r="E29" s="23">
        <v>147</v>
      </c>
      <c r="F29" s="23">
        <v>70</v>
      </c>
      <c r="G29" s="23">
        <v>4</v>
      </c>
      <c r="H29" s="477">
        <v>71112.5</v>
      </c>
      <c r="I29" s="478">
        <v>10235</v>
      </c>
      <c r="J29" s="81">
        <f>(I29/F29)</f>
        <v>146.21428571428572</v>
      </c>
      <c r="K29" s="134">
        <f t="shared" si="2"/>
        <v>6.947972642892037</v>
      </c>
      <c r="L29" s="8">
        <f>691567.5+648414.5+518408+71112.5</f>
        <v>1929502.5</v>
      </c>
      <c r="M29" s="7">
        <f>79327+75064+61133+10235</f>
        <v>225759</v>
      </c>
      <c r="N29" s="135">
        <f>L29/M29</f>
        <v>8.546735678311828</v>
      </c>
      <c r="O29" s="433">
        <v>19</v>
      </c>
    </row>
    <row r="30" spans="1:15" s="68" customFormat="1" ht="12" customHeight="1">
      <c r="A30" s="433">
        <v>20</v>
      </c>
      <c r="B30" s="335" t="s">
        <v>135</v>
      </c>
      <c r="C30" s="22">
        <v>40522</v>
      </c>
      <c r="D30" s="137" t="s">
        <v>30</v>
      </c>
      <c r="E30" s="23">
        <v>127</v>
      </c>
      <c r="F30" s="23">
        <v>65</v>
      </c>
      <c r="G30" s="23">
        <v>4</v>
      </c>
      <c r="H30" s="479">
        <v>70165.5</v>
      </c>
      <c r="I30" s="478">
        <v>8841</v>
      </c>
      <c r="J30" s="81">
        <f>(I30/F30)</f>
        <v>136.01538461538462</v>
      </c>
      <c r="K30" s="138">
        <f t="shared" si="2"/>
        <v>7.9363759755683745</v>
      </c>
      <c r="L30" s="16">
        <f>1048675+809166.5+457718.5+70165.5</f>
        <v>2385725.5</v>
      </c>
      <c r="M30" s="7">
        <f>92481+73795+43350+8841</f>
        <v>218467</v>
      </c>
      <c r="N30" s="135">
        <f>L30/M30</f>
        <v>10.92030146429438</v>
      </c>
      <c r="O30" s="433">
        <v>20</v>
      </c>
    </row>
    <row r="31" spans="1:15" s="68" customFormat="1" ht="12" customHeight="1">
      <c r="A31" s="433">
        <v>21</v>
      </c>
      <c r="B31" s="152" t="s">
        <v>324</v>
      </c>
      <c r="C31" s="2">
        <v>40536</v>
      </c>
      <c r="D31" s="12" t="s">
        <v>10</v>
      </c>
      <c r="E31" s="3">
        <v>48</v>
      </c>
      <c r="F31" s="3">
        <v>36</v>
      </c>
      <c r="G31" s="3">
        <v>3</v>
      </c>
      <c r="H31" s="485">
        <v>66790</v>
      </c>
      <c r="I31" s="486">
        <v>5435</v>
      </c>
      <c r="J31" s="80">
        <f>I31/F31</f>
        <v>150.97222222222223</v>
      </c>
      <c r="K31" s="141">
        <f t="shared" si="2"/>
        <v>12.288868445262189</v>
      </c>
      <c r="L31" s="30">
        <v>672548</v>
      </c>
      <c r="M31" s="29">
        <v>57577</v>
      </c>
      <c r="N31" s="153">
        <f>+L31/M31</f>
        <v>11.6808447817705</v>
      </c>
      <c r="O31" s="433">
        <v>21</v>
      </c>
    </row>
    <row r="32" spans="1:15" s="68" customFormat="1" ht="12" customHeight="1">
      <c r="A32" s="433">
        <v>22</v>
      </c>
      <c r="B32" s="152" t="s">
        <v>139</v>
      </c>
      <c r="C32" s="2">
        <v>40515</v>
      </c>
      <c r="D32" s="9" t="s">
        <v>10</v>
      </c>
      <c r="E32" s="3">
        <v>337</v>
      </c>
      <c r="F32" s="3">
        <v>32</v>
      </c>
      <c r="G32" s="3">
        <v>8</v>
      </c>
      <c r="H32" s="485">
        <v>59187</v>
      </c>
      <c r="I32" s="486">
        <v>7792</v>
      </c>
      <c r="J32" s="80">
        <f>I32/F32</f>
        <v>243.5</v>
      </c>
      <c r="K32" s="141">
        <f t="shared" si="2"/>
        <v>7.595867556468172</v>
      </c>
      <c r="L32" s="30">
        <v>19623671</v>
      </c>
      <c r="M32" s="29">
        <v>2093399</v>
      </c>
      <c r="N32" s="153">
        <f>+L32/M32</f>
        <v>9.374071068152798</v>
      </c>
      <c r="O32" s="433">
        <v>22</v>
      </c>
    </row>
    <row r="33" spans="1:15" s="68" customFormat="1" ht="12" customHeight="1">
      <c r="A33" s="433">
        <v>23</v>
      </c>
      <c r="B33" s="173" t="s">
        <v>323</v>
      </c>
      <c r="C33" s="2">
        <v>40522</v>
      </c>
      <c r="D33" s="11" t="s">
        <v>8</v>
      </c>
      <c r="E33" s="4">
        <v>110</v>
      </c>
      <c r="F33" s="4">
        <v>32</v>
      </c>
      <c r="G33" s="4">
        <v>7</v>
      </c>
      <c r="H33" s="498">
        <v>51075</v>
      </c>
      <c r="I33" s="499">
        <v>6840</v>
      </c>
      <c r="J33" s="81">
        <f>(I33/F33)</f>
        <v>213.75</v>
      </c>
      <c r="K33" s="134">
        <f t="shared" si="2"/>
        <v>7.467105263157895</v>
      </c>
      <c r="L33" s="5">
        <v>4995963</v>
      </c>
      <c r="M33" s="6">
        <v>473300</v>
      </c>
      <c r="N33" s="135">
        <f>L33/M33</f>
        <v>10.55559476019438</v>
      </c>
      <c r="O33" s="433">
        <v>23</v>
      </c>
    </row>
    <row r="34" spans="1:15" s="68" customFormat="1" ht="12" customHeight="1">
      <c r="A34" s="433">
        <v>24</v>
      </c>
      <c r="B34" s="154" t="s">
        <v>159</v>
      </c>
      <c r="C34" s="2">
        <v>40529</v>
      </c>
      <c r="D34" s="12" t="s">
        <v>21</v>
      </c>
      <c r="E34" s="3">
        <v>134</v>
      </c>
      <c r="F34" s="3">
        <v>121</v>
      </c>
      <c r="G34" s="3">
        <v>3</v>
      </c>
      <c r="H34" s="489">
        <v>49789.5</v>
      </c>
      <c r="I34" s="488">
        <v>7079</v>
      </c>
      <c r="J34" s="72">
        <f>IF(H34&lt;&gt;0,I34/F34,"")</f>
        <v>58.50413223140496</v>
      </c>
      <c r="K34" s="161">
        <f>IF(H34&lt;&gt;0,H34/I34,"")</f>
        <v>7.0334086735414605</v>
      </c>
      <c r="L34" s="24">
        <f>244174+121219.5+H34</f>
        <v>415183</v>
      </c>
      <c r="M34" s="28">
        <f>29518+15718+I34</f>
        <v>52315</v>
      </c>
      <c r="N34" s="160">
        <f>IF(L34&lt;&gt;0,L34/M34,"")</f>
        <v>7.936213323138679</v>
      </c>
      <c r="O34" s="433">
        <v>24</v>
      </c>
    </row>
    <row r="35" spans="1:15" s="68" customFormat="1" ht="12" customHeight="1">
      <c r="A35" s="433">
        <v>25</v>
      </c>
      <c r="B35" s="136" t="s">
        <v>296</v>
      </c>
      <c r="C35" s="22">
        <v>40515</v>
      </c>
      <c r="D35" s="137" t="s">
        <v>30</v>
      </c>
      <c r="E35" s="23">
        <v>62</v>
      </c>
      <c r="F35" s="23">
        <v>62</v>
      </c>
      <c r="G35" s="23">
        <v>5</v>
      </c>
      <c r="H35" s="479">
        <v>47812</v>
      </c>
      <c r="I35" s="478">
        <v>7581</v>
      </c>
      <c r="J35" s="81">
        <f>(I35/F35)</f>
        <v>122.2741935483871</v>
      </c>
      <c r="K35" s="138">
        <f>H35/I35</f>
        <v>6.3068196807809</v>
      </c>
      <c r="L35" s="16">
        <f>353151+191248+132731.5+71376+47812</f>
        <v>796318.5</v>
      </c>
      <c r="M35" s="7">
        <f>34650+19352+14525+10591+7581</f>
        <v>86699</v>
      </c>
      <c r="N35" s="135">
        <f>L35/M35</f>
        <v>9.184863723918385</v>
      </c>
      <c r="O35" s="433">
        <v>25</v>
      </c>
    </row>
    <row r="36" spans="1:15" s="68" customFormat="1" ht="12" customHeight="1">
      <c r="A36" s="433">
        <v>26</v>
      </c>
      <c r="B36" s="142" t="s">
        <v>143</v>
      </c>
      <c r="C36" s="143">
        <v>40529</v>
      </c>
      <c r="D36" s="137" t="s">
        <v>30</v>
      </c>
      <c r="E36" s="144">
        <v>147</v>
      </c>
      <c r="F36" s="144">
        <v>41</v>
      </c>
      <c r="G36" s="144">
        <v>5</v>
      </c>
      <c r="H36" s="481">
        <v>45526</v>
      </c>
      <c r="I36" s="482">
        <v>7792</v>
      </c>
      <c r="J36" s="145">
        <f>(I36/F36)</f>
        <v>190.0487804878049</v>
      </c>
      <c r="K36" s="146">
        <f>H36/I36</f>
        <v>5.842659137577002</v>
      </c>
      <c r="L36" s="147">
        <f>691567.5+648414.5+518408+71321.5+45526</f>
        <v>1975237.5</v>
      </c>
      <c r="M36" s="148">
        <f>79327+75064+61133+10266+7792</f>
        <v>233582</v>
      </c>
      <c r="N36" s="149">
        <f>L36/M36</f>
        <v>8.456291580686868</v>
      </c>
      <c r="O36" s="433">
        <v>26</v>
      </c>
    </row>
    <row r="37" spans="1:15" s="68" customFormat="1" ht="12" customHeight="1">
      <c r="A37" s="433">
        <v>27</v>
      </c>
      <c r="B37" s="150" t="s">
        <v>296</v>
      </c>
      <c r="C37" s="22">
        <v>40515</v>
      </c>
      <c r="D37" s="137" t="s">
        <v>30</v>
      </c>
      <c r="E37" s="139">
        <v>62</v>
      </c>
      <c r="F37" s="139">
        <v>28</v>
      </c>
      <c r="G37" s="139">
        <v>10</v>
      </c>
      <c r="H37" s="477">
        <v>42312</v>
      </c>
      <c r="I37" s="478">
        <v>6589</v>
      </c>
      <c r="J37" s="81">
        <f>(I37/F37)</f>
        <v>235.32142857142858</v>
      </c>
      <c r="K37" s="134">
        <f>H37/I37</f>
        <v>6.421611777204432</v>
      </c>
      <c r="L37" s="8">
        <f>353151+191248+132731.5+71376+47862+26248.5+19265+34650.5+35095.5+42312</f>
        <v>953940</v>
      </c>
      <c r="M37" s="7">
        <f>34650+19352+14525+10591+7581+5012+3223+6065+6865+6589</f>
        <v>114453</v>
      </c>
      <c r="N37" s="135">
        <f>L37/M37</f>
        <v>8.334774973133076</v>
      </c>
      <c r="O37" s="433">
        <v>27</v>
      </c>
    </row>
    <row r="38" spans="1:15" s="68" customFormat="1" ht="12" customHeight="1">
      <c r="A38" s="433">
        <v>28</v>
      </c>
      <c r="B38" s="133" t="s">
        <v>311</v>
      </c>
      <c r="C38" s="22">
        <v>40536</v>
      </c>
      <c r="D38" s="189" t="s">
        <v>23</v>
      </c>
      <c r="E38" s="23">
        <v>112</v>
      </c>
      <c r="F38" s="23">
        <v>16</v>
      </c>
      <c r="G38" s="23">
        <v>6</v>
      </c>
      <c r="H38" s="475">
        <v>40300</v>
      </c>
      <c r="I38" s="476">
        <v>4735</v>
      </c>
      <c r="J38" s="28">
        <f>I38/F38</f>
        <v>295.9375</v>
      </c>
      <c r="K38" s="180">
        <f>+H38/I38</f>
        <v>8.511087645195353</v>
      </c>
      <c r="L38" s="26">
        <v>2315326</v>
      </c>
      <c r="M38" s="28">
        <v>202259</v>
      </c>
      <c r="N38" s="153">
        <f>+L38/M38</f>
        <v>11.447332380759324</v>
      </c>
      <c r="O38" s="433">
        <v>28</v>
      </c>
    </row>
    <row r="39" spans="1:15" s="68" customFormat="1" ht="12" customHeight="1">
      <c r="A39" s="433">
        <v>29</v>
      </c>
      <c r="B39" s="136" t="s">
        <v>311</v>
      </c>
      <c r="C39" s="22">
        <v>40536</v>
      </c>
      <c r="D39" s="189" t="s">
        <v>23</v>
      </c>
      <c r="E39" s="23">
        <v>112</v>
      </c>
      <c r="F39" s="23">
        <v>26</v>
      </c>
      <c r="G39" s="23">
        <v>5</v>
      </c>
      <c r="H39" s="475">
        <v>35294</v>
      </c>
      <c r="I39" s="476">
        <v>5579</v>
      </c>
      <c r="J39" s="28">
        <f>I39/F39</f>
        <v>214.57692307692307</v>
      </c>
      <c r="K39" s="180">
        <f>+H39/I39</f>
        <v>6.3262233375156836</v>
      </c>
      <c r="L39" s="26">
        <v>2275026</v>
      </c>
      <c r="M39" s="28">
        <v>197524</v>
      </c>
      <c r="N39" s="181">
        <f>+L39/M39</f>
        <v>11.51771936574796</v>
      </c>
      <c r="O39" s="433">
        <v>29</v>
      </c>
    </row>
    <row r="40" spans="1:15" s="68" customFormat="1" ht="12" customHeight="1">
      <c r="A40" s="433">
        <v>30</v>
      </c>
      <c r="B40" s="133" t="s">
        <v>296</v>
      </c>
      <c r="C40" s="22">
        <v>40515</v>
      </c>
      <c r="D40" s="137" t="s">
        <v>30</v>
      </c>
      <c r="E40" s="23">
        <v>62</v>
      </c>
      <c r="F40" s="23">
        <v>37</v>
      </c>
      <c r="G40" s="23">
        <v>9</v>
      </c>
      <c r="H40" s="477">
        <v>35095.5</v>
      </c>
      <c r="I40" s="478">
        <v>6865</v>
      </c>
      <c r="J40" s="81">
        <f>(I40/F40)</f>
        <v>185.54054054054055</v>
      </c>
      <c r="K40" s="134">
        <f>H40/I40</f>
        <v>5.112235979606701</v>
      </c>
      <c r="L40" s="8">
        <f>353151+191248+132731.5+71376+47862+26248.5+19265+34650.5+35095.5</f>
        <v>911628</v>
      </c>
      <c r="M40" s="7">
        <f>34650+19352+14525+10591+7581+5012+3223+6065+6865</f>
        <v>107864</v>
      </c>
      <c r="N40" s="135">
        <f>L40/M40</f>
        <v>8.451642809463769</v>
      </c>
      <c r="O40" s="433">
        <v>30</v>
      </c>
    </row>
    <row r="41" spans="1:15" s="68" customFormat="1" ht="12" customHeight="1">
      <c r="A41" s="433">
        <v>31</v>
      </c>
      <c r="B41" s="136" t="s">
        <v>296</v>
      </c>
      <c r="C41" s="22">
        <v>40515</v>
      </c>
      <c r="D41" s="137" t="s">
        <v>30</v>
      </c>
      <c r="E41" s="23">
        <v>62</v>
      </c>
      <c r="F41" s="23">
        <v>36</v>
      </c>
      <c r="G41" s="23">
        <v>8</v>
      </c>
      <c r="H41" s="477">
        <v>34650.5</v>
      </c>
      <c r="I41" s="478">
        <v>6065</v>
      </c>
      <c r="J41" s="81">
        <f>(I41/F41)</f>
        <v>168.47222222222223</v>
      </c>
      <c r="K41" s="134">
        <f>H41/I41</f>
        <v>5.713190436933224</v>
      </c>
      <c r="L41" s="8">
        <f>353151+191248+132731.5+71376+47862+26248.5+19265+34650.5</f>
        <v>876532.5</v>
      </c>
      <c r="M41" s="7">
        <f>34650+19352+14525+10591+7581+5012+3223+6065</f>
        <v>100999</v>
      </c>
      <c r="N41" s="135">
        <f>L41/M41</f>
        <v>8.678625530945851</v>
      </c>
      <c r="O41" s="433">
        <v>31</v>
      </c>
    </row>
    <row r="42" spans="1:15" s="68" customFormat="1" ht="12" customHeight="1">
      <c r="A42" s="433">
        <v>32</v>
      </c>
      <c r="B42" s="154" t="s">
        <v>270</v>
      </c>
      <c r="C42" s="2">
        <v>40499</v>
      </c>
      <c r="D42" s="12" t="s">
        <v>10</v>
      </c>
      <c r="E42" s="3">
        <v>216</v>
      </c>
      <c r="F42" s="3">
        <v>34</v>
      </c>
      <c r="G42" s="3">
        <v>7</v>
      </c>
      <c r="H42" s="483">
        <v>30434</v>
      </c>
      <c r="I42" s="486">
        <v>4757</v>
      </c>
      <c r="J42" s="80">
        <f>I42/F42</f>
        <v>139.91176470588235</v>
      </c>
      <c r="K42" s="155">
        <f>H42/I42</f>
        <v>6.397729661551398</v>
      </c>
      <c r="L42" s="156">
        <v>7544141</v>
      </c>
      <c r="M42" s="29">
        <v>795478</v>
      </c>
      <c r="N42" s="153">
        <f>+L42/M42</f>
        <v>9.4837833353028</v>
      </c>
      <c r="O42" s="433">
        <v>32</v>
      </c>
    </row>
    <row r="43" spans="1:15" s="68" customFormat="1" ht="12" customHeight="1">
      <c r="A43" s="433">
        <v>33</v>
      </c>
      <c r="B43" s="287" t="s">
        <v>290</v>
      </c>
      <c r="C43" s="289">
        <v>40536</v>
      </c>
      <c r="D43" s="290" t="s">
        <v>23</v>
      </c>
      <c r="E43" s="162">
        <v>91</v>
      </c>
      <c r="F43" s="162">
        <v>22</v>
      </c>
      <c r="G43" s="162">
        <v>4</v>
      </c>
      <c r="H43" s="471">
        <v>28672</v>
      </c>
      <c r="I43" s="472">
        <v>2679</v>
      </c>
      <c r="J43" s="163">
        <f>I43/F43</f>
        <v>121.77272727272727</v>
      </c>
      <c r="K43" s="291">
        <f>+H43/I43</f>
        <v>10.702500933184023</v>
      </c>
      <c r="L43" s="164">
        <v>1192578</v>
      </c>
      <c r="M43" s="163">
        <v>104087</v>
      </c>
      <c r="N43" s="292">
        <f>+L43/M43</f>
        <v>11.45751150479887</v>
      </c>
      <c r="O43" s="433">
        <v>33</v>
      </c>
    </row>
    <row r="44" spans="1:15" s="68" customFormat="1" ht="12" customHeight="1">
      <c r="A44" s="433">
        <v>34</v>
      </c>
      <c r="B44" s="133" t="s">
        <v>296</v>
      </c>
      <c r="C44" s="22">
        <v>40515</v>
      </c>
      <c r="D44" s="137" t="s">
        <v>30</v>
      </c>
      <c r="E44" s="23">
        <v>62</v>
      </c>
      <c r="F44" s="23">
        <v>42</v>
      </c>
      <c r="G44" s="23">
        <v>6</v>
      </c>
      <c r="H44" s="477">
        <v>26248.5</v>
      </c>
      <c r="I44" s="478">
        <v>5012</v>
      </c>
      <c r="J44" s="81">
        <f>(I44/F44)</f>
        <v>119.33333333333333</v>
      </c>
      <c r="K44" s="134">
        <f>H44/I44</f>
        <v>5.237130885873903</v>
      </c>
      <c r="L44" s="8">
        <f>353151+191248+132731.5+71376+47862+26248.5</f>
        <v>822617</v>
      </c>
      <c r="M44" s="7">
        <f>34650+19352+14525+10591+7581+5012</f>
        <v>91711</v>
      </c>
      <c r="N44" s="135">
        <f>L44/M44</f>
        <v>8.96966557991953</v>
      </c>
      <c r="O44" s="433">
        <v>34</v>
      </c>
    </row>
    <row r="45" spans="1:15" s="68" customFormat="1" ht="12" customHeight="1">
      <c r="A45" s="433">
        <v>35</v>
      </c>
      <c r="B45" s="142" t="s">
        <v>296</v>
      </c>
      <c r="C45" s="143">
        <v>40515</v>
      </c>
      <c r="D45" s="137" t="s">
        <v>30</v>
      </c>
      <c r="E45" s="144">
        <v>62</v>
      </c>
      <c r="F45" s="144">
        <v>26</v>
      </c>
      <c r="G45" s="144">
        <v>11</v>
      </c>
      <c r="H45" s="481">
        <v>25849</v>
      </c>
      <c r="I45" s="482">
        <v>3930</v>
      </c>
      <c r="J45" s="145">
        <f>(I45/F45)</f>
        <v>151.15384615384616</v>
      </c>
      <c r="K45" s="146">
        <f>H45/I45</f>
        <v>6.57735368956743</v>
      </c>
      <c r="L45" s="147">
        <f>353151+191248+132731.5+71376+47862+26248.5+19265+34650.5+35095.5+42312+25849</f>
        <v>979789</v>
      </c>
      <c r="M45" s="148">
        <f>34650+19352+14525+10591+7581+5012+3223+6065+6865+6589+3930</f>
        <v>118383</v>
      </c>
      <c r="N45" s="149">
        <f>L45/M45</f>
        <v>8.276433271669074</v>
      </c>
      <c r="O45" s="433">
        <v>35</v>
      </c>
    </row>
    <row r="46" spans="1:15" s="68" customFormat="1" ht="12" customHeight="1">
      <c r="A46" s="433">
        <v>36</v>
      </c>
      <c r="B46" s="150" t="s">
        <v>311</v>
      </c>
      <c r="C46" s="22">
        <v>40536</v>
      </c>
      <c r="D46" s="137" t="s">
        <v>23</v>
      </c>
      <c r="E46" s="139">
        <v>112</v>
      </c>
      <c r="F46" s="139">
        <v>21</v>
      </c>
      <c r="G46" s="139">
        <v>9</v>
      </c>
      <c r="H46" s="475">
        <v>25605</v>
      </c>
      <c r="I46" s="476">
        <v>2458</v>
      </c>
      <c r="J46" s="28">
        <f>I46/F46</f>
        <v>117.04761904761905</v>
      </c>
      <c r="K46" s="180">
        <f>+H46/I46</f>
        <v>10.417005695687552</v>
      </c>
      <c r="L46" s="26">
        <v>2725989</v>
      </c>
      <c r="M46" s="28">
        <v>240471</v>
      </c>
      <c r="N46" s="181">
        <f>+L46/M46</f>
        <v>11.33604052047856</v>
      </c>
      <c r="O46" s="433">
        <v>36</v>
      </c>
    </row>
    <row r="47" spans="1:15" s="68" customFormat="1" ht="12" customHeight="1">
      <c r="A47" s="433">
        <v>37</v>
      </c>
      <c r="B47" s="142" t="s">
        <v>296</v>
      </c>
      <c r="C47" s="143">
        <v>40515</v>
      </c>
      <c r="D47" s="137" t="s">
        <v>30</v>
      </c>
      <c r="E47" s="144">
        <v>62</v>
      </c>
      <c r="F47" s="144">
        <v>37</v>
      </c>
      <c r="G47" s="144">
        <v>7</v>
      </c>
      <c r="H47" s="481">
        <v>19265</v>
      </c>
      <c r="I47" s="482">
        <v>3223</v>
      </c>
      <c r="J47" s="145">
        <f>(I47/F47)</f>
        <v>87.10810810810811</v>
      </c>
      <c r="K47" s="146">
        <f>H47/I47</f>
        <v>5.977350294756438</v>
      </c>
      <c r="L47" s="147">
        <f>353151+191248+132731.5+71376+47862+26248.5+19265</f>
        <v>841882</v>
      </c>
      <c r="M47" s="148">
        <f>34650+19352+14525+10591+7581+5012+3223</f>
        <v>94934</v>
      </c>
      <c r="N47" s="149">
        <f>L47/M47</f>
        <v>8.868076769123812</v>
      </c>
      <c r="O47" s="433">
        <v>37</v>
      </c>
    </row>
    <row r="48" spans="1:15" s="68" customFormat="1" ht="12" customHeight="1">
      <c r="A48" s="433">
        <v>38</v>
      </c>
      <c r="B48" s="136" t="s">
        <v>143</v>
      </c>
      <c r="C48" s="22">
        <v>40529</v>
      </c>
      <c r="D48" s="137" t="s">
        <v>30</v>
      </c>
      <c r="E48" s="23">
        <v>147</v>
      </c>
      <c r="F48" s="23">
        <v>18</v>
      </c>
      <c r="G48" s="23">
        <v>6</v>
      </c>
      <c r="H48" s="477">
        <v>17480</v>
      </c>
      <c r="I48" s="478">
        <v>4345</v>
      </c>
      <c r="J48" s="81">
        <f>(I48/F48)</f>
        <v>241.38888888888889</v>
      </c>
      <c r="K48" s="134">
        <f>H48/I48</f>
        <v>4.02301495972382</v>
      </c>
      <c r="L48" s="8">
        <f>691567.5+648414.5+518408+71321.5+45526+17480</f>
        <v>1992717.5</v>
      </c>
      <c r="M48" s="7">
        <f>79327+75064+61133+10266+7792+4345</f>
        <v>237927</v>
      </c>
      <c r="N48" s="135">
        <f>L48/M48</f>
        <v>8.375331509244432</v>
      </c>
      <c r="O48" s="433">
        <v>38</v>
      </c>
    </row>
    <row r="49" spans="1:15" s="68" customFormat="1" ht="12" customHeight="1">
      <c r="A49" s="433">
        <v>39</v>
      </c>
      <c r="B49" s="136" t="s">
        <v>329</v>
      </c>
      <c r="C49" s="22">
        <v>40508</v>
      </c>
      <c r="D49" s="137" t="s">
        <v>30</v>
      </c>
      <c r="E49" s="23">
        <v>34</v>
      </c>
      <c r="F49" s="23">
        <v>17</v>
      </c>
      <c r="G49" s="23">
        <v>6</v>
      </c>
      <c r="H49" s="479">
        <v>14630.5</v>
      </c>
      <c r="I49" s="478">
        <v>2283</v>
      </c>
      <c r="J49" s="81">
        <f>(I49/F49)</f>
        <v>134.2941176470588</v>
      </c>
      <c r="K49" s="138">
        <f>H49/I49</f>
        <v>6.408453788874288</v>
      </c>
      <c r="L49" s="16">
        <f>122173+87330+23120+25637+29159.5+14630.5</f>
        <v>302050</v>
      </c>
      <c r="M49" s="7">
        <f>10588+8153+2702+3877+4807+2283</f>
        <v>32410</v>
      </c>
      <c r="N49" s="135">
        <f>L49/M49</f>
        <v>9.319654427645789</v>
      </c>
      <c r="O49" s="433">
        <v>39</v>
      </c>
    </row>
    <row r="50" spans="1:15" s="68" customFormat="1" ht="12" customHeight="1">
      <c r="A50" s="433">
        <v>40</v>
      </c>
      <c r="B50" s="154" t="s">
        <v>306</v>
      </c>
      <c r="C50" s="2">
        <v>40494</v>
      </c>
      <c r="D50" s="12" t="s">
        <v>10</v>
      </c>
      <c r="E50" s="3">
        <v>144</v>
      </c>
      <c r="F50" s="3">
        <v>16</v>
      </c>
      <c r="G50" s="3">
        <v>8</v>
      </c>
      <c r="H50" s="483">
        <v>13943</v>
      </c>
      <c r="I50" s="486">
        <v>2193</v>
      </c>
      <c r="J50" s="80">
        <f>I50/F50</f>
        <v>137.0625</v>
      </c>
      <c r="K50" s="155">
        <f>H50/I50</f>
        <v>6.357957136342909</v>
      </c>
      <c r="L50" s="156">
        <v>6055992</v>
      </c>
      <c r="M50" s="29">
        <v>521768</v>
      </c>
      <c r="N50" s="153">
        <f>+L50/M50</f>
        <v>11.606675763941062</v>
      </c>
      <c r="O50" s="433">
        <v>40</v>
      </c>
    </row>
    <row r="51" spans="1:15" s="68" customFormat="1" ht="12" customHeight="1">
      <c r="A51" s="433">
        <v>41</v>
      </c>
      <c r="B51" s="157" t="s">
        <v>153</v>
      </c>
      <c r="C51" s="2">
        <v>40487</v>
      </c>
      <c r="D51" s="15" t="s">
        <v>8</v>
      </c>
      <c r="E51" s="4">
        <v>312</v>
      </c>
      <c r="F51" s="4">
        <v>19</v>
      </c>
      <c r="G51" s="4">
        <v>10</v>
      </c>
      <c r="H51" s="498">
        <v>12589</v>
      </c>
      <c r="I51" s="499">
        <v>1965</v>
      </c>
      <c r="J51" s="72">
        <f>+I51/F51</f>
        <v>103.42105263157895</v>
      </c>
      <c r="K51" s="159">
        <f>+H51/I51</f>
        <v>6.406615776081425</v>
      </c>
      <c r="L51" s="5">
        <v>31634642</v>
      </c>
      <c r="M51" s="6">
        <v>3472923</v>
      </c>
      <c r="N51" s="160">
        <f>+L51/M51</f>
        <v>9.108938493597469</v>
      </c>
      <c r="O51" s="433">
        <v>41</v>
      </c>
    </row>
    <row r="52" spans="1:15" s="68" customFormat="1" ht="12" customHeight="1">
      <c r="A52" s="433">
        <v>42</v>
      </c>
      <c r="B52" s="198" t="s">
        <v>135</v>
      </c>
      <c r="C52" s="143">
        <v>40522</v>
      </c>
      <c r="D52" s="137" t="s">
        <v>30</v>
      </c>
      <c r="E52" s="144">
        <v>127</v>
      </c>
      <c r="F52" s="144">
        <v>11</v>
      </c>
      <c r="G52" s="144">
        <v>6</v>
      </c>
      <c r="H52" s="481">
        <v>12164</v>
      </c>
      <c r="I52" s="482">
        <v>2869</v>
      </c>
      <c r="J52" s="145">
        <f>(I52/F52)</f>
        <v>260.8181818181818</v>
      </c>
      <c r="K52" s="146">
        <f>H52/I52</f>
        <v>4.239804810038341</v>
      </c>
      <c r="L52" s="147">
        <f>1048675+809166.5+457718.5+70165.5+7102+12164</f>
        <v>2404991.5</v>
      </c>
      <c r="M52" s="148">
        <f>92481+73795+43350+8841+1153+2869</f>
        <v>222489</v>
      </c>
      <c r="N52" s="149">
        <f>L52/M52</f>
        <v>10.809484963301557</v>
      </c>
      <c r="O52" s="433">
        <v>42</v>
      </c>
    </row>
    <row r="53" spans="1:15" s="68" customFormat="1" ht="12" customHeight="1">
      <c r="A53" s="433">
        <v>43</v>
      </c>
      <c r="B53" s="350" t="s">
        <v>132</v>
      </c>
      <c r="C53" s="359">
        <v>40515</v>
      </c>
      <c r="D53" s="344" t="s">
        <v>10</v>
      </c>
      <c r="E53" s="345">
        <v>337</v>
      </c>
      <c r="F53" s="12">
        <v>1</v>
      </c>
      <c r="G53" s="12">
        <v>29</v>
      </c>
      <c r="H53" s="483">
        <v>11900</v>
      </c>
      <c r="I53" s="484">
        <v>2975</v>
      </c>
      <c r="J53" s="186">
        <f>I53/F53</f>
        <v>2975</v>
      </c>
      <c r="K53" s="234">
        <f>H53/I53</f>
        <v>4</v>
      </c>
      <c r="L53" s="156">
        <v>19710889</v>
      </c>
      <c r="M53" s="236">
        <v>2113809</v>
      </c>
      <c r="N53" s="244">
        <f>+L53/M53</f>
        <v>9.324820265217907</v>
      </c>
      <c r="O53" s="433">
        <v>43</v>
      </c>
    </row>
    <row r="54" spans="1:15" s="68" customFormat="1" ht="12" customHeight="1">
      <c r="A54" s="433">
        <v>44</v>
      </c>
      <c r="B54" s="174" t="s">
        <v>144</v>
      </c>
      <c r="C54" s="175">
        <v>40466</v>
      </c>
      <c r="D54" s="176" t="s">
        <v>28</v>
      </c>
      <c r="E54" s="177">
        <v>22</v>
      </c>
      <c r="F54" s="177">
        <v>19</v>
      </c>
      <c r="G54" s="177">
        <v>14</v>
      </c>
      <c r="H54" s="495">
        <v>11882</v>
      </c>
      <c r="I54" s="496">
        <v>1318</v>
      </c>
      <c r="J54" s="80">
        <v>69.36842105263158</v>
      </c>
      <c r="K54" s="141">
        <v>9.015174506828528</v>
      </c>
      <c r="L54" s="178">
        <v>233294</v>
      </c>
      <c r="M54" s="179">
        <v>24652</v>
      </c>
      <c r="N54" s="172">
        <v>9.463491805938666</v>
      </c>
      <c r="O54" s="433">
        <v>44</v>
      </c>
    </row>
    <row r="55" spans="1:15" s="68" customFormat="1" ht="12" customHeight="1">
      <c r="A55" s="433">
        <v>45</v>
      </c>
      <c r="B55" s="198" t="s">
        <v>135</v>
      </c>
      <c r="C55" s="22">
        <v>40522</v>
      </c>
      <c r="D55" s="137" t="s">
        <v>30</v>
      </c>
      <c r="E55" s="23">
        <v>127</v>
      </c>
      <c r="F55" s="23">
        <v>8</v>
      </c>
      <c r="G55" s="23">
        <v>8</v>
      </c>
      <c r="H55" s="477">
        <v>11777.5</v>
      </c>
      <c r="I55" s="478">
        <v>2831</v>
      </c>
      <c r="J55" s="81">
        <f>(I55/F55)</f>
        <v>353.875</v>
      </c>
      <c r="K55" s="134">
        <f aca="true" t="shared" si="3" ref="K55:K63">H55/I55</f>
        <v>4.160190745319675</v>
      </c>
      <c r="L55" s="8">
        <f>1048675+809166.5+457718.5+70165.5+7102+12164+8619.5+11777.5</f>
        <v>2425388.5</v>
      </c>
      <c r="M55" s="7">
        <f>92481+73795+43350+8841+1153+2869+1615+2831</f>
        <v>226935</v>
      </c>
      <c r="N55" s="135">
        <f>L55/M55</f>
        <v>10.68759116046445</v>
      </c>
      <c r="O55" s="433">
        <v>45</v>
      </c>
    </row>
    <row r="56" spans="1:15" s="68" customFormat="1" ht="12" customHeight="1">
      <c r="A56" s="433">
        <v>46</v>
      </c>
      <c r="B56" s="136" t="s">
        <v>328</v>
      </c>
      <c r="C56" s="22">
        <v>40494</v>
      </c>
      <c r="D56" s="137" t="s">
        <v>30</v>
      </c>
      <c r="E56" s="23">
        <v>80</v>
      </c>
      <c r="F56" s="23">
        <v>13</v>
      </c>
      <c r="G56" s="23">
        <v>8</v>
      </c>
      <c r="H56" s="479">
        <v>11751.5</v>
      </c>
      <c r="I56" s="478">
        <v>2055</v>
      </c>
      <c r="J56" s="81">
        <f>(I56/F56)</f>
        <v>158.07692307692307</v>
      </c>
      <c r="K56" s="138">
        <f t="shared" si="3"/>
        <v>5.718491484184915</v>
      </c>
      <c r="L56" s="16">
        <f>400584.5+260220.5+91588.5+26738.5+6598.5+10112.5+8832+11751.5</f>
        <v>816426.5</v>
      </c>
      <c r="M56" s="7">
        <f>34427+24318+9929+5066+1310+1866+1322+2055</f>
        <v>80293</v>
      </c>
      <c r="N56" s="135">
        <f>L56/M56</f>
        <v>10.168090618111167</v>
      </c>
      <c r="O56" s="433">
        <v>46</v>
      </c>
    </row>
    <row r="57" spans="1:15" s="68" customFormat="1" ht="12" customHeight="1">
      <c r="A57" s="433">
        <v>47</v>
      </c>
      <c r="B57" s="154" t="s">
        <v>324</v>
      </c>
      <c r="C57" s="2">
        <v>40536</v>
      </c>
      <c r="D57" s="9" t="s">
        <v>10</v>
      </c>
      <c r="E57" s="3">
        <v>48</v>
      </c>
      <c r="F57" s="3">
        <v>10</v>
      </c>
      <c r="G57" s="3">
        <v>5</v>
      </c>
      <c r="H57" s="485">
        <v>11003</v>
      </c>
      <c r="I57" s="486">
        <v>1816</v>
      </c>
      <c r="J57" s="80">
        <f>I57/F57</f>
        <v>181.6</v>
      </c>
      <c r="K57" s="141">
        <f t="shared" si="3"/>
        <v>6.058920704845815</v>
      </c>
      <c r="L57" s="30">
        <v>691927</v>
      </c>
      <c r="M57" s="29">
        <v>60452</v>
      </c>
      <c r="N57" s="153">
        <f>+L57/M57</f>
        <v>11.445890954807119</v>
      </c>
      <c r="O57" s="433">
        <v>47</v>
      </c>
    </row>
    <row r="58" spans="1:15" s="68" customFormat="1" ht="12" customHeight="1">
      <c r="A58" s="433">
        <v>48</v>
      </c>
      <c r="B58" s="150" t="s">
        <v>296</v>
      </c>
      <c r="C58" s="22">
        <v>40515</v>
      </c>
      <c r="D58" s="137" t="s">
        <v>30</v>
      </c>
      <c r="E58" s="139">
        <v>62</v>
      </c>
      <c r="F58" s="139">
        <v>17</v>
      </c>
      <c r="G58" s="139">
        <v>12</v>
      </c>
      <c r="H58" s="477">
        <v>10987</v>
      </c>
      <c r="I58" s="478">
        <v>1782</v>
      </c>
      <c r="J58" s="81">
        <f>(I58/F58)</f>
        <v>104.82352941176471</v>
      </c>
      <c r="K58" s="134">
        <f t="shared" si="3"/>
        <v>6.165544332210999</v>
      </c>
      <c r="L58" s="8">
        <f>353151+191248+132731.5+71376+47862+26248.5+19265+34650.5+35095.5+42312+25849+10987</f>
        <v>990776</v>
      </c>
      <c r="M58" s="7">
        <f>34650+19352+14525+10591+7581+5012+3223+6065+6865+6589+3930+1782</f>
        <v>120165</v>
      </c>
      <c r="N58" s="135">
        <f>L58/M58</f>
        <v>8.245129613448176</v>
      </c>
      <c r="O58" s="433">
        <v>48</v>
      </c>
    </row>
    <row r="59" spans="1:15" s="68" customFormat="1" ht="12" customHeight="1">
      <c r="A59" s="433">
        <v>49</v>
      </c>
      <c r="B59" s="173" t="s">
        <v>158</v>
      </c>
      <c r="C59" s="2">
        <v>40501</v>
      </c>
      <c r="D59" s="14" t="s">
        <v>134</v>
      </c>
      <c r="E59" s="4">
        <v>121</v>
      </c>
      <c r="F59" s="4">
        <v>18</v>
      </c>
      <c r="G59" s="4">
        <v>7</v>
      </c>
      <c r="H59" s="492">
        <v>10646</v>
      </c>
      <c r="I59" s="493">
        <v>2164</v>
      </c>
      <c r="J59" s="168">
        <f>I59/F59</f>
        <v>120.22222222222223</v>
      </c>
      <c r="K59" s="182">
        <f t="shared" si="3"/>
        <v>4.919593345656192</v>
      </c>
      <c r="L59" s="199">
        <v>1582988</v>
      </c>
      <c r="M59" s="171">
        <v>158006</v>
      </c>
      <c r="N59" s="172">
        <f>+L59/M59</f>
        <v>10.018530941862966</v>
      </c>
      <c r="O59" s="433">
        <v>49</v>
      </c>
    </row>
    <row r="60" spans="1:15" s="68" customFormat="1" ht="12" customHeight="1">
      <c r="A60" s="433">
        <v>50</v>
      </c>
      <c r="B60" s="150" t="s">
        <v>135</v>
      </c>
      <c r="C60" s="22">
        <v>40522</v>
      </c>
      <c r="D60" s="137" t="s">
        <v>30</v>
      </c>
      <c r="E60" s="139">
        <v>127</v>
      </c>
      <c r="F60" s="139">
        <v>10</v>
      </c>
      <c r="G60" s="139">
        <v>11</v>
      </c>
      <c r="H60" s="477">
        <v>10420.5</v>
      </c>
      <c r="I60" s="478">
        <v>2477</v>
      </c>
      <c r="J60" s="81">
        <f>(I60/F60)</f>
        <v>247.7</v>
      </c>
      <c r="K60" s="134">
        <f t="shared" si="3"/>
        <v>4.206903512313282</v>
      </c>
      <c r="L60" s="8">
        <f>1048675+809166.5+457718.5+70165.5+7102+12164+8619.5+11777.5+6559.5+3338.5+10420.5</f>
        <v>2445707</v>
      </c>
      <c r="M60" s="7">
        <f>92481+73795+43350+8841+1153+2869+1615+2831+1620+630+2477</f>
        <v>231662</v>
      </c>
      <c r="N60" s="135">
        <f>L60/M60</f>
        <v>10.557221296544103</v>
      </c>
      <c r="O60" s="433">
        <v>50</v>
      </c>
    </row>
    <row r="61" spans="1:15" s="68" customFormat="1" ht="12" customHeight="1">
      <c r="A61" s="433">
        <v>51</v>
      </c>
      <c r="B61" s="154" t="s">
        <v>265</v>
      </c>
      <c r="C61" s="2">
        <v>40508</v>
      </c>
      <c r="D61" s="12" t="s">
        <v>10</v>
      </c>
      <c r="E61" s="3">
        <v>72</v>
      </c>
      <c r="F61" s="3">
        <v>12</v>
      </c>
      <c r="G61" s="3">
        <v>6</v>
      </c>
      <c r="H61" s="483">
        <v>10277</v>
      </c>
      <c r="I61" s="486">
        <v>1355</v>
      </c>
      <c r="J61" s="80">
        <f>I61/F61</f>
        <v>112.91666666666667</v>
      </c>
      <c r="K61" s="155">
        <f t="shared" si="3"/>
        <v>7.58450184501845</v>
      </c>
      <c r="L61" s="156">
        <v>1208960</v>
      </c>
      <c r="M61" s="29">
        <v>105047</v>
      </c>
      <c r="N61" s="153">
        <f>+L61/M61</f>
        <v>11.508753224747018</v>
      </c>
      <c r="O61" s="433">
        <v>51</v>
      </c>
    </row>
    <row r="62" spans="1:15" s="68" customFormat="1" ht="12" customHeight="1">
      <c r="A62" s="433">
        <v>52</v>
      </c>
      <c r="B62" s="152" t="s">
        <v>139</v>
      </c>
      <c r="C62" s="2">
        <v>40515</v>
      </c>
      <c r="D62" s="9" t="s">
        <v>10</v>
      </c>
      <c r="E62" s="3">
        <v>337</v>
      </c>
      <c r="F62" s="3">
        <v>2</v>
      </c>
      <c r="G62" s="3">
        <v>18</v>
      </c>
      <c r="H62" s="485">
        <v>9524</v>
      </c>
      <c r="I62" s="486">
        <v>2381</v>
      </c>
      <c r="J62" s="80">
        <f>I62/F62</f>
        <v>1190.5</v>
      </c>
      <c r="K62" s="141">
        <f t="shared" si="3"/>
        <v>4</v>
      </c>
      <c r="L62" s="30">
        <v>19662096</v>
      </c>
      <c r="M62" s="29">
        <v>2102025</v>
      </c>
      <c r="N62" s="153">
        <f>+L62/M62</f>
        <v>9.353883041352981</v>
      </c>
      <c r="O62" s="433">
        <v>52</v>
      </c>
    </row>
    <row r="63" spans="1:15" s="68" customFormat="1" ht="12" customHeight="1">
      <c r="A63" s="433">
        <v>53</v>
      </c>
      <c r="B63" s="152" t="s">
        <v>275</v>
      </c>
      <c r="C63" s="2">
        <v>40389</v>
      </c>
      <c r="D63" s="9" t="s">
        <v>10</v>
      </c>
      <c r="E63" s="3">
        <v>139</v>
      </c>
      <c r="F63" s="3">
        <v>1</v>
      </c>
      <c r="G63" s="3">
        <v>23</v>
      </c>
      <c r="H63" s="485">
        <v>9523</v>
      </c>
      <c r="I63" s="486">
        <v>1587</v>
      </c>
      <c r="J63" s="80">
        <f>I63/F63</f>
        <v>1587</v>
      </c>
      <c r="K63" s="141">
        <f t="shared" si="3"/>
        <v>6.000630119722747</v>
      </c>
      <c r="L63" s="30">
        <v>11041118</v>
      </c>
      <c r="M63" s="29">
        <v>1103147</v>
      </c>
      <c r="N63" s="153">
        <f>+L63/M63</f>
        <v>10.008745887900705</v>
      </c>
      <c r="O63" s="433">
        <v>53</v>
      </c>
    </row>
    <row r="64" spans="1:15" s="68" customFormat="1" ht="12" customHeight="1">
      <c r="A64" s="433">
        <v>54</v>
      </c>
      <c r="B64" s="173" t="s">
        <v>318</v>
      </c>
      <c r="C64" s="2">
        <v>40480</v>
      </c>
      <c r="D64" s="15" t="s">
        <v>8</v>
      </c>
      <c r="E64" s="4">
        <v>21</v>
      </c>
      <c r="F64" s="4">
        <v>12</v>
      </c>
      <c r="G64" s="4">
        <v>10</v>
      </c>
      <c r="H64" s="502">
        <v>8985</v>
      </c>
      <c r="I64" s="499">
        <v>1356</v>
      </c>
      <c r="J64" s="72">
        <f>+I64/F64</f>
        <v>113</v>
      </c>
      <c r="K64" s="161">
        <f>+H64/I64</f>
        <v>6.626106194690266</v>
      </c>
      <c r="L64" s="13">
        <v>295457</v>
      </c>
      <c r="M64" s="6">
        <v>26551</v>
      </c>
      <c r="N64" s="160">
        <f>+L64/M64</f>
        <v>11.127904787013671</v>
      </c>
      <c r="O64" s="433">
        <v>54</v>
      </c>
    </row>
    <row r="65" spans="1:15" s="68" customFormat="1" ht="12" customHeight="1">
      <c r="A65" s="433">
        <v>55</v>
      </c>
      <c r="B65" s="142" t="s">
        <v>330</v>
      </c>
      <c r="C65" s="143">
        <v>40480</v>
      </c>
      <c r="D65" s="137" t="s">
        <v>30</v>
      </c>
      <c r="E65" s="144">
        <v>100</v>
      </c>
      <c r="F65" s="144">
        <v>4</v>
      </c>
      <c r="G65" s="144">
        <v>15</v>
      </c>
      <c r="H65" s="481">
        <v>8910</v>
      </c>
      <c r="I65" s="482">
        <v>2228</v>
      </c>
      <c r="J65" s="145">
        <f>(I65/F65)</f>
        <v>557</v>
      </c>
      <c r="K65" s="146">
        <f>H65/I65</f>
        <v>3.9991023339317775</v>
      </c>
      <c r="L65" s="147">
        <f>1221166+429124.5+378100+240009.5+108018.5+26890.5+15319+16968+7345.5+4160+1262+1510+3920.5+2732.5+8910</f>
        <v>2465436.5</v>
      </c>
      <c r="M65" s="148">
        <f>114702+40612+35598+23284+12543+4168+3055+2661+1161+850+210+377+981+684+2228</f>
        <v>243114</v>
      </c>
      <c r="N65" s="149">
        <f>L65/M65</f>
        <v>10.141071678307297</v>
      </c>
      <c r="O65" s="433">
        <v>55</v>
      </c>
    </row>
    <row r="66" spans="1:15" s="68" customFormat="1" ht="12" customHeight="1">
      <c r="A66" s="433">
        <v>56</v>
      </c>
      <c r="B66" s="335" t="s">
        <v>135</v>
      </c>
      <c r="C66" s="22">
        <v>40522</v>
      </c>
      <c r="D66" s="137" t="s">
        <v>30</v>
      </c>
      <c r="E66" s="23">
        <v>127</v>
      </c>
      <c r="F66" s="23">
        <v>10</v>
      </c>
      <c r="G66" s="23">
        <v>7</v>
      </c>
      <c r="H66" s="477">
        <v>8619.5</v>
      </c>
      <c r="I66" s="478">
        <v>1615</v>
      </c>
      <c r="J66" s="81">
        <f>(I66/F66)</f>
        <v>161.5</v>
      </c>
      <c r="K66" s="134">
        <f>H66/I66</f>
        <v>5.337151702786378</v>
      </c>
      <c r="L66" s="8">
        <f>1048675+809166.5+457718.5+70165.5+7102+12164+8619.5</f>
        <v>2413611</v>
      </c>
      <c r="M66" s="7">
        <f>92481+73795+43350+8841+1153+2869+1615</f>
        <v>224104</v>
      </c>
      <c r="N66" s="135">
        <f>L66/M66</f>
        <v>10.770048727376576</v>
      </c>
      <c r="O66" s="433">
        <v>56</v>
      </c>
    </row>
    <row r="67" spans="1:15" s="68" customFormat="1" ht="12" customHeight="1">
      <c r="A67" s="433">
        <v>57</v>
      </c>
      <c r="B67" s="136" t="s">
        <v>164</v>
      </c>
      <c r="C67" s="22">
        <v>40487</v>
      </c>
      <c r="D67" s="21" t="s">
        <v>28</v>
      </c>
      <c r="E67" s="23">
        <v>162</v>
      </c>
      <c r="F67" s="23">
        <v>8</v>
      </c>
      <c r="G67" s="23">
        <v>9</v>
      </c>
      <c r="H67" s="467">
        <v>8527</v>
      </c>
      <c r="I67" s="476">
        <v>1182</v>
      </c>
      <c r="J67" s="72">
        <f>IF(H67&lt;&gt;0,I67/F67,"")</f>
        <v>147.75</v>
      </c>
      <c r="K67" s="161">
        <f>IF(H67&lt;&gt;0,H67/I67,"")</f>
        <v>7.214043993231811</v>
      </c>
      <c r="L67" s="18">
        <f>525983.5+915356-20+520720.5+229861+37809.5+41066.5+9062.5+5020+8527</f>
        <v>2293386.5</v>
      </c>
      <c r="M67" s="28">
        <f>56225+93965-2+58841+28041+5233+5910+1474+785+1182</f>
        <v>251654</v>
      </c>
      <c r="N67" s="160">
        <f>IF(L67&lt;&gt;0,L67/M67,"")</f>
        <v>9.11325272000445</v>
      </c>
      <c r="O67" s="433">
        <v>57</v>
      </c>
    </row>
    <row r="68" spans="1:15" s="68" customFormat="1" ht="12" customHeight="1">
      <c r="A68" s="433">
        <v>58</v>
      </c>
      <c r="B68" s="157" t="s">
        <v>324</v>
      </c>
      <c r="C68" s="2">
        <v>40536</v>
      </c>
      <c r="D68" s="10" t="s">
        <v>10</v>
      </c>
      <c r="E68" s="4">
        <v>48</v>
      </c>
      <c r="F68" s="4">
        <v>7</v>
      </c>
      <c r="G68" s="4">
        <v>4</v>
      </c>
      <c r="H68" s="485">
        <v>8376</v>
      </c>
      <c r="I68" s="486">
        <v>1059</v>
      </c>
      <c r="J68" s="80">
        <f>I68/F68</f>
        <v>151.28571428571428</v>
      </c>
      <c r="K68" s="141">
        <f aca="true" t="shared" si="4" ref="K68:K79">H68/I68</f>
        <v>7.909348441926346</v>
      </c>
      <c r="L68" s="30">
        <v>680924</v>
      </c>
      <c r="M68" s="29">
        <v>58636</v>
      </c>
      <c r="N68" s="153">
        <f>+L68/M68</f>
        <v>11.612729381267481</v>
      </c>
      <c r="O68" s="433">
        <v>58</v>
      </c>
    </row>
    <row r="69" spans="1:15" s="68" customFormat="1" ht="12" customHeight="1">
      <c r="A69" s="433">
        <v>59</v>
      </c>
      <c r="B69" s="136" t="s">
        <v>284</v>
      </c>
      <c r="C69" s="22">
        <v>40473</v>
      </c>
      <c r="D69" s="137" t="s">
        <v>30</v>
      </c>
      <c r="E69" s="23">
        <v>30</v>
      </c>
      <c r="F69" s="23">
        <v>10</v>
      </c>
      <c r="G69" s="23">
        <v>11</v>
      </c>
      <c r="H69" s="479">
        <v>8357</v>
      </c>
      <c r="I69" s="478">
        <v>1374</v>
      </c>
      <c r="J69" s="81">
        <f>(I69/F69)</f>
        <v>137.4</v>
      </c>
      <c r="K69" s="138">
        <f t="shared" si="4"/>
        <v>6.082241630276565</v>
      </c>
      <c r="L69" s="16">
        <f>140269+106844+7979+4849+4700.5+7059+2232+1390+2769+13917+8357</f>
        <v>300365.5</v>
      </c>
      <c r="M69" s="7">
        <f>11518+8629+641+577+660+1341+325+348+324+2259+1374</f>
        <v>27996</v>
      </c>
      <c r="N69" s="135">
        <f>L69/M69</f>
        <v>10.728871981711674</v>
      </c>
      <c r="O69" s="433">
        <v>59</v>
      </c>
    </row>
    <row r="70" spans="1:15" s="68" customFormat="1" ht="12" customHeight="1">
      <c r="A70" s="433">
        <v>60</v>
      </c>
      <c r="B70" s="157" t="s">
        <v>306</v>
      </c>
      <c r="C70" s="2">
        <v>40494</v>
      </c>
      <c r="D70" s="10" t="s">
        <v>10</v>
      </c>
      <c r="E70" s="4">
        <v>144</v>
      </c>
      <c r="F70" s="4">
        <v>6</v>
      </c>
      <c r="G70" s="4">
        <v>10</v>
      </c>
      <c r="H70" s="485">
        <v>8265</v>
      </c>
      <c r="I70" s="486">
        <v>1244</v>
      </c>
      <c r="J70" s="80">
        <f>I70/F70</f>
        <v>207.33333333333334</v>
      </c>
      <c r="K70" s="141">
        <f t="shared" si="4"/>
        <v>6.643890675241158</v>
      </c>
      <c r="L70" s="30">
        <v>6066619</v>
      </c>
      <c r="M70" s="29">
        <v>523537</v>
      </c>
      <c r="N70" s="153">
        <f>+L70/M70</f>
        <v>11.587755975222382</v>
      </c>
      <c r="O70" s="433">
        <v>60</v>
      </c>
    </row>
    <row r="71" spans="1:15" s="68" customFormat="1" ht="12" customHeight="1">
      <c r="A71" s="433">
        <v>61</v>
      </c>
      <c r="B71" s="331" t="s">
        <v>336</v>
      </c>
      <c r="C71" s="84">
        <v>40515</v>
      </c>
      <c r="D71" s="85" t="s">
        <v>30</v>
      </c>
      <c r="E71" s="144">
        <v>62</v>
      </c>
      <c r="F71" s="144">
        <v>5</v>
      </c>
      <c r="G71" s="144">
        <v>31</v>
      </c>
      <c r="H71" s="477">
        <v>7747.5</v>
      </c>
      <c r="I71" s="478">
        <v>1593</v>
      </c>
      <c r="J71" s="72">
        <f>I71/F71</f>
        <v>318.6</v>
      </c>
      <c r="K71" s="73">
        <f t="shared" si="4"/>
        <v>4.86346516007533</v>
      </c>
      <c r="L71" s="8">
        <f>353151+191248+132731.5+71376+47862+26248.5+19265+34650.5+35095.5+42312+25849+10987+7528+3248+2395.5+3280.5+3141.5+4280+3042+1597+6128+4358+2107+777+4230+4335.5+1718.5+594+1978+2020+7747.5</f>
        <v>1055282</v>
      </c>
      <c r="M71" s="7">
        <f>34650+19352+14525+10591+7581+5012+3223+6065+6865+6589+3930+1782+1091+624+468+512+688+987+804+306+1395+991+478+166+1058+1084+430+148+474+261+1593</f>
        <v>133723</v>
      </c>
      <c r="N71" s="74">
        <f>+L71/M71</f>
        <v>7.891551939456937</v>
      </c>
      <c r="O71" s="433">
        <v>61</v>
      </c>
    </row>
    <row r="72" spans="1:15" s="68" customFormat="1" ht="12" customHeight="1">
      <c r="A72" s="433">
        <v>62</v>
      </c>
      <c r="B72" s="150" t="s">
        <v>296</v>
      </c>
      <c r="C72" s="22">
        <v>40515</v>
      </c>
      <c r="D72" s="137" t="s">
        <v>30</v>
      </c>
      <c r="E72" s="139">
        <v>62</v>
      </c>
      <c r="F72" s="139">
        <v>14</v>
      </c>
      <c r="G72" s="139">
        <v>13</v>
      </c>
      <c r="H72" s="479">
        <v>7528</v>
      </c>
      <c r="I72" s="480">
        <v>1091</v>
      </c>
      <c r="J72" s="140">
        <f>(I72/F72)</f>
        <v>77.92857142857143</v>
      </c>
      <c r="K72" s="138">
        <f t="shared" si="4"/>
        <v>6.900091659028415</v>
      </c>
      <c r="L72" s="16">
        <f>353151+191248+132731.5+71376+47862+26248.5+19265+34650.5+35095.5+42312+25849+10987+7528</f>
        <v>998304</v>
      </c>
      <c r="M72" s="17">
        <f>34650+19352+14525+10591+7581+5012+3223+6065+6865+6589+3930+1782+1091</f>
        <v>121256</v>
      </c>
      <c r="N72" s="135">
        <f>L72/M72</f>
        <v>8.233027643992875</v>
      </c>
      <c r="O72" s="433">
        <v>62</v>
      </c>
    </row>
    <row r="73" spans="1:15" s="68" customFormat="1" ht="12" customHeight="1">
      <c r="A73" s="433">
        <v>63</v>
      </c>
      <c r="B73" s="152" t="s">
        <v>139</v>
      </c>
      <c r="C73" s="2">
        <v>40515</v>
      </c>
      <c r="D73" s="10" t="s">
        <v>10</v>
      </c>
      <c r="E73" s="4">
        <v>337</v>
      </c>
      <c r="F73" s="4">
        <v>3</v>
      </c>
      <c r="G73" s="4">
        <v>12</v>
      </c>
      <c r="H73" s="485">
        <v>7416</v>
      </c>
      <c r="I73" s="486">
        <v>1461</v>
      </c>
      <c r="J73" s="80">
        <f>I73/F73</f>
        <v>487</v>
      </c>
      <c r="K73" s="141">
        <f t="shared" si="4"/>
        <v>5.075975359342916</v>
      </c>
      <c r="L73" s="30">
        <v>19636508</v>
      </c>
      <c r="M73" s="29">
        <v>2095488</v>
      </c>
      <c r="N73" s="153">
        <f>+L73/M73</f>
        <v>9.370852040193025</v>
      </c>
      <c r="O73" s="433">
        <v>63</v>
      </c>
    </row>
    <row r="74" spans="1:15" s="68" customFormat="1" ht="12" customHeight="1">
      <c r="A74" s="433">
        <v>64</v>
      </c>
      <c r="B74" s="133" t="s">
        <v>143</v>
      </c>
      <c r="C74" s="22">
        <v>40529</v>
      </c>
      <c r="D74" s="137" t="s">
        <v>30</v>
      </c>
      <c r="E74" s="23">
        <v>147</v>
      </c>
      <c r="F74" s="23">
        <v>7</v>
      </c>
      <c r="G74" s="23">
        <v>7</v>
      </c>
      <c r="H74" s="477">
        <v>7409</v>
      </c>
      <c r="I74" s="478">
        <v>1731</v>
      </c>
      <c r="J74" s="81">
        <f>(I74/F74)</f>
        <v>247.28571428571428</v>
      </c>
      <c r="K74" s="134">
        <f t="shared" si="4"/>
        <v>4.280184864240323</v>
      </c>
      <c r="L74" s="8">
        <f>691567.5+648414.5+518408+71321.5+45526+17480+7409</f>
        <v>2000126.5</v>
      </c>
      <c r="M74" s="7">
        <f>79327+75064+61133+10266+7792+4345+1731</f>
        <v>239658</v>
      </c>
      <c r="N74" s="135">
        <f>L74/M74</f>
        <v>8.345753114855336</v>
      </c>
      <c r="O74" s="433">
        <v>64</v>
      </c>
    </row>
    <row r="75" spans="1:15" s="68" customFormat="1" ht="12" customHeight="1">
      <c r="A75" s="433">
        <v>65</v>
      </c>
      <c r="B75" s="152" t="s">
        <v>139</v>
      </c>
      <c r="C75" s="2">
        <v>40515</v>
      </c>
      <c r="D75" s="9" t="s">
        <v>10</v>
      </c>
      <c r="E75" s="3">
        <v>337</v>
      </c>
      <c r="F75" s="3">
        <v>2</v>
      </c>
      <c r="G75" s="3">
        <v>17</v>
      </c>
      <c r="H75" s="485">
        <v>7143</v>
      </c>
      <c r="I75" s="486">
        <v>1422</v>
      </c>
      <c r="J75" s="80">
        <f>I75/F75</f>
        <v>711</v>
      </c>
      <c r="K75" s="141">
        <f t="shared" si="4"/>
        <v>5.023206751054852</v>
      </c>
      <c r="L75" s="30">
        <v>19652572</v>
      </c>
      <c r="M75" s="29">
        <v>2099644</v>
      </c>
      <c r="N75" s="153">
        <f>+L75/M75</f>
        <v>9.359954354166707</v>
      </c>
      <c r="O75" s="433">
        <v>65</v>
      </c>
    </row>
    <row r="76" spans="1:15" s="68" customFormat="1" ht="12" customHeight="1">
      <c r="A76" s="433">
        <v>66</v>
      </c>
      <c r="B76" s="350" t="s">
        <v>132</v>
      </c>
      <c r="C76" s="359">
        <v>40515</v>
      </c>
      <c r="D76" s="344" t="s">
        <v>10</v>
      </c>
      <c r="E76" s="88">
        <v>337</v>
      </c>
      <c r="F76" s="3">
        <v>3</v>
      </c>
      <c r="G76" s="3">
        <v>30</v>
      </c>
      <c r="H76" s="485">
        <v>7140</v>
      </c>
      <c r="I76" s="486">
        <v>1785</v>
      </c>
      <c r="J76" s="72">
        <f>I76/F76</f>
        <v>595</v>
      </c>
      <c r="K76" s="73">
        <f t="shared" si="4"/>
        <v>4</v>
      </c>
      <c r="L76" s="30">
        <v>19718029</v>
      </c>
      <c r="M76" s="29">
        <v>2115594</v>
      </c>
      <c r="N76" s="74">
        <f>+L76/M76</f>
        <v>9.320327529762327</v>
      </c>
      <c r="O76" s="433">
        <v>66</v>
      </c>
    </row>
    <row r="77" spans="1:15" s="68" customFormat="1" ht="12" customHeight="1">
      <c r="A77" s="433">
        <v>67</v>
      </c>
      <c r="B77" s="198" t="s">
        <v>135</v>
      </c>
      <c r="C77" s="22">
        <v>40522</v>
      </c>
      <c r="D77" s="137" t="s">
        <v>30</v>
      </c>
      <c r="E77" s="23">
        <v>127</v>
      </c>
      <c r="F77" s="23">
        <v>10</v>
      </c>
      <c r="G77" s="23">
        <v>5</v>
      </c>
      <c r="H77" s="477">
        <v>7102</v>
      </c>
      <c r="I77" s="478">
        <v>1153</v>
      </c>
      <c r="J77" s="81">
        <f>(I77/F77)</f>
        <v>115.3</v>
      </c>
      <c r="K77" s="134">
        <f t="shared" si="4"/>
        <v>6.159583694709454</v>
      </c>
      <c r="L77" s="8">
        <f>1048675+809166.5+457718.5+70165.5+7102</f>
        <v>2392827.5</v>
      </c>
      <c r="M77" s="7">
        <f>92481+73795+43350+8841+1153</f>
        <v>219620</v>
      </c>
      <c r="N77" s="135">
        <f>L77/M77</f>
        <v>10.8953078043894</v>
      </c>
      <c r="O77" s="433">
        <v>67</v>
      </c>
    </row>
    <row r="78" spans="1:15" s="68" customFormat="1" ht="12" customHeight="1">
      <c r="A78" s="433">
        <v>68</v>
      </c>
      <c r="B78" s="142" t="s">
        <v>316</v>
      </c>
      <c r="C78" s="22">
        <v>40529</v>
      </c>
      <c r="D78" s="137" t="s">
        <v>30</v>
      </c>
      <c r="E78" s="23">
        <v>27</v>
      </c>
      <c r="F78" s="23">
        <v>11</v>
      </c>
      <c r="G78" s="23">
        <v>3</v>
      </c>
      <c r="H78" s="479">
        <v>7073.5</v>
      </c>
      <c r="I78" s="478">
        <v>920</v>
      </c>
      <c r="J78" s="81">
        <f>(I78/F78)</f>
        <v>83.63636363636364</v>
      </c>
      <c r="K78" s="138">
        <f t="shared" si="4"/>
        <v>7.688586956521739</v>
      </c>
      <c r="L78" s="16">
        <f>68045+25663+7073.5</f>
        <v>100781.5</v>
      </c>
      <c r="M78" s="7">
        <f>5442+2277+920</f>
        <v>8639</v>
      </c>
      <c r="N78" s="135">
        <f>L78/M78</f>
        <v>11.665875680055562</v>
      </c>
      <c r="O78" s="433">
        <v>68</v>
      </c>
    </row>
    <row r="79" spans="1:15" s="68" customFormat="1" ht="12" customHeight="1">
      <c r="A79" s="433">
        <v>69</v>
      </c>
      <c r="B79" s="286" t="s">
        <v>251</v>
      </c>
      <c r="C79" s="22">
        <v>40165</v>
      </c>
      <c r="D79" s="20" t="s">
        <v>30</v>
      </c>
      <c r="E79" s="23">
        <v>150</v>
      </c>
      <c r="F79" s="23">
        <v>2</v>
      </c>
      <c r="G79" s="23">
        <v>45</v>
      </c>
      <c r="H79" s="477">
        <v>7038.5</v>
      </c>
      <c r="I79" s="478">
        <v>964</v>
      </c>
      <c r="J79" s="81">
        <f>(I79/F79)</f>
        <v>482</v>
      </c>
      <c r="K79" s="134">
        <f t="shared" si="4"/>
        <v>7.301348547717843</v>
      </c>
      <c r="L79" s="8">
        <f>26351050.5+1782+1045+250+135084.5+75530.5+42949.5+5302.5+6113+4133+420+7038.5</f>
        <v>26630699</v>
      </c>
      <c r="M79" s="7">
        <f>2457871+446+113+30+11058+6318+3444+432+464+353+42+964</f>
        <v>2481535</v>
      </c>
      <c r="N79" s="135">
        <v>10.72108768116797</v>
      </c>
      <c r="O79" s="433">
        <v>69</v>
      </c>
    </row>
    <row r="80" spans="1:15" s="68" customFormat="1" ht="12" customHeight="1">
      <c r="A80" s="433">
        <v>70</v>
      </c>
      <c r="B80" s="150" t="s">
        <v>311</v>
      </c>
      <c r="C80" s="22">
        <v>40536</v>
      </c>
      <c r="D80" s="137" t="s">
        <v>23</v>
      </c>
      <c r="E80" s="139">
        <v>112</v>
      </c>
      <c r="F80" s="139">
        <v>15</v>
      </c>
      <c r="G80" s="139">
        <v>10</v>
      </c>
      <c r="H80" s="467">
        <v>6766</v>
      </c>
      <c r="I80" s="468">
        <v>855</v>
      </c>
      <c r="J80" s="19">
        <f>I80/F80</f>
        <v>57</v>
      </c>
      <c r="K80" s="188">
        <f>+H80/I80</f>
        <v>7.913450292397661</v>
      </c>
      <c r="L80" s="18">
        <v>2732755</v>
      </c>
      <c r="M80" s="19">
        <v>241326</v>
      </c>
      <c r="N80" s="181">
        <f>+L80/M80</f>
        <v>11.323914538839578</v>
      </c>
      <c r="O80" s="433">
        <v>70</v>
      </c>
    </row>
    <row r="81" spans="1:15" s="68" customFormat="1" ht="12" customHeight="1">
      <c r="A81" s="433">
        <v>71</v>
      </c>
      <c r="B81" s="157" t="s">
        <v>318</v>
      </c>
      <c r="C81" s="2">
        <v>40480</v>
      </c>
      <c r="D81" s="11" t="s">
        <v>8</v>
      </c>
      <c r="E81" s="4">
        <v>21</v>
      </c>
      <c r="F81" s="4">
        <v>9</v>
      </c>
      <c r="G81" s="4">
        <v>21</v>
      </c>
      <c r="H81" s="498">
        <v>6650</v>
      </c>
      <c r="I81" s="499">
        <v>974</v>
      </c>
      <c r="J81" s="80">
        <f>I81/F81</f>
        <v>108.22222222222223</v>
      </c>
      <c r="K81" s="141">
        <f aca="true" t="shared" si="5" ref="K81:K89">H81/I81</f>
        <v>6.827515400410678</v>
      </c>
      <c r="L81" s="5">
        <v>311586</v>
      </c>
      <c r="M81" s="6">
        <v>29016</v>
      </c>
      <c r="N81" s="160">
        <f>+L81/M81</f>
        <v>10.73842018196857</v>
      </c>
      <c r="O81" s="433">
        <v>71</v>
      </c>
    </row>
    <row r="82" spans="1:15" s="68" customFormat="1" ht="12" customHeight="1">
      <c r="A82" s="433">
        <v>72</v>
      </c>
      <c r="B82" s="150" t="s">
        <v>135</v>
      </c>
      <c r="C82" s="22">
        <v>40522</v>
      </c>
      <c r="D82" s="137" t="s">
        <v>30</v>
      </c>
      <c r="E82" s="139">
        <v>127</v>
      </c>
      <c r="F82" s="139">
        <v>5</v>
      </c>
      <c r="G82" s="139">
        <v>9</v>
      </c>
      <c r="H82" s="477">
        <v>6559.5</v>
      </c>
      <c r="I82" s="478">
        <v>1620</v>
      </c>
      <c r="J82" s="81">
        <f>(I82/F82)</f>
        <v>324</v>
      </c>
      <c r="K82" s="134">
        <f t="shared" si="5"/>
        <v>4.049074074074074</v>
      </c>
      <c r="L82" s="8">
        <f>1048675+809166.5+457718.5+70165.5+7102+12164+8619.5+11777.5+6559.5</f>
        <v>2431948</v>
      </c>
      <c r="M82" s="7">
        <f>92481+73795+43350+8841+1153+2869+1615+2831+1620</f>
        <v>228555</v>
      </c>
      <c r="N82" s="135">
        <f>L82/M82</f>
        <v>10.640537288617619</v>
      </c>
      <c r="O82" s="433">
        <v>72</v>
      </c>
    </row>
    <row r="83" spans="1:15" s="68" customFormat="1" ht="12" customHeight="1">
      <c r="A83" s="433">
        <v>73</v>
      </c>
      <c r="B83" s="150" t="s">
        <v>137</v>
      </c>
      <c r="C83" s="22">
        <v>40123</v>
      </c>
      <c r="D83" s="137" t="s">
        <v>130</v>
      </c>
      <c r="E83" s="139">
        <v>144</v>
      </c>
      <c r="F83" s="139">
        <v>3</v>
      </c>
      <c r="G83" s="139">
        <v>23</v>
      </c>
      <c r="H83" s="477">
        <v>6416</v>
      </c>
      <c r="I83" s="478">
        <v>1604</v>
      </c>
      <c r="J83" s="81">
        <f>(I83/F83)</f>
        <v>534.6666666666666</v>
      </c>
      <c r="K83" s="151">
        <f t="shared" si="5"/>
        <v>4</v>
      </c>
      <c r="L83" s="8">
        <f>909778+593215.5+203934.5+91391+32233.5+29451.5+14597.5+12123.5+12906+13616+5350+7885.5+2130+3662+3564+2376+1780+1424+2848+1620+109+5940+6416</f>
        <v>1958351.5</v>
      </c>
      <c r="M83" s="7">
        <f>103944+67300+25860+13426+5611+5689+2739+1975+2803+2381+1177+1755+350+881+891+594+445+356+712+393+20+1485+1604</f>
        <v>242391</v>
      </c>
      <c r="N83" s="135">
        <f>L83/M83</f>
        <v>8.079307812583801</v>
      </c>
      <c r="O83" s="433">
        <v>73</v>
      </c>
    </row>
    <row r="84" spans="1:15" s="68" customFormat="1" ht="12" customHeight="1">
      <c r="A84" s="433">
        <v>74</v>
      </c>
      <c r="B84" s="157" t="s">
        <v>158</v>
      </c>
      <c r="C84" s="2">
        <v>40501</v>
      </c>
      <c r="D84" s="14" t="s">
        <v>134</v>
      </c>
      <c r="E84" s="4">
        <v>121</v>
      </c>
      <c r="F84" s="4">
        <v>6</v>
      </c>
      <c r="G84" s="4">
        <v>8</v>
      </c>
      <c r="H84" s="494">
        <v>6256</v>
      </c>
      <c r="I84" s="493">
        <v>1715</v>
      </c>
      <c r="J84" s="168">
        <f>I84/F84</f>
        <v>285.8333333333333</v>
      </c>
      <c r="K84" s="169">
        <f t="shared" si="5"/>
        <v>3.647813411078717</v>
      </c>
      <c r="L84" s="170">
        <v>1589244</v>
      </c>
      <c r="M84" s="171">
        <v>159721</v>
      </c>
      <c r="N84" s="172">
        <f>+L84/M84</f>
        <v>9.95012553139537</v>
      </c>
      <c r="O84" s="433">
        <v>74</v>
      </c>
    </row>
    <row r="85" spans="1:15" s="68" customFormat="1" ht="12" customHeight="1">
      <c r="A85" s="433">
        <v>75</v>
      </c>
      <c r="B85" s="133" t="s">
        <v>296</v>
      </c>
      <c r="C85" s="22">
        <v>40515</v>
      </c>
      <c r="D85" s="20" t="s">
        <v>30</v>
      </c>
      <c r="E85" s="23">
        <v>62</v>
      </c>
      <c r="F85" s="23">
        <v>5</v>
      </c>
      <c r="G85" s="23">
        <v>21</v>
      </c>
      <c r="H85" s="477">
        <v>6128</v>
      </c>
      <c r="I85" s="478">
        <v>1395</v>
      </c>
      <c r="J85" s="81">
        <f>(I85/F85)</f>
        <v>279</v>
      </c>
      <c r="K85" s="134">
        <f t="shared" si="5"/>
        <v>4.392831541218638</v>
      </c>
      <c r="L85" s="8">
        <f>353151+191248+132731.5+71376+47862+26248.5+19265+34650.5+35095.5+42312+25849+10987+7528+3248+2395.5+3280.5+3141.5+4280+3042+1597+6128</f>
        <v>1025416.5</v>
      </c>
      <c r="M85" s="7">
        <f>34650+19352+14525+10591+7581+5012+3223+6065+6865+6589+3930+1782+1091+624+468+512+688+987+804+306+1395</f>
        <v>127040</v>
      </c>
      <c r="N85" s="135">
        <f>L85/M85</f>
        <v>8.071603431989924</v>
      </c>
      <c r="O85" s="433">
        <v>75</v>
      </c>
    </row>
    <row r="86" spans="1:15" s="68" customFormat="1" ht="12" customHeight="1">
      <c r="A86" s="433">
        <v>76</v>
      </c>
      <c r="B86" s="335" t="s">
        <v>231</v>
      </c>
      <c r="C86" s="360">
        <v>40249</v>
      </c>
      <c r="D86" s="344" t="s">
        <v>28</v>
      </c>
      <c r="E86" s="21">
        <v>71</v>
      </c>
      <c r="F86" s="344">
        <v>1</v>
      </c>
      <c r="G86" s="21">
        <v>27</v>
      </c>
      <c r="H86" s="467">
        <v>6096</v>
      </c>
      <c r="I86" s="476">
        <v>1016</v>
      </c>
      <c r="J86" s="186">
        <f>I86/F86</f>
        <v>1016</v>
      </c>
      <c r="K86" s="234">
        <f t="shared" si="5"/>
        <v>6</v>
      </c>
      <c r="L86" s="18">
        <f>432486.25+301574+151308+7+112893+51222.5+22996.5+15680+18589.5+18584+12838+4788+1663+4208+490+365+2398+36+790+1056+718+2330+3855+1170+2143+1876+3597+6096</f>
        <v>1175757.75</v>
      </c>
      <c r="M86" s="28">
        <f>50407+35095+18523+1+15427+7108+3545+2281+2896+2839+2036+884+288+738+98+73+400+6+143+184+126+381+556+123+222+369+600+1016</f>
        <v>146365</v>
      </c>
      <c r="N86" s="244">
        <f aca="true" t="shared" si="6" ref="N86:N92">+L86/M86</f>
        <v>8.033052642366686</v>
      </c>
      <c r="O86" s="433">
        <v>76</v>
      </c>
    </row>
    <row r="87" spans="1:15" s="68" customFormat="1" ht="12" customHeight="1">
      <c r="A87" s="433">
        <v>77</v>
      </c>
      <c r="B87" s="152" t="s">
        <v>139</v>
      </c>
      <c r="C87" s="84">
        <v>40515</v>
      </c>
      <c r="D87" s="344" t="s">
        <v>10</v>
      </c>
      <c r="E87" s="88">
        <v>337</v>
      </c>
      <c r="F87" s="3">
        <v>1</v>
      </c>
      <c r="G87" s="3">
        <v>26</v>
      </c>
      <c r="H87" s="485">
        <v>5950</v>
      </c>
      <c r="I87" s="486">
        <v>1428</v>
      </c>
      <c r="J87" s="72">
        <f>I87/F87</f>
        <v>1428</v>
      </c>
      <c r="K87" s="73">
        <f t="shared" si="5"/>
        <v>4.166666666666667</v>
      </c>
      <c r="L87" s="30">
        <v>19688277</v>
      </c>
      <c r="M87" s="29">
        <v>2108156</v>
      </c>
      <c r="N87" s="74">
        <f t="shared" si="6"/>
        <v>9.339098719449604</v>
      </c>
      <c r="O87" s="433">
        <v>77</v>
      </c>
    </row>
    <row r="88" spans="1:15" s="68" customFormat="1" ht="12" customHeight="1">
      <c r="A88" s="433">
        <v>78</v>
      </c>
      <c r="B88" s="152" t="s">
        <v>270</v>
      </c>
      <c r="C88" s="2">
        <v>40499</v>
      </c>
      <c r="D88" s="12" t="s">
        <v>10</v>
      </c>
      <c r="E88" s="3">
        <v>216</v>
      </c>
      <c r="F88" s="3">
        <v>6</v>
      </c>
      <c r="G88" s="3">
        <v>8</v>
      </c>
      <c r="H88" s="485">
        <v>5700</v>
      </c>
      <c r="I88" s="486">
        <v>1097</v>
      </c>
      <c r="J88" s="80">
        <f>I88/F88</f>
        <v>182.83333333333334</v>
      </c>
      <c r="K88" s="141">
        <f t="shared" si="5"/>
        <v>5.195989061075661</v>
      </c>
      <c r="L88" s="30">
        <v>7549841</v>
      </c>
      <c r="M88" s="29">
        <v>796575</v>
      </c>
      <c r="N88" s="153">
        <f t="shared" si="6"/>
        <v>9.477878416972665</v>
      </c>
      <c r="O88" s="433">
        <v>78</v>
      </c>
    </row>
    <row r="89" spans="1:15" s="68" customFormat="1" ht="12" customHeight="1">
      <c r="A89" s="433">
        <v>79</v>
      </c>
      <c r="B89" s="157" t="s">
        <v>142</v>
      </c>
      <c r="C89" s="2">
        <v>40529</v>
      </c>
      <c r="D89" s="10" t="s">
        <v>134</v>
      </c>
      <c r="E89" s="4">
        <v>81</v>
      </c>
      <c r="F89" s="4">
        <v>5</v>
      </c>
      <c r="G89" s="4">
        <v>5</v>
      </c>
      <c r="H89" s="494">
        <v>5631</v>
      </c>
      <c r="I89" s="493">
        <v>879</v>
      </c>
      <c r="J89" s="168">
        <f>I89/F89</f>
        <v>175.8</v>
      </c>
      <c r="K89" s="169">
        <f t="shared" si="5"/>
        <v>6.406143344709897</v>
      </c>
      <c r="L89" s="170">
        <v>478360</v>
      </c>
      <c r="M89" s="171">
        <v>56856</v>
      </c>
      <c r="N89" s="172">
        <f t="shared" si="6"/>
        <v>8.413535950471367</v>
      </c>
      <c r="O89" s="433">
        <v>79</v>
      </c>
    </row>
    <row r="90" spans="1:15" s="68" customFormat="1" ht="12" customHeight="1">
      <c r="A90" s="433">
        <v>80</v>
      </c>
      <c r="B90" s="157" t="s">
        <v>153</v>
      </c>
      <c r="C90" s="2">
        <v>40487</v>
      </c>
      <c r="D90" s="10" t="s">
        <v>8</v>
      </c>
      <c r="E90" s="4">
        <v>312</v>
      </c>
      <c r="F90" s="4">
        <v>12</v>
      </c>
      <c r="G90" s="4">
        <v>11</v>
      </c>
      <c r="H90" s="498">
        <v>5621</v>
      </c>
      <c r="I90" s="499">
        <v>841</v>
      </c>
      <c r="J90" s="72">
        <f>+I90/F90</f>
        <v>70.08333333333333</v>
      </c>
      <c r="K90" s="159">
        <f>+H90/I90</f>
        <v>6.683709869203329</v>
      </c>
      <c r="L90" s="5">
        <v>31640263</v>
      </c>
      <c r="M90" s="6">
        <v>3473764</v>
      </c>
      <c r="N90" s="160">
        <f t="shared" si="6"/>
        <v>9.108351344535784</v>
      </c>
      <c r="O90" s="433">
        <v>80</v>
      </c>
    </row>
    <row r="91" spans="1:15" s="68" customFormat="1" ht="12" customHeight="1">
      <c r="A91" s="433">
        <v>81</v>
      </c>
      <c r="B91" s="306" t="s">
        <v>135</v>
      </c>
      <c r="C91" s="307">
        <v>40522</v>
      </c>
      <c r="D91" s="85" t="s">
        <v>30</v>
      </c>
      <c r="E91" s="309">
        <v>127</v>
      </c>
      <c r="F91" s="144">
        <v>4</v>
      </c>
      <c r="G91" s="245">
        <v>20</v>
      </c>
      <c r="H91" s="477">
        <v>5583.5</v>
      </c>
      <c r="I91" s="478">
        <v>1394</v>
      </c>
      <c r="J91" s="72">
        <f>I91/F91</f>
        <v>348.5</v>
      </c>
      <c r="K91" s="73">
        <f>H91/I91</f>
        <v>4.005380200860833</v>
      </c>
      <c r="L91" s="8">
        <f>1048675+809166.5+457718.5+70165.5+7102+12164+8619.5+11777.5+6559.5+3338.5+10420.5+3303+3205+2076+1722.5+314+264+550+5455+5583.5</f>
        <v>2468180</v>
      </c>
      <c r="M91" s="7">
        <f>92481+73795+43350+8841+1153+2869+1615+2831+1620+630+2477+726+513+481+318+38+33+104+1359+1394</f>
        <v>236628</v>
      </c>
      <c r="N91" s="74">
        <f t="shared" si="6"/>
        <v>10.430633737343003</v>
      </c>
      <c r="O91" s="433">
        <v>81</v>
      </c>
    </row>
    <row r="92" spans="1:15" s="68" customFormat="1" ht="12" customHeight="1">
      <c r="A92" s="433">
        <v>82</v>
      </c>
      <c r="B92" s="157" t="s">
        <v>158</v>
      </c>
      <c r="C92" s="2">
        <v>40501</v>
      </c>
      <c r="D92" s="10" t="s">
        <v>134</v>
      </c>
      <c r="E92" s="4">
        <v>121</v>
      </c>
      <c r="F92" s="4">
        <v>5</v>
      </c>
      <c r="G92" s="4">
        <v>15</v>
      </c>
      <c r="H92" s="492">
        <v>5491.95</v>
      </c>
      <c r="I92" s="510">
        <v>1653</v>
      </c>
      <c r="J92" s="200">
        <f>I92/F92</f>
        <v>330.6</v>
      </c>
      <c r="K92" s="182">
        <f>H92/I92</f>
        <v>3.3224137931034483</v>
      </c>
      <c r="L92" s="199">
        <v>1609599</v>
      </c>
      <c r="M92" s="201">
        <v>165154</v>
      </c>
      <c r="N92" s="172">
        <f t="shared" si="6"/>
        <v>9.74604914201291</v>
      </c>
      <c r="O92" s="433">
        <v>82</v>
      </c>
    </row>
    <row r="93" spans="1:15" s="68" customFormat="1" ht="12" customHeight="1">
      <c r="A93" s="433">
        <v>83</v>
      </c>
      <c r="B93" s="198" t="s">
        <v>135</v>
      </c>
      <c r="C93" s="22">
        <v>40522</v>
      </c>
      <c r="D93" s="20" t="s">
        <v>30</v>
      </c>
      <c r="E93" s="23">
        <v>127</v>
      </c>
      <c r="F93" s="23">
        <v>4</v>
      </c>
      <c r="G93" s="23">
        <v>19</v>
      </c>
      <c r="H93" s="477">
        <v>5455</v>
      </c>
      <c r="I93" s="478">
        <v>1359</v>
      </c>
      <c r="J93" s="81">
        <f>(I93/F93)</f>
        <v>339.75</v>
      </c>
      <c r="K93" s="134">
        <f>H93/I93</f>
        <v>4.013980868285504</v>
      </c>
      <c r="L93" s="8">
        <f>1048675+809166.5+457718.5+70165.5+7102+12164+8619.5+11777.5+6559.5+3338.5+10420.5+3303+3205+2076+1722.5+314+264+550+5455</f>
        <v>2462596.5</v>
      </c>
      <c r="M93" s="7">
        <f>92481+73795+43350+8841+1153+2869+1615+2831+1620+630+2477+726+513+481+318+38+33+104+1359</f>
        <v>235234</v>
      </c>
      <c r="N93" s="135">
        <f>L93/M93</f>
        <v>10.468709880374435</v>
      </c>
      <c r="O93" s="433">
        <v>83</v>
      </c>
    </row>
    <row r="94" spans="1:15" s="68" customFormat="1" ht="12" customHeight="1">
      <c r="A94" s="433">
        <v>84</v>
      </c>
      <c r="B94" s="150" t="s">
        <v>143</v>
      </c>
      <c r="C94" s="22">
        <v>40529</v>
      </c>
      <c r="D94" s="137" t="s">
        <v>30</v>
      </c>
      <c r="E94" s="139">
        <v>147</v>
      </c>
      <c r="F94" s="139">
        <v>7</v>
      </c>
      <c r="G94" s="139">
        <v>10</v>
      </c>
      <c r="H94" s="477">
        <v>5445.5</v>
      </c>
      <c r="I94" s="478">
        <v>1176</v>
      </c>
      <c r="J94" s="81">
        <f>(I94/F94)</f>
        <v>168</v>
      </c>
      <c r="K94" s="134">
        <f>H94/I94</f>
        <v>4.630527210884353</v>
      </c>
      <c r="L94" s="8">
        <f>691567.5+648414.5+518408+71321.5+45526+17480+7409+4406.5+1874+5445.5</f>
        <v>2011852.5</v>
      </c>
      <c r="M94" s="7">
        <f>79327+75064+61133+10266+7792+4345+1731+935+303+1176</f>
        <v>242072</v>
      </c>
      <c r="N94" s="135">
        <f>L94/M94</f>
        <v>8.310967398129483</v>
      </c>
      <c r="O94" s="433">
        <v>84</v>
      </c>
    </row>
    <row r="95" spans="1:15" s="68" customFormat="1" ht="12" customHeight="1">
      <c r="A95" s="433">
        <v>85</v>
      </c>
      <c r="B95" s="157" t="s">
        <v>270</v>
      </c>
      <c r="C95" s="2">
        <v>40499</v>
      </c>
      <c r="D95" s="10" t="s">
        <v>10</v>
      </c>
      <c r="E95" s="4">
        <v>216</v>
      </c>
      <c r="F95" s="4">
        <v>6</v>
      </c>
      <c r="G95" s="4">
        <v>9</v>
      </c>
      <c r="H95" s="485">
        <v>5414</v>
      </c>
      <c r="I95" s="486">
        <v>1277</v>
      </c>
      <c r="J95" s="80">
        <f>I95/F95</f>
        <v>212.83333333333334</v>
      </c>
      <c r="K95" s="141">
        <f>H95/I95</f>
        <v>4.239624119028974</v>
      </c>
      <c r="L95" s="30">
        <v>7555255</v>
      </c>
      <c r="M95" s="29">
        <v>797852</v>
      </c>
      <c r="N95" s="153">
        <f>+L95/M95</f>
        <v>9.4694943423091</v>
      </c>
      <c r="O95" s="433">
        <v>85</v>
      </c>
    </row>
    <row r="96" spans="1:15" s="68" customFormat="1" ht="12" customHeight="1">
      <c r="A96" s="433">
        <v>86</v>
      </c>
      <c r="B96" s="133" t="s">
        <v>311</v>
      </c>
      <c r="C96" s="22">
        <v>40536</v>
      </c>
      <c r="D96" s="189" t="s">
        <v>23</v>
      </c>
      <c r="E96" s="23">
        <v>112</v>
      </c>
      <c r="F96" s="23">
        <v>3</v>
      </c>
      <c r="G96" s="23">
        <v>17</v>
      </c>
      <c r="H96" s="475">
        <v>5237</v>
      </c>
      <c r="I96" s="476">
        <v>1250</v>
      </c>
      <c r="J96" s="28">
        <f>I96/F96</f>
        <v>416.6666666666667</v>
      </c>
      <c r="K96" s="180">
        <f>+H96/I96</f>
        <v>4.1896</v>
      </c>
      <c r="L96" s="26">
        <v>2754565</v>
      </c>
      <c r="M96" s="28">
        <v>246263</v>
      </c>
      <c r="N96" s="181">
        <f>+L96/M96</f>
        <v>11.185460259965971</v>
      </c>
      <c r="O96" s="433">
        <v>86</v>
      </c>
    </row>
    <row r="97" spans="1:15" s="68" customFormat="1" ht="12" customHeight="1">
      <c r="A97" s="433">
        <v>87</v>
      </c>
      <c r="B97" s="142" t="s">
        <v>316</v>
      </c>
      <c r="C97" s="143">
        <v>40529</v>
      </c>
      <c r="D97" s="137" t="s">
        <v>30</v>
      </c>
      <c r="E97" s="144">
        <v>27</v>
      </c>
      <c r="F97" s="144">
        <v>4</v>
      </c>
      <c r="G97" s="144">
        <v>4</v>
      </c>
      <c r="H97" s="477">
        <v>5233</v>
      </c>
      <c r="I97" s="478">
        <v>1185</v>
      </c>
      <c r="J97" s="81">
        <f>(I97/F97)</f>
        <v>296.25</v>
      </c>
      <c r="K97" s="134">
        <f aca="true" t="shared" si="7" ref="K97:K104">H97/I97</f>
        <v>4.4160337552742615</v>
      </c>
      <c r="L97" s="8">
        <f>68045+25663+7073.5+5233</f>
        <v>106014.5</v>
      </c>
      <c r="M97" s="7">
        <f>5442+2277+920+1185</f>
        <v>9824</v>
      </c>
      <c r="N97" s="135">
        <f>L97/M97</f>
        <v>10.79137825732899</v>
      </c>
      <c r="O97" s="433">
        <v>87</v>
      </c>
    </row>
    <row r="98" spans="1:15" s="68" customFormat="1" ht="12" customHeight="1">
      <c r="A98" s="433">
        <v>88</v>
      </c>
      <c r="B98" s="133" t="s">
        <v>249</v>
      </c>
      <c r="C98" s="22">
        <v>40172</v>
      </c>
      <c r="D98" s="20" t="s">
        <v>30</v>
      </c>
      <c r="E98" s="23">
        <v>60</v>
      </c>
      <c r="F98" s="23">
        <v>3</v>
      </c>
      <c r="G98" s="23">
        <v>32</v>
      </c>
      <c r="H98" s="477">
        <v>5074</v>
      </c>
      <c r="I98" s="478">
        <v>1267</v>
      </c>
      <c r="J98" s="81">
        <f>(I98/F98)</f>
        <v>422.3333333333333</v>
      </c>
      <c r="K98" s="134">
        <f t="shared" si="7"/>
        <v>4.004735595895817</v>
      </c>
      <c r="L98" s="8">
        <f>421775.5+397095.5+287050+215248.5+189819.5+180729.5+86816.5+23840+19148+14942.5+8798.5+9599+13618.5+4298+4028+3310+8547+6712.5+1803+1172+973+2291+380.5+3015+1103.5+65+2061.5+1262+1020+2232+2970+5074</f>
        <v>1920799.5</v>
      </c>
      <c r="M98" s="7">
        <f>43739+40732+31780+27356+25902+24895+12153+4496+3179+3069+1650+2236+3335+954+829+540+1945+1297+429+261+173+594+53+613+200+10+480+240+102+533+743+1267</f>
        <v>235785</v>
      </c>
      <c r="N98" s="135">
        <f>L98/M98</f>
        <v>8.146402442903492</v>
      </c>
      <c r="O98" s="433">
        <v>88</v>
      </c>
    </row>
    <row r="99" spans="1:15" s="68" customFormat="1" ht="12" customHeight="1">
      <c r="A99" s="433">
        <v>89</v>
      </c>
      <c r="B99" s="173" t="s">
        <v>153</v>
      </c>
      <c r="C99" s="2">
        <v>40487</v>
      </c>
      <c r="D99" s="11" t="s">
        <v>8</v>
      </c>
      <c r="E99" s="4">
        <v>312</v>
      </c>
      <c r="F99" s="4">
        <v>7</v>
      </c>
      <c r="G99" s="4">
        <v>12</v>
      </c>
      <c r="H99" s="498">
        <v>4990</v>
      </c>
      <c r="I99" s="499">
        <v>695</v>
      </c>
      <c r="J99" s="81">
        <f>(I99/F99)</f>
        <v>99.28571428571429</v>
      </c>
      <c r="K99" s="134">
        <f t="shared" si="7"/>
        <v>7.179856115107913</v>
      </c>
      <c r="L99" s="5">
        <v>31645253</v>
      </c>
      <c r="M99" s="6">
        <v>3474459</v>
      </c>
      <c r="N99" s="135">
        <f>L99/M99</f>
        <v>9.107965585433588</v>
      </c>
      <c r="O99" s="433">
        <v>89</v>
      </c>
    </row>
    <row r="100" spans="1:15" s="68" customFormat="1" ht="12" customHeight="1">
      <c r="A100" s="433">
        <v>90</v>
      </c>
      <c r="B100" s="352" t="s">
        <v>284</v>
      </c>
      <c r="C100" s="372">
        <v>40473</v>
      </c>
      <c r="D100" s="344" t="s">
        <v>30</v>
      </c>
      <c r="E100" s="347">
        <v>30</v>
      </c>
      <c r="F100" s="347">
        <v>5</v>
      </c>
      <c r="G100" s="347">
        <v>18</v>
      </c>
      <c r="H100" s="479">
        <v>4948</v>
      </c>
      <c r="I100" s="480">
        <v>785</v>
      </c>
      <c r="J100" s="186">
        <f>I100/F100</f>
        <v>157</v>
      </c>
      <c r="K100" s="234">
        <f t="shared" si="7"/>
        <v>6.3031847133757966</v>
      </c>
      <c r="L100" s="16">
        <f>140269+106844+7979+4849+4700.5+7059+2232+1390+2769+13917+8357+891.5+4704+1307+1076+311+973+4948</f>
        <v>314576</v>
      </c>
      <c r="M100" s="17">
        <f>11518+8629+641+577+660+1341+325+348+324+2259+1374+332+506+327+114+46+109+785</f>
        <v>30215</v>
      </c>
      <c r="N100" s="244">
        <f>+L100/M100</f>
        <v>10.411252689061724</v>
      </c>
      <c r="O100" s="433">
        <v>90</v>
      </c>
    </row>
    <row r="101" spans="1:15" s="68" customFormat="1" ht="12" customHeight="1">
      <c r="A101" s="433">
        <v>91</v>
      </c>
      <c r="B101" s="152" t="s">
        <v>139</v>
      </c>
      <c r="C101" s="2">
        <v>40515</v>
      </c>
      <c r="D101" s="85" t="s">
        <v>10</v>
      </c>
      <c r="E101" s="86">
        <v>337</v>
      </c>
      <c r="F101" s="86">
        <v>1</v>
      </c>
      <c r="G101" s="86">
        <v>21</v>
      </c>
      <c r="H101" s="483">
        <v>4760</v>
      </c>
      <c r="I101" s="484">
        <v>1190</v>
      </c>
      <c r="J101" s="186">
        <f>I101/F101</f>
        <v>1190</v>
      </c>
      <c r="K101" s="234">
        <f t="shared" si="7"/>
        <v>4</v>
      </c>
      <c r="L101" s="156">
        <v>19673996</v>
      </c>
      <c r="M101" s="236">
        <v>2105000</v>
      </c>
      <c r="N101" s="244">
        <f>+L101/M101</f>
        <v>9.346316389548694</v>
      </c>
      <c r="O101" s="433">
        <v>91</v>
      </c>
    </row>
    <row r="102" spans="1:15" s="68" customFormat="1" ht="12" customHeight="1">
      <c r="A102" s="433">
        <v>92</v>
      </c>
      <c r="B102" s="152" t="s">
        <v>139</v>
      </c>
      <c r="C102" s="2">
        <v>40515</v>
      </c>
      <c r="D102" s="9" t="s">
        <v>10</v>
      </c>
      <c r="E102" s="3">
        <v>337</v>
      </c>
      <c r="F102" s="3">
        <v>2</v>
      </c>
      <c r="G102" s="3">
        <v>20</v>
      </c>
      <c r="H102" s="485">
        <v>4760</v>
      </c>
      <c r="I102" s="486">
        <v>1190</v>
      </c>
      <c r="J102" s="80">
        <f>I102/F102</f>
        <v>595</v>
      </c>
      <c r="K102" s="141">
        <f t="shared" si="7"/>
        <v>4</v>
      </c>
      <c r="L102" s="30">
        <v>19669236</v>
      </c>
      <c r="M102" s="29">
        <v>2103810</v>
      </c>
      <c r="N102" s="153">
        <f>+L102/M102</f>
        <v>9.349340482267886</v>
      </c>
      <c r="O102" s="433">
        <v>92</v>
      </c>
    </row>
    <row r="103" spans="1:15" s="68" customFormat="1" ht="12" customHeight="1">
      <c r="A103" s="433">
        <v>93</v>
      </c>
      <c r="B103" s="152" t="s">
        <v>139</v>
      </c>
      <c r="C103" s="359">
        <v>40515</v>
      </c>
      <c r="D103" s="344" t="s">
        <v>10</v>
      </c>
      <c r="E103" s="345">
        <v>337</v>
      </c>
      <c r="F103" s="12">
        <v>1</v>
      </c>
      <c r="G103" s="12">
        <v>28</v>
      </c>
      <c r="H103" s="483">
        <v>4760</v>
      </c>
      <c r="I103" s="484">
        <v>1190</v>
      </c>
      <c r="J103" s="186">
        <f>I103/F103</f>
        <v>1190</v>
      </c>
      <c r="K103" s="234">
        <f t="shared" si="7"/>
        <v>4</v>
      </c>
      <c r="L103" s="156">
        <f>19694229+4760</f>
        <v>19698989</v>
      </c>
      <c r="M103" s="236">
        <f>2109644+1190</f>
        <v>2110834</v>
      </c>
      <c r="N103" s="244">
        <f>+L103/M103</f>
        <v>9.332325043087234</v>
      </c>
      <c r="O103" s="433">
        <v>93</v>
      </c>
    </row>
    <row r="104" spans="1:15" s="68" customFormat="1" ht="12" customHeight="1">
      <c r="A104" s="433">
        <v>94</v>
      </c>
      <c r="B104" s="150" t="s">
        <v>263</v>
      </c>
      <c r="C104" s="22">
        <v>40430</v>
      </c>
      <c r="D104" s="137" t="s">
        <v>30</v>
      </c>
      <c r="E104" s="139">
        <v>57</v>
      </c>
      <c r="F104" s="139">
        <v>2</v>
      </c>
      <c r="G104" s="139">
        <v>17</v>
      </c>
      <c r="H104" s="477">
        <v>4752</v>
      </c>
      <c r="I104" s="478">
        <v>1188</v>
      </c>
      <c r="J104" s="81">
        <f>(I104/F104)</f>
        <v>594</v>
      </c>
      <c r="K104" s="134">
        <f t="shared" si="7"/>
        <v>4</v>
      </c>
      <c r="L104" s="8">
        <f>15818.5+150711.5+75138.5+33591.5+30249.5+17415.5+8294.5+10566+6016+6121.5+888.5+2484+322+4243.5+950.5+1782+1782+4752</f>
        <v>371127.5</v>
      </c>
      <c r="M104" s="7">
        <f>1512+15643+7345+4634+4073+2646+1136+2027+1109+1483+117+572+47+1041+237+445+446+1188</f>
        <v>45701</v>
      </c>
      <c r="N104" s="135">
        <f>L104/M104</f>
        <v>8.120774162490974</v>
      </c>
      <c r="O104" s="433">
        <v>94</v>
      </c>
    </row>
    <row r="105" spans="1:15" s="68" customFormat="1" ht="12" customHeight="1">
      <c r="A105" s="433">
        <v>95</v>
      </c>
      <c r="B105" s="157" t="s">
        <v>323</v>
      </c>
      <c r="C105" s="2">
        <v>40522</v>
      </c>
      <c r="D105" s="11" t="s">
        <v>8</v>
      </c>
      <c r="E105" s="4">
        <v>110</v>
      </c>
      <c r="F105" s="4">
        <v>6</v>
      </c>
      <c r="G105" s="4">
        <v>10</v>
      </c>
      <c r="H105" s="498">
        <v>4744</v>
      </c>
      <c r="I105" s="499">
        <v>1467</v>
      </c>
      <c r="J105" s="72">
        <f>+I105/F105</f>
        <v>244.5</v>
      </c>
      <c r="K105" s="159">
        <f>+H105/I105</f>
        <v>3.2338104976141784</v>
      </c>
      <c r="L105" s="5">
        <v>5008119</v>
      </c>
      <c r="M105" s="6">
        <v>476107</v>
      </c>
      <c r="N105" s="160">
        <f>+L105/M105</f>
        <v>10.518893862094025</v>
      </c>
      <c r="O105" s="433">
        <v>95</v>
      </c>
    </row>
    <row r="106" spans="1:15" s="68" customFormat="1" ht="12" customHeight="1">
      <c r="A106" s="433">
        <v>96</v>
      </c>
      <c r="B106" s="142" t="s">
        <v>284</v>
      </c>
      <c r="C106" s="143">
        <v>40473</v>
      </c>
      <c r="D106" s="137" t="s">
        <v>30</v>
      </c>
      <c r="E106" s="144">
        <v>30</v>
      </c>
      <c r="F106" s="144">
        <v>3</v>
      </c>
      <c r="G106" s="144">
        <v>13</v>
      </c>
      <c r="H106" s="481">
        <v>4704</v>
      </c>
      <c r="I106" s="482">
        <v>506</v>
      </c>
      <c r="J106" s="145">
        <f>(I106/F106)</f>
        <v>168.66666666666666</v>
      </c>
      <c r="K106" s="146">
        <f>H106/I106</f>
        <v>9.296442687747035</v>
      </c>
      <c r="L106" s="147">
        <f>140269+106844+7979+4849+4700.5+7059+2232+1390+2769+13917+8357+891.5+4704</f>
        <v>305961</v>
      </c>
      <c r="M106" s="148">
        <f>11518+8629+641+577+660+1341+325+348+324+2259+1374+332+506</f>
        <v>28834</v>
      </c>
      <c r="N106" s="149">
        <f>L106/M106</f>
        <v>10.61111881806201</v>
      </c>
      <c r="O106" s="433">
        <v>96</v>
      </c>
    </row>
    <row r="107" spans="1:15" s="68" customFormat="1" ht="12" customHeight="1">
      <c r="A107" s="433">
        <v>97</v>
      </c>
      <c r="B107" s="136" t="s">
        <v>151</v>
      </c>
      <c r="C107" s="22">
        <v>40515</v>
      </c>
      <c r="D107" s="183" t="s">
        <v>23</v>
      </c>
      <c r="E107" s="23">
        <v>122</v>
      </c>
      <c r="F107" s="23">
        <v>7</v>
      </c>
      <c r="G107" s="23">
        <v>4</v>
      </c>
      <c r="H107" s="467">
        <v>4679</v>
      </c>
      <c r="I107" s="476">
        <v>723</v>
      </c>
      <c r="J107" s="28">
        <f>I107/F107</f>
        <v>103.28571428571429</v>
      </c>
      <c r="K107" s="188">
        <f>+H107/I107</f>
        <v>6.4716459197787</v>
      </c>
      <c r="L107" s="18">
        <v>611175</v>
      </c>
      <c r="M107" s="28">
        <v>72305</v>
      </c>
      <c r="N107" s="181">
        <f>+L107/M107</f>
        <v>8.452734942258488</v>
      </c>
      <c r="O107" s="433">
        <v>97</v>
      </c>
    </row>
    <row r="108" spans="1:15" s="68" customFormat="1" ht="12" customHeight="1">
      <c r="A108" s="433">
        <v>98</v>
      </c>
      <c r="B108" s="152" t="s">
        <v>159</v>
      </c>
      <c r="C108" s="2">
        <v>40529</v>
      </c>
      <c r="D108" s="9" t="s">
        <v>21</v>
      </c>
      <c r="E108" s="3">
        <v>134</v>
      </c>
      <c r="F108" s="3">
        <v>2</v>
      </c>
      <c r="G108" s="3">
        <v>10</v>
      </c>
      <c r="H108" s="487">
        <v>4630</v>
      </c>
      <c r="I108" s="488">
        <v>683</v>
      </c>
      <c r="J108" s="72">
        <f>IF(H108&lt;&gt;0,I108/F108,"")</f>
        <v>341.5</v>
      </c>
      <c r="K108" s="159">
        <f>IF(H108&lt;&gt;0,H108/I108,"")</f>
        <v>6.77891654465593</v>
      </c>
      <c r="L108" s="25">
        <f>415183+3929+3246+2363+1074+230+2072+4630</f>
        <v>432727</v>
      </c>
      <c r="M108" s="28">
        <f>52315+638+476+361+299+38+414+683</f>
        <v>55224</v>
      </c>
      <c r="N108" s="160">
        <f>IF(L108&lt;&gt;0,L108/M108,"")</f>
        <v>7.8358503549181515</v>
      </c>
      <c r="O108" s="433">
        <v>98</v>
      </c>
    </row>
    <row r="109" spans="1:15" s="68" customFormat="1" ht="12" customHeight="1">
      <c r="A109" s="433">
        <v>99</v>
      </c>
      <c r="B109" s="348" t="s">
        <v>330</v>
      </c>
      <c r="C109" s="307">
        <v>40480</v>
      </c>
      <c r="D109" s="85" t="s">
        <v>30</v>
      </c>
      <c r="E109" s="309">
        <v>100</v>
      </c>
      <c r="F109" s="144">
        <v>1</v>
      </c>
      <c r="G109" s="309">
        <v>18</v>
      </c>
      <c r="H109" s="477">
        <v>4457</v>
      </c>
      <c r="I109" s="478">
        <v>857</v>
      </c>
      <c r="J109" s="72">
        <f>I109/F109</f>
        <v>857</v>
      </c>
      <c r="K109" s="73">
        <f aca="true" t="shared" si="8" ref="K109:K119">H109/I109</f>
        <v>5.200700116686114</v>
      </c>
      <c r="L109" s="8">
        <f>1221166+429124.5+378100+240009.5+108018.5+26890.5+15319+16968+7345.5+4160+1262+1510+3920.5+2732.5+8910+571+670+102+4457</f>
        <v>2471236.5</v>
      </c>
      <c r="M109" s="7">
        <f>114702+40612+35598+23284+12543+4168+3055+2661+1161+850+210+377+981+684+2228+92+109+26+857</f>
        <v>244198</v>
      </c>
      <c r="N109" s="74">
        <f>+L109/M109</f>
        <v>10.119806468521446</v>
      </c>
      <c r="O109" s="433">
        <v>99</v>
      </c>
    </row>
    <row r="110" spans="1:15" s="68" customFormat="1" ht="12" customHeight="1">
      <c r="A110" s="433">
        <v>100</v>
      </c>
      <c r="B110" s="150" t="s">
        <v>143</v>
      </c>
      <c r="C110" s="22">
        <v>40529</v>
      </c>
      <c r="D110" s="137" t="s">
        <v>30</v>
      </c>
      <c r="E110" s="139">
        <v>147</v>
      </c>
      <c r="F110" s="139">
        <v>4</v>
      </c>
      <c r="G110" s="139">
        <v>8</v>
      </c>
      <c r="H110" s="477">
        <v>4406.5</v>
      </c>
      <c r="I110" s="478">
        <v>935</v>
      </c>
      <c r="J110" s="81">
        <f>(I110/F110)</f>
        <v>233.75</v>
      </c>
      <c r="K110" s="134">
        <f t="shared" si="8"/>
        <v>4.7128342245989305</v>
      </c>
      <c r="L110" s="8">
        <f>691567.5+648414.5+518408+71321.5+45526+17480+7409+4406.5</f>
        <v>2004533</v>
      </c>
      <c r="M110" s="7">
        <f>79327+75064+61133+10266+7792+4345+1731+935</f>
        <v>240593</v>
      </c>
      <c r="N110" s="135">
        <f>L110/M110</f>
        <v>8.331634752465783</v>
      </c>
      <c r="O110" s="433">
        <v>100</v>
      </c>
    </row>
    <row r="111" spans="1:15" s="68" customFormat="1" ht="12" customHeight="1">
      <c r="A111" s="433">
        <v>101</v>
      </c>
      <c r="B111" s="150" t="s">
        <v>253</v>
      </c>
      <c r="C111" s="22">
        <v>40529</v>
      </c>
      <c r="D111" s="137" t="s">
        <v>254</v>
      </c>
      <c r="E111" s="139">
        <v>5</v>
      </c>
      <c r="F111" s="139">
        <v>5</v>
      </c>
      <c r="G111" s="139">
        <v>4</v>
      </c>
      <c r="H111" s="475">
        <v>4388</v>
      </c>
      <c r="I111" s="476">
        <v>375</v>
      </c>
      <c r="J111" s="28">
        <f>I111/F111</f>
        <v>75</v>
      </c>
      <c r="K111" s="180">
        <f t="shared" si="8"/>
        <v>11.701333333333332</v>
      </c>
      <c r="L111" s="26">
        <v>19557</v>
      </c>
      <c r="M111" s="28">
        <v>1795</v>
      </c>
      <c r="N111" s="181">
        <f>L111/M111</f>
        <v>10.895264623955432</v>
      </c>
      <c r="O111" s="433">
        <v>101</v>
      </c>
    </row>
    <row r="112" spans="1:15" s="68" customFormat="1" ht="12" customHeight="1">
      <c r="A112" s="433">
        <v>102</v>
      </c>
      <c r="B112" s="208" t="s">
        <v>296</v>
      </c>
      <c r="C112" s="84">
        <v>40515</v>
      </c>
      <c r="D112" s="85" t="s">
        <v>30</v>
      </c>
      <c r="E112" s="86">
        <v>62</v>
      </c>
      <c r="F112" s="86">
        <v>2</v>
      </c>
      <c r="G112" s="86">
        <v>27</v>
      </c>
      <c r="H112" s="479">
        <v>4335.5</v>
      </c>
      <c r="I112" s="480">
        <v>1084</v>
      </c>
      <c r="J112" s="186">
        <f>I112/F112</f>
        <v>542</v>
      </c>
      <c r="K112" s="234">
        <f t="shared" si="8"/>
        <v>3.999538745387454</v>
      </c>
      <c r="L112" s="16">
        <f>353151+191248+132731.5+71376+47862+26248.5+19265+34650.5+35095.5+42312+25849+10987+7528+3248+2395.5+3280.5+3141.5+4280+3042+1597+6128+4358+2107+777+4230+4335.5</f>
        <v>1041224</v>
      </c>
      <c r="M112" s="17">
        <f>34650+19352+14525+10591+7581+5012+3223+6065+6865+6589+3930+1782+1091+624+468+512+688+987+804+306+1395+991+478+166+1058+1084</f>
        <v>130817</v>
      </c>
      <c r="N112" s="235">
        <f>L112/M112</f>
        <v>7.959393656787726</v>
      </c>
      <c r="O112" s="433">
        <v>102</v>
      </c>
    </row>
    <row r="113" spans="1:15" s="68" customFormat="1" ht="12" customHeight="1">
      <c r="A113" s="433">
        <v>103</v>
      </c>
      <c r="B113" s="133" t="s">
        <v>296</v>
      </c>
      <c r="C113" s="22">
        <v>40515</v>
      </c>
      <c r="D113" s="330" t="s">
        <v>30</v>
      </c>
      <c r="E113" s="23">
        <v>62</v>
      </c>
      <c r="F113" s="23">
        <v>5</v>
      </c>
      <c r="G113" s="23">
        <v>22</v>
      </c>
      <c r="H113" s="477">
        <v>4328</v>
      </c>
      <c r="I113" s="478">
        <v>991</v>
      </c>
      <c r="J113" s="81">
        <f>(I113/F113)</f>
        <v>198.2</v>
      </c>
      <c r="K113" s="138">
        <f t="shared" si="8"/>
        <v>4.367305751765893</v>
      </c>
      <c r="L113" s="8">
        <f>353151+191248+132731.5+71376+47862+26248.5+19265+34650.5+35095.5+42312+25849+10987+7528+3248+2395.5+3280.5+3141.5+4280+3042+1597+6128+4328</f>
        <v>1029744.5</v>
      </c>
      <c r="M113" s="7">
        <f>34650+19352+14525+10591+7581+5012+3223+6065+6865+6589+3930+1782+1091+624+468+512+688+987+804+306+1395+991</f>
        <v>128031</v>
      </c>
      <c r="N113" s="135">
        <f>L113/M113</f>
        <v>8.042931008896282</v>
      </c>
      <c r="O113" s="433">
        <v>103</v>
      </c>
    </row>
    <row r="114" spans="1:15" s="68" customFormat="1" ht="12" customHeight="1">
      <c r="A114" s="433">
        <v>104</v>
      </c>
      <c r="B114" s="150" t="s">
        <v>264</v>
      </c>
      <c r="C114" s="22">
        <v>40319</v>
      </c>
      <c r="D114" s="137" t="s">
        <v>28</v>
      </c>
      <c r="E114" s="139">
        <v>55</v>
      </c>
      <c r="F114" s="139">
        <v>1</v>
      </c>
      <c r="G114" s="139">
        <v>18</v>
      </c>
      <c r="H114" s="475">
        <v>4324</v>
      </c>
      <c r="I114" s="476">
        <v>864</v>
      </c>
      <c r="J114" s="80">
        <f>I114/F114</f>
        <v>864</v>
      </c>
      <c r="K114" s="158">
        <f t="shared" si="8"/>
        <v>5.00462962962963</v>
      </c>
      <c r="L114" s="26">
        <f>65145+41204+28599.5+10743+2405+0.5+2368+274+127+891+124+545+573+114+1943+465+416+216+4324</f>
        <v>160477</v>
      </c>
      <c r="M114" s="28">
        <f>6350+4165+3879+1659+455+341+36+22+135+21+109+98+19+321+74+58+35+864</f>
        <v>18641</v>
      </c>
      <c r="N114" s="153">
        <f>+L114/M114</f>
        <v>8.608819269352503</v>
      </c>
      <c r="O114" s="433">
        <v>104</v>
      </c>
    </row>
    <row r="115" spans="1:15" s="68" customFormat="1" ht="12" customHeight="1">
      <c r="A115" s="433">
        <v>105</v>
      </c>
      <c r="B115" s="142" t="s">
        <v>296</v>
      </c>
      <c r="C115" s="143">
        <v>40515</v>
      </c>
      <c r="D115" s="282" t="s">
        <v>30</v>
      </c>
      <c r="E115" s="144">
        <v>62</v>
      </c>
      <c r="F115" s="144">
        <v>8</v>
      </c>
      <c r="G115" s="144">
        <v>18</v>
      </c>
      <c r="H115" s="481">
        <v>4280</v>
      </c>
      <c r="I115" s="482">
        <v>987</v>
      </c>
      <c r="J115" s="145">
        <f>(I115/F115)</f>
        <v>123.375</v>
      </c>
      <c r="K115" s="146">
        <f t="shared" si="8"/>
        <v>4.336372847011145</v>
      </c>
      <c r="L115" s="147">
        <f>353151+191248+132731.5+71376+47862+26248.5+19265+34650.5+35095.5+42312+25849+10987+7528+3248+2395.5+3280.5+3141.5+4280</f>
        <v>1014649.5</v>
      </c>
      <c r="M115" s="148">
        <f>34650+19352+14525+10591+7581+5012+3223+6065+6865+6589+3930+1782+1091+624+468+512+688+987</f>
        <v>124535</v>
      </c>
      <c r="N115" s="149">
        <f>L115/M115</f>
        <v>8.147504717549284</v>
      </c>
      <c r="O115" s="433">
        <v>105</v>
      </c>
    </row>
    <row r="116" spans="1:15" s="68" customFormat="1" ht="12" customHeight="1">
      <c r="A116" s="433">
        <v>106</v>
      </c>
      <c r="B116" s="335" t="s">
        <v>813</v>
      </c>
      <c r="C116" s="360">
        <v>40172</v>
      </c>
      <c r="D116" s="345" t="s">
        <v>30</v>
      </c>
      <c r="E116" s="21">
        <v>60</v>
      </c>
      <c r="F116" s="21">
        <v>1</v>
      </c>
      <c r="G116" s="21">
        <v>38</v>
      </c>
      <c r="H116" s="675">
        <v>4277</v>
      </c>
      <c r="I116" s="676">
        <v>1068</v>
      </c>
      <c r="J116" s="186">
        <f>I116/F116</f>
        <v>1068</v>
      </c>
      <c r="K116" s="161">
        <f t="shared" si="8"/>
        <v>4.004681647940075</v>
      </c>
      <c r="L116" s="16">
        <f>421775.5+397095.5+287050+215248.5+189819.5+180729.5+86816.5+23840+19148+14942.5+8798.5+9599+13618.5+4298+4028+3310+8547+6712.5+1803+1172+973+2291+380.5+3015+1103.5+65+2061.5+1262+1020+2232+2970+5074+2970+1188+250+200+70+4277</f>
        <v>1929754.5</v>
      </c>
      <c r="M116" s="17">
        <f>43739+40732+31780+27356+25902+24895+12153+4496+3179+3069+1650+2236+3335+954+829+540+1945+1297+429+261+173+594+53+613+200+10+480+240+102+533+743+1267+742+297+28+20+7+1068</f>
        <v>237947</v>
      </c>
      <c r="N116" s="216">
        <f>+L116/M116</f>
        <v>8.110018197329657</v>
      </c>
      <c r="O116" s="433">
        <v>106</v>
      </c>
    </row>
    <row r="117" spans="1:15" s="68" customFormat="1" ht="12" customHeight="1">
      <c r="A117" s="433">
        <v>107</v>
      </c>
      <c r="B117" s="198" t="s">
        <v>131</v>
      </c>
      <c r="C117" s="22">
        <v>40459</v>
      </c>
      <c r="D117" s="85" t="s">
        <v>30</v>
      </c>
      <c r="E117" s="23">
        <v>142</v>
      </c>
      <c r="F117" s="23">
        <v>1</v>
      </c>
      <c r="G117" s="23">
        <v>27</v>
      </c>
      <c r="H117" s="477">
        <v>4276.5</v>
      </c>
      <c r="I117" s="478">
        <v>1069</v>
      </c>
      <c r="J117" s="72">
        <f>I117/F117</f>
        <v>1069</v>
      </c>
      <c r="K117" s="73">
        <f t="shared" si="8"/>
        <v>4.000467726847521</v>
      </c>
      <c r="L117" s="8">
        <f>569713+434829.5+295345.5+223420+26108+12415.5+5998+1904+1368+799+648+306+1782+594+1782+1425.5+3089+151+1188+1188+2376+1188+1425.5+1188+3207.5+77+4276.5</f>
        <v>1597792.5</v>
      </c>
      <c r="M117" s="7">
        <f>61050+47827+36467+29781+4601+2405+1000+284+287+123+103+51+445+113+446+267+708+24+297+287+594+297+356+297+801+13+1069</f>
        <v>189993</v>
      </c>
      <c r="N117" s="76">
        <f>+L117/M117</f>
        <v>8.409744043201592</v>
      </c>
      <c r="O117" s="433">
        <v>107</v>
      </c>
    </row>
    <row r="118" spans="1:15" s="68" customFormat="1" ht="12" customHeight="1">
      <c r="A118" s="433">
        <v>108</v>
      </c>
      <c r="B118" s="173" t="s">
        <v>158</v>
      </c>
      <c r="C118" s="2">
        <v>40501</v>
      </c>
      <c r="D118" s="10" t="s">
        <v>134</v>
      </c>
      <c r="E118" s="4">
        <v>121</v>
      </c>
      <c r="F118" s="4">
        <v>4</v>
      </c>
      <c r="G118" s="4">
        <v>10</v>
      </c>
      <c r="H118" s="494">
        <v>4266.5</v>
      </c>
      <c r="I118" s="493">
        <v>780</v>
      </c>
      <c r="J118" s="81">
        <f>(I118/F118)</f>
        <v>195</v>
      </c>
      <c r="K118" s="134">
        <f t="shared" si="8"/>
        <v>5.4698717948717945</v>
      </c>
      <c r="L118" s="170">
        <v>1596605</v>
      </c>
      <c r="M118" s="171">
        <v>161481</v>
      </c>
      <c r="N118" s="135">
        <f>L118/M118</f>
        <v>9.887262278534317</v>
      </c>
      <c r="O118" s="433">
        <v>108</v>
      </c>
    </row>
    <row r="119" spans="1:15" s="68" customFormat="1" ht="12" customHeight="1">
      <c r="A119" s="433">
        <v>109</v>
      </c>
      <c r="B119" s="208" t="s">
        <v>296</v>
      </c>
      <c r="C119" s="84">
        <v>40515</v>
      </c>
      <c r="D119" s="85" t="s">
        <v>30</v>
      </c>
      <c r="E119" s="86">
        <v>62</v>
      </c>
      <c r="F119" s="86">
        <v>2</v>
      </c>
      <c r="G119" s="86">
        <v>25</v>
      </c>
      <c r="H119" s="506">
        <v>4230</v>
      </c>
      <c r="I119" s="507">
        <v>1058</v>
      </c>
      <c r="J119" s="72">
        <f>I119/F119</f>
        <v>529</v>
      </c>
      <c r="K119" s="73">
        <f t="shared" si="8"/>
        <v>3.9981096408317582</v>
      </c>
      <c r="L119" s="82">
        <f>353151+191248+132731.5+71376+47862+26248.5+19265+34650.5+35095.5+42312+25849+10987+7528+3248+2395.5+3280.5+3141.5+4280+3042+1597+6128+4358+2107+777+4230</f>
        <v>1036888.5</v>
      </c>
      <c r="M119" s="81">
        <f>34650+19352+14525+10591+7581+5012+3223+6065+6865+6589+3930+1782+1091+624+468+512+688+987+804+306+1395+991+478+166+1058</f>
        <v>129733</v>
      </c>
      <c r="N119" s="76">
        <f>L119/M119</f>
        <v>7.992480710382092</v>
      </c>
      <c r="O119" s="433">
        <v>109</v>
      </c>
    </row>
    <row r="120" spans="1:15" s="68" customFormat="1" ht="12" customHeight="1">
      <c r="A120" s="433">
        <v>110</v>
      </c>
      <c r="B120" s="173" t="s">
        <v>294</v>
      </c>
      <c r="C120" s="2">
        <v>40459</v>
      </c>
      <c r="D120" s="15" t="s">
        <v>8</v>
      </c>
      <c r="E120" s="4">
        <v>50</v>
      </c>
      <c r="F120" s="4">
        <v>5</v>
      </c>
      <c r="G120" s="4">
        <v>13</v>
      </c>
      <c r="H120" s="502">
        <v>4218</v>
      </c>
      <c r="I120" s="499">
        <v>597</v>
      </c>
      <c r="J120" s="72">
        <f>+I120/F120</f>
        <v>119.4</v>
      </c>
      <c r="K120" s="161">
        <f>+H120/I120</f>
        <v>7.065326633165829</v>
      </c>
      <c r="L120" s="13">
        <v>377106</v>
      </c>
      <c r="M120" s="6">
        <v>34343</v>
      </c>
      <c r="N120" s="160">
        <f>+L120/M120</f>
        <v>10.980578283784178</v>
      </c>
      <c r="O120" s="433">
        <v>110</v>
      </c>
    </row>
    <row r="121" spans="1:15" s="68" customFormat="1" ht="12" customHeight="1">
      <c r="A121" s="433">
        <v>111</v>
      </c>
      <c r="B121" s="136" t="s">
        <v>330</v>
      </c>
      <c r="C121" s="22">
        <v>40480</v>
      </c>
      <c r="D121" s="137" t="s">
        <v>30</v>
      </c>
      <c r="E121" s="23">
        <v>100</v>
      </c>
      <c r="F121" s="23">
        <v>11</v>
      </c>
      <c r="G121" s="23">
        <v>10</v>
      </c>
      <c r="H121" s="479">
        <v>4160</v>
      </c>
      <c r="I121" s="478">
        <v>850</v>
      </c>
      <c r="J121" s="81">
        <f>(I121/F121)</f>
        <v>77.27272727272727</v>
      </c>
      <c r="K121" s="138">
        <f>H121/I121</f>
        <v>4.894117647058824</v>
      </c>
      <c r="L121" s="16">
        <f>1221166+429124.5+378100+240009.5+108018.5+26890.5+15319+16968+7345.5+4160</f>
        <v>2447101.5</v>
      </c>
      <c r="M121" s="7">
        <f>114702+40612+35598+23284+12543+4168+3055+2661+1161+850</f>
        <v>238634</v>
      </c>
      <c r="N121" s="135">
        <f>L121/M121</f>
        <v>10.254622141019302</v>
      </c>
      <c r="O121" s="433">
        <v>111</v>
      </c>
    </row>
    <row r="122" spans="1:15" s="68" customFormat="1" ht="12" customHeight="1">
      <c r="A122" s="433">
        <v>112</v>
      </c>
      <c r="B122" s="154" t="s">
        <v>141</v>
      </c>
      <c r="C122" s="2">
        <v>40452</v>
      </c>
      <c r="D122" s="12" t="s">
        <v>21</v>
      </c>
      <c r="E122" s="3">
        <v>148</v>
      </c>
      <c r="F122" s="3">
        <v>3</v>
      </c>
      <c r="G122" s="3">
        <v>14</v>
      </c>
      <c r="H122" s="489">
        <v>4104.5</v>
      </c>
      <c r="I122" s="488">
        <v>531</v>
      </c>
      <c r="J122" s="72">
        <f>IF(H122&lt;&gt;0,I122/F122,"")</f>
        <v>177</v>
      </c>
      <c r="K122" s="161">
        <f>IF(H122&lt;&gt;0,H122/I122,"")</f>
        <v>7.7297551789077215</v>
      </c>
      <c r="L122" s="24">
        <f>699440.5+93480+55329+21058.5+2054+5186.5+3036+2522+4090+1329+2064+2423+H122</f>
        <v>896117</v>
      </c>
      <c r="M122" s="28">
        <f>74937+13125+8283+3296+346+1058+497+365+749+203+322+349+531</f>
        <v>104061</v>
      </c>
      <c r="N122" s="160">
        <f>IF(L122&lt;&gt;0,L122/M122,"")</f>
        <v>8.611458663668426</v>
      </c>
      <c r="O122" s="433">
        <v>112</v>
      </c>
    </row>
    <row r="123" spans="1:15" s="68" customFormat="1" ht="12" customHeight="1">
      <c r="A123" s="433">
        <v>113</v>
      </c>
      <c r="B123" s="133" t="s">
        <v>311</v>
      </c>
      <c r="C123" s="22">
        <v>40536</v>
      </c>
      <c r="D123" s="189" t="s">
        <v>23</v>
      </c>
      <c r="E123" s="23">
        <v>112</v>
      </c>
      <c r="F123" s="23">
        <v>11</v>
      </c>
      <c r="G123" s="23">
        <v>11</v>
      </c>
      <c r="H123" s="475">
        <v>4094</v>
      </c>
      <c r="I123" s="476">
        <v>695</v>
      </c>
      <c r="J123" s="28">
        <f>I123/F123</f>
        <v>63.18181818181818</v>
      </c>
      <c r="K123" s="180">
        <f>+H123/I123</f>
        <v>5.890647482014389</v>
      </c>
      <c r="L123" s="26">
        <v>2736849</v>
      </c>
      <c r="M123" s="28">
        <v>242021</v>
      </c>
      <c r="N123" s="181">
        <f>+L123/M123</f>
        <v>11.30831208862041</v>
      </c>
      <c r="O123" s="433">
        <v>113</v>
      </c>
    </row>
    <row r="124" spans="1:15" s="68" customFormat="1" ht="12" customHeight="1">
      <c r="A124" s="433">
        <v>114</v>
      </c>
      <c r="B124" s="157" t="s">
        <v>323</v>
      </c>
      <c r="C124" s="2">
        <v>40522</v>
      </c>
      <c r="D124" s="10" t="s">
        <v>8</v>
      </c>
      <c r="E124" s="4">
        <v>110</v>
      </c>
      <c r="F124" s="4">
        <v>6</v>
      </c>
      <c r="G124" s="4">
        <v>9</v>
      </c>
      <c r="H124" s="498">
        <v>4075</v>
      </c>
      <c r="I124" s="499">
        <v>848</v>
      </c>
      <c r="J124" s="72">
        <f>+I124/F124</f>
        <v>141.33333333333334</v>
      </c>
      <c r="K124" s="159">
        <f>+H124/I124</f>
        <v>4.805424528301887</v>
      </c>
      <c r="L124" s="5">
        <v>5003375</v>
      </c>
      <c r="M124" s="6">
        <v>474640</v>
      </c>
      <c r="N124" s="160">
        <f>+L124/M124</f>
        <v>10.541410332041126</v>
      </c>
      <c r="O124" s="433">
        <v>114</v>
      </c>
    </row>
    <row r="125" spans="1:15" s="68" customFormat="1" ht="12" customHeight="1">
      <c r="A125" s="433">
        <v>115</v>
      </c>
      <c r="B125" s="198" t="s">
        <v>299</v>
      </c>
      <c r="C125" s="360">
        <v>40347</v>
      </c>
      <c r="D125" s="345" t="s">
        <v>30</v>
      </c>
      <c r="E125" s="21">
        <v>66</v>
      </c>
      <c r="F125" s="3">
        <v>1</v>
      </c>
      <c r="G125" s="21">
        <v>33</v>
      </c>
      <c r="H125" s="479">
        <v>4039</v>
      </c>
      <c r="I125" s="480">
        <v>1009</v>
      </c>
      <c r="J125" s="72">
        <f>+I125/F125</f>
        <v>1009</v>
      </c>
      <c r="K125" s="161">
        <f>+H125/I125</f>
        <v>4.002973240832508</v>
      </c>
      <c r="L125" s="16">
        <f>478213+7083+3309.5+6055+4900+8378+4378.5+2349+3103+2074+7679.5+6108+2991.5+2180+2234+642+2775.5+1757+1151+3382+60+1782+2851+1188+713+286</f>
        <v>557623.5</v>
      </c>
      <c r="M125" s="17">
        <f>55327+1259+553+1133+756+1285+650+408+682+334+1688+1394+539+483+475+201+677+260+202+852+20+445+712+297+178+67</f>
        <v>70877</v>
      </c>
      <c r="N125" s="216">
        <f>+L125/M125</f>
        <v>7.8674816936382745</v>
      </c>
      <c r="O125" s="433">
        <v>115</v>
      </c>
    </row>
    <row r="126" spans="1:15" s="68" customFormat="1" ht="12" customHeight="1">
      <c r="A126" s="433">
        <v>116</v>
      </c>
      <c r="B126" s="150" t="s">
        <v>143</v>
      </c>
      <c r="C126" s="22">
        <v>40529</v>
      </c>
      <c r="D126" s="137" t="s">
        <v>30</v>
      </c>
      <c r="E126" s="139">
        <v>147</v>
      </c>
      <c r="F126" s="139">
        <v>5</v>
      </c>
      <c r="G126" s="139">
        <v>11</v>
      </c>
      <c r="H126" s="479">
        <v>4027</v>
      </c>
      <c r="I126" s="480">
        <v>784</v>
      </c>
      <c r="J126" s="140">
        <f>(I126/F126)</f>
        <v>156.8</v>
      </c>
      <c r="K126" s="138">
        <f>H126/I126</f>
        <v>5.136479591836735</v>
      </c>
      <c r="L126" s="16">
        <f>691567.5+648414.5+518408+71321.5+45526+17480+7409+4406.5+1874+5613.5+4027</f>
        <v>2016047.5</v>
      </c>
      <c r="M126" s="17">
        <f>79327+75064+61133+10266+7792+4345+1731+935+303+1204+784</f>
        <v>242884</v>
      </c>
      <c r="N126" s="135">
        <f>L126/M126</f>
        <v>8.300454126249567</v>
      </c>
      <c r="O126" s="433">
        <v>116</v>
      </c>
    </row>
    <row r="127" spans="1:15" s="68" customFormat="1" ht="12" customHeight="1">
      <c r="A127" s="433">
        <v>117</v>
      </c>
      <c r="B127" s="152" t="s">
        <v>159</v>
      </c>
      <c r="C127" s="2">
        <v>40529</v>
      </c>
      <c r="D127" s="12" t="s">
        <v>21</v>
      </c>
      <c r="E127" s="3">
        <v>134</v>
      </c>
      <c r="F127" s="3">
        <v>12</v>
      </c>
      <c r="G127" s="3">
        <v>4</v>
      </c>
      <c r="H127" s="487">
        <v>3929</v>
      </c>
      <c r="I127" s="488">
        <v>638</v>
      </c>
      <c r="J127" s="72">
        <f>IF(H127&lt;&gt;0,I127/F127,"")</f>
        <v>53.166666666666664</v>
      </c>
      <c r="K127" s="159">
        <f>IF(H127&lt;&gt;0,H127/I127,"")</f>
        <v>6.158307210031348</v>
      </c>
      <c r="L127" s="25">
        <f>415183+3929</f>
        <v>419112</v>
      </c>
      <c r="M127" s="28">
        <f>52315+638</f>
        <v>52953</v>
      </c>
      <c r="N127" s="160">
        <f>IF(L127&lt;&gt;0,L127/M127,"")</f>
        <v>7.914792363038921</v>
      </c>
      <c r="O127" s="433">
        <v>117</v>
      </c>
    </row>
    <row r="128" spans="1:15" s="68" customFormat="1" ht="12" customHeight="1">
      <c r="A128" s="433">
        <v>118</v>
      </c>
      <c r="B128" s="133" t="s">
        <v>330</v>
      </c>
      <c r="C128" s="22">
        <v>40480</v>
      </c>
      <c r="D128" s="137" t="s">
        <v>30</v>
      </c>
      <c r="E128" s="23">
        <v>100</v>
      </c>
      <c r="F128" s="23">
        <v>2</v>
      </c>
      <c r="G128" s="23">
        <v>13</v>
      </c>
      <c r="H128" s="477">
        <v>3920.5</v>
      </c>
      <c r="I128" s="478">
        <v>982</v>
      </c>
      <c r="J128" s="81">
        <f>(I128/F128)</f>
        <v>491</v>
      </c>
      <c r="K128" s="138">
        <f>H128/I128</f>
        <v>3.9923625254582484</v>
      </c>
      <c r="L128" s="8">
        <f>1221166+429124.5+378100+240009.5+108018.5+26890.5+15319+16968+7345.5+4160+1262+1510+3920.5</f>
        <v>2453794</v>
      </c>
      <c r="M128" s="7">
        <f>114702+40612+35598+23284+12543+4168+3055+2661+1161+850+210+377+982</f>
        <v>240203</v>
      </c>
      <c r="N128" s="135">
        <f>L128/M128</f>
        <v>10.215501055357343</v>
      </c>
      <c r="O128" s="433">
        <v>118</v>
      </c>
    </row>
    <row r="129" spans="1:15" s="68" customFormat="1" ht="12" customHeight="1">
      <c r="A129" s="433">
        <v>119</v>
      </c>
      <c r="B129" s="136" t="s">
        <v>316</v>
      </c>
      <c r="C129" s="22">
        <v>40529</v>
      </c>
      <c r="D129" s="137" t="s">
        <v>30</v>
      </c>
      <c r="E129" s="23">
        <v>27</v>
      </c>
      <c r="F129" s="23">
        <v>2</v>
      </c>
      <c r="G129" s="23">
        <v>5</v>
      </c>
      <c r="H129" s="477">
        <v>3859</v>
      </c>
      <c r="I129" s="478">
        <v>711</v>
      </c>
      <c r="J129" s="81">
        <f>(I129/F129)</f>
        <v>355.5</v>
      </c>
      <c r="K129" s="134">
        <f>H129/I129</f>
        <v>5.427566807313643</v>
      </c>
      <c r="L129" s="8">
        <f>68045+25663+7073.5+5233+3859</f>
        <v>109873.5</v>
      </c>
      <c r="M129" s="7">
        <f>5442+2277+920+1185+711</f>
        <v>10535</v>
      </c>
      <c r="N129" s="135">
        <f>L129/M129</f>
        <v>10.42937826293308</v>
      </c>
      <c r="O129" s="433">
        <v>119</v>
      </c>
    </row>
    <row r="130" spans="1:15" s="68" customFormat="1" ht="12" customHeight="1">
      <c r="A130" s="433">
        <v>120</v>
      </c>
      <c r="B130" s="190" t="s">
        <v>311</v>
      </c>
      <c r="C130" s="191">
        <v>40536</v>
      </c>
      <c r="D130" s="192" t="s">
        <v>23</v>
      </c>
      <c r="E130" s="193">
        <v>112</v>
      </c>
      <c r="F130" s="193">
        <v>7</v>
      </c>
      <c r="G130" s="193">
        <v>12</v>
      </c>
      <c r="H130" s="471">
        <v>3805</v>
      </c>
      <c r="I130" s="472">
        <v>818</v>
      </c>
      <c r="J130" s="194">
        <f>I130/F130</f>
        <v>116.85714285714286</v>
      </c>
      <c r="K130" s="195">
        <f>+H130/I130</f>
        <v>4.65158924205379</v>
      </c>
      <c r="L130" s="196">
        <v>2740654</v>
      </c>
      <c r="M130" s="194">
        <v>242839</v>
      </c>
      <c r="N130" s="197">
        <f>+L130/M130</f>
        <v>11.28588900464917</v>
      </c>
      <c r="O130" s="433">
        <v>120</v>
      </c>
    </row>
    <row r="131" spans="1:15" s="68" customFormat="1" ht="12" customHeight="1">
      <c r="A131" s="433">
        <v>121</v>
      </c>
      <c r="B131" s="157" t="s">
        <v>323</v>
      </c>
      <c r="C131" s="2">
        <v>40522</v>
      </c>
      <c r="D131" s="10" t="s">
        <v>8</v>
      </c>
      <c r="E131" s="4">
        <v>110</v>
      </c>
      <c r="F131" s="4">
        <v>9</v>
      </c>
      <c r="G131" s="4">
        <v>11</v>
      </c>
      <c r="H131" s="498">
        <v>3734</v>
      </c>
      <c r="I131" s="499">
        <v>594</v>
      </c>
      <c r="J131" s="72">
        <f>+I131/F131</f>
        <v>66</v>
      </c>
      <c r="K131" s="159">
        <f>+H131/I131</f>
        <v>6.286195286195286</v>
      </c>
      <c r="L131" s="5">
        <v>5011853</v>
      </c>
      <c r="M131" s="6">
        <v>476701</v>
      </c>
      <c r="N131" s="160">
        <f>+L131/M131</f>
        <v>10.513619648374977</v>
      </c>
      <c r="O131" s="433">
        <v>121</v>
      </c>
    </row>
    <row r="132" spans="1:15" s="68" customFormat="1" ht="12" customHeight="1">
      <c r="A132" s="433">
        <v>122</v>
      </c>
      <c r="B132" s="157" t="s">
        <v>426</v>
      </c>
      <c r="C132" s="371">
        <v>40466</v>
      </c>
      <c r="D132" s="345" t="s">
        <v>28</v>
      </c>
      <c r="E132" s="14">
        <v>22</v>
      </c>
      <c r="F132" s="354">
        <v>1</v>
      </c>
      <c r="G132" s="354">
        <v>16</v>
      </c>
      <c r="H132" s="467">
        <v>3603</v>
      </c>
      <c r="I132" s="468">
        <v>720</v>
      </c>
      <c r="J132" s="186">
        <f>I132/F132</f>
        <v>720</v>
      </c>
      <c r="K132" s="161">
        <f aca="true" t="shared" si="9" ref="K132:K140">H132/I132</f>
        <v>5.004166666666666</v>
      </c>
      <c r="L132" s="18">
        <f>75899.5+52129.5+37227.5+14454+10905+6815+10220.5+4115+4193+1577.5+113+940+2002+820.5+11882+1358+3603</f>
        <v>238255</v>
      </c>
      <c r="M132" s="19">
        <f>7028+5164+3832+1471+1190+1095+1727+519+460+216+17+109+232+274+1318+127+720</f>
        <v>25499</v>
      </c>
      <c r="N132" s="216">
        <f>+L132/M132</f>
        <v>9.343699752931487</v>
      </c>
      <c r="O132" s="433">
        <v>122</v>
      </c>
    </row>
    <row r="133" spans="1:15" s="68" customFormat="1" ht="12" customHeight="1">
      <c r="A133" s="433">
        <v>123</v>
      </c>
      <c r="B133" s="208" t="s">
        <v>230</v>
      </c>
      <c r="C133" s="84">
        <v>40564</v>
      </c>
      <c r="D133" s="85" t="s">
        <v>28</v>
      </c>
      <c r="E133" s="366">
        <v>135</v>
      </c>
      <c r="F133" s="367">
        <v>1</v>
      </c>
      <c r="G133" s="86">
        <v>81</v>
      </c>
      <c r="H133" s="474">
        <v>3597</v>
      </c>
      <c r="I133" s="472">
        <v>600</v>
      </c>
      <c r="J133" s="72">
        <f>I133/F133</f>
        <v>600</v>
      </c>
      <c r="K133" s="73">
        <f t="shared" si="9"/>
        <v>5.995</v>
      </c>
      <c r="L133" s="358">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f>
        <v>25463034.5</v>
      </c>
      <c r="M133" s="16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f>
        <v>3838485</v>
      </c>
      <c r="N133" s="74">
        <f>+L133/M133</f>
        <v>6.633615736416841</v>
      </c>
      <c r="O133" s="433">
        <v>123</v>
      </c>
    </row>
    <row r="134" spans="1:15" s="68" customFormat="1" ht="12" customHeight="1">
      <c r="A134" s="433">
        <v>124</v>
      </c>
      <c r="B134" s="152" t="s">
        <v>321</v>
      </c>
      <c r="C134" s="2">
        <v>40473</v>
      </c>
      <c r="D134" s="9" t="s">
        <v>10</v>
      </c>
      <c r="E134" s="3">
        <v>74</v>
      </c>
      <c r="F134" s="3">
        <v>1</v>
      </c>
      <c r="G134" s="3">
        <v>9</v>
      </c>
      <c r="H134" s="485">
        <v>3572</v>
      </c>
      <c r="I134" s="486">
        <v>893</v>
      </c>
      <c r="J134" s="80">
        <f>I134/F134</f>
        <v>893</v>
      </c>
      <c r="K134" s="141">
        <f t="shared" si="9"/>
        <v>4</v>
      </c>
      <c r="L134" s="30">
        <v>981252</v>
      </c>
      <c r="M134" s="29">
        <v>84379</v>
      </c>
      <c r="N134" s="153">
        <f>+L134/M134</f>
        <v>11.62910202775572</v>
      </c>
      <c r="O134" s="433">
        <v>124</v>
      </c>
    </row>
    <row r="135" spans="1:15" s="68" customFormat="1" ht="12" customHeight="1">
      <c r="A135" s="433">
        <v>125</v>
      </c>
      <c r="B135" s="136" t="s">
        <v>328</v>
      </c>
      <c r="C135" s="22">
        <v>40494</v>
      </c>
      <c r="D135" s="137" t="s">
        <v>30</v>
      </c>
      <c r="E135" s="23">
        <v>80</v>
      </c>
      <c r="F135" s="23">
        <v>1</v>
      </c>
      <c r="G135" s="23">
        <v>11</v>
      </c>
      <c r="H135" s="477">
        <v>3564</v>
      </c>
      <c r="I135" s="478">
        <v>891</v>
      </c>
      <c r="J135" s="81">
        <f>(I135/F135)</f>
        <v>891</v>
      </c>
      <c r="K135" s="134">
        <f t="shared" si="9"/>
        <v>4</v>
      </c>
      <c r="L135" s="8">
        <f>400584.5+260220.5+91588.5+26738.5+6598.5+10112.5+8832+11751.5+1782+1570.5+3564</f>
        <v>823343</v>
      </c>
      <c r="M135" s="7">
        <f>34427+24318+9929+5066+1310+1866+1322+2055+445+470+891</f>
        <v>82099</v>
      </c>
      <c r="N135" s="135">
        <f>L135/M135</f>
        <v>10.02866051961656</v>
      </c>
      <c r="O135" s="433">
        <v>125</v>
      </c>
    </row>
    <row r="136" spans="1:15" s="68" customFormat="1" ht="12" customHeight="1">
      <c r="A136" s="433">
        <v>126</v>
      </c>
      <c r="B136" s="152" t="s">
        <v>139</v>
      </c>
      <c r="C136" s="2">
        <v>40515</v>
      </c>
      <c r="D136" s="9" t="s">
        <v>10</v>
      </c>
      <c r="E136" s="3">
        <v>337</v>
      </c>
      <c r="F136" s="3">
        <v>6</v>
      </c>
      <c r="G136" s="3">
        <v>9</v>
      </c>
      <c r="H136" s="485">
        <v>3519</v>
      </c>
      <c r="I136" s="486">
        <v>429</v>
      </c>
      <c r="J136" s="80">
        <f>I136/F136</f>
        <v>71.5</v>
      </c>
      <c r="K136" s="141">
        <f t="shared" si="9"/>
        <v>8.202797202797203</v>
      </c>
      <c r="L136" s="30">
        <v>19627190</v>
      </c>
      <c r="M136" s="29">
        <v>2093828</v>
      </c>
      <c r="N136" s="153">
        <f>+L136/M136</f>
        <v>9.373831088322442</v>
      </c>
      <c r="O136" s="433">
        <v>126</v>
      </c>
    </row>
    <row r="137" spans="1:15" s="68" customFormat="1" ht="12" customHeight="1">
      <c r="A137" s="433">
        <v>127</v>
      </c>
      <c r="B137" s="157" t="s">
        <v>324</v>
      </c>
      <c r="C137" s="2">
        <v>40536</v>
      </c>
      <c r="D137" s="10" t="s">
        <v>10</v>
      </c>
      <c r="E137" s="4">
        <v>48</v>
      </c>
      <c r="F137" s="4">
        <v>4</v>
      </c>
      <c r="G137" s="4">
        <v>9</v>
      </c>
      <c r="H137" s="485">
        <v>3417</v>
      </c>
      <c r="I137" s="486">
        <v>493</v>
      </c>
      <c r="J137" s="80">
        <f>I137/F137</f>
        <v>123.25</v>
      </c>
      <c r="K137" s="141">
        <f t="shared" si="9"/>
        <v>6.931034482758621</v>
      </c>
      <c r="L137" s="30">
        <v>702704</v>
      </c>
      <c r="M137" s="29">
        <v>62786</v>
      </c>
      <c r="N137" s="153">
        <f>+L137/M137</f>
        <v>11.192049182938872</v>
      </c>
      <c r="O137" s="433">
        <v>127</v>
      </c>
    </row>
    <row r="138" spans="1:15" s="68" customFormat="1" ht="12" customHeight="1">
      <c r="A138" s="433">
        <v>128</v>
      </c>
      <c r="B138" s="157" t="s">
        <v>287</v>
      </c>
      <c r="C138" s="2">
        <v>40529</v>
      </c>
      <c r="D138" s="10" t="s">
        <v>10</v>
      </c>
      <c r="E138" s="4">
        <v>72</v>
      </c>
      <c r="F138" s="4">
        <v>3</v>
      </c>
      <c r="G138" s="4">
        <v>5</v>
      </c>
      <c r="H138" s="485">
        <v>3407</v>
      </c>
      <c r="I138" s="486">
        <v>461</v>
      </c>
      <c r="J138" s="80">
        <f>I138/F138</f>
        <v>153.66666666666666</v>
      </c>
      <c r="K138" s="141">
        <f t="shared" si="9"/>
        <v>7.390455531453362</v>
      </c>
      <c r="L138" s="30">
        <v>915738</v>
      </c>
      <c r="M138" s="29">
        <v>84149</v>
      </c>
      <c r="N138" s="153">
        <f>+L138/M138</f>
        <v>10.88233965941366</v>
      </c>
      <c r="O138" s="433">
        <v>128</v>
      </c>
    </row>
    <row r="139" spans="1:15" s="68" customFormat="1" ht="12" customHeight="1">
      <c r="A139" s="433">
        <v>129</v>
      </c>
      <c r="B139" s="136" t="s">
        <v>253</v>
      </c>
      <c r="C139" s="22">
        <v>40529</v>
      </c>
      <c r="D139" s="20" t="s">
        <v>254</v>
      </c>
      <c r="E139" s="23">
        <v>5</v>
      </c>
      <c r="F139" s="23">
        <v>3</v>
      </c>
      <c r="G139" s="23">
        <v>5</v>
      </c>
      <c r="H139" s="475">
        <v>3391</v>
      </c>
      <c r="I139" s="476">
        <v>400</v>
      </c>
      <c r="J139" s="28">
        <f>I139/F139</f>
        <v>133.33333333333334</v>
      </c>
      <c r="K139" s="180">
        <f t="shared" si="9"/>
        <v>8.4775</v>
      </c>
      <c r="L139" s="26">
        <v>22948</v>
      </c>
      <c r="M139" s="28">
        <v>2195</v>
      </c>
      <c r="N139" s="181">
        <f>L139/M139</f>
        <v>10.454669703872437</v>
      </c>
      <c r="O139" s="433">
        <v>129</v>
      </c>
    </row>
    <row r="140" spans="1:15" s="68" customFormat="1" ht="12" customHeight="1">
      <c r="A140" s="433">
        <v>130</v>
      </c>
      <c r="B140" s="299" t="s">
        <v>299</v>
      </c>
      <c r="C140" s="294">
        <v>40347</v>
      </c>
      <c r="D140" s="137" t="s">
        <v>30</v>
      </c>
      <c r="E140" s="300">
        <v>66</v>
      </c>
      <c r="F140" s="300">
        <v>3</v>
      </c>
      <c r="G140" s="300">
        <v>27</v>
      </c>
      <c r="H140" s="477">
        <v>3382</v>
      </c>
      <c r="I140" s="478">
        <v>852</v>
      </c>
      <c r="J140" s="81">
        <f>(I140/F140)</f>
        <v>284</v>
      </c>
      <c r="K140" s="134">
        <f t="shared" si="9"/>
        <v>3.9694835680751175</v>
      </c>
      <c r="L140" s="8">
        <f>478213+7083+3309.5+6055+4900+8378+4378.5+2349+3103+2074+7679.5+6108+2991.5+2180+2234+642+2775.5+1757+1151+3382</f>
        <v>550743.5</v>
      </c>
      <c r="M140" s="7">
        <f>55327+1259+553+1133+756+1285+650+408+682+334+1688+1394+539+483+475+201+677+260+202+852</f>
        <v>69158</v>
      </c>
      <c r="N140" s="135">
        <f>L140/M140</f>
        <v>7.963554469475693</v>
      </c>
      <c r="O140" s="433">
        <v>130</v>
      </c>
    </row>
    <row r="141" spans="1:15" s="68" customFormat="1" ht="12" customHeight="1">
      <c r="A141" s="433">
        <v>131</v>
      </c>
      <c r="B141" s="136" t="s">
        <v>331</v>
      </c>
      <c r="C141" s="22">
        <v>40508</v>
      </c>
      <c r="D141" s="183" t="s">
        <v>23</v>
      </c>
      <c r="E141" s="23">
        <v>11</v>
      </c>
      <c r="F141" s="23">
        <v>3</v>
      </c>
      <c r="G141" s="23">
        <v>6</v>
      </c>
      <c r="H141" s="467">
        <v>3343</v>
      </c>
      <c r="I141" s="476">
        <v>754</v>
      </c>
      <c r="J141" s="28">
        <f>I141/F141</f>
        <v>251.33333333333334</v>
      </c>
      <c r="K141" s="188">
        <f>+H141/I141</f>
        <v>4.43368700265252</v>
      </c>
      <c r="L141" s="18">
        <v>107677</v>
      </c>
      <c r="M141" s="28">
        <v>8838</v>
      </c>
      <c r="N141" s="181">
        <f>+L141/M141</f>
        <v>12.183412536773025</v>
      </c>
      <c r="O141" s="433">
        <v>131</v>
      </c>
    </row>
    <row r="142" spans="1:15" s="68" customFormat="1" ht="12" customHeight="1">
      <c r="A142" s="433">
        <v>132</v>
      </c>
      <c r="B142" s="332" t="s">
        <v>135</v>
      </c>
      <c r="C142" s="143">
        <v>40522</v>
      </c>
      <c r="D142" s="137" t="s">
        <v>30</v>
      </c>
      <c r="E142" s="144">
        <v>127</v>
      </c>
      <c r="F142" s="144">
        <v>5</v>
      </c>
      <c r="G142" s="144">
        <v>10</v>
      </c>
      <c r="H142" s="481">
        <v>3338.5</v>
      </c>
      <c r="I142" s="482">
        <v>630</v>
      </c>
      <c r="J142" s="145">
        <f>(I142/F142)</f>
        <v>126</v>
      </c>
      <c r="K142" s="146">
        <f>H142/I142</f>
        <v>5.299206349206349</v>
      </c>
      <c r="L142" s="147">
        <f>1048675+809166.5+457718.5+70165.5+7102+12164+8619.5+11777.5+6559.5+3338.5</f>
        <v>2435286.5</v>
      </c>
      <c r="M142" s="148">
        <f>92481+73795+43350+8841+1153+2869+1615+2831+1620+630</f>
        <v>229185</v>
      </c>
      <c r="N142" s="149">
        <f>L142/M142</f>
        <v>10.625854658900016</v>
      </c>
      <c r="O142" s="433">
        <v>132</v>
      </c>
    </row>
    <row r="143" spans="1:15" s="68" customFormat="1" ht="12" customHeight="1">
      <c r="A143" s="433">
        <v>133</v>
      </c>
      <c r="B143" s="157" t="s">
        <v>323</v>
      </c>
      <c r="C143" s="2">
        <v>40522</v>
      </c>
      <c r="D143" s="11" t="s">
        <v>8</v>
      </c>
      <c r="E143" s="4">
        <v>110</v>
      </c>
      <c r="F143" s="4">
        <v>7</v>
      </c>
      <c r="G143" s="4">
        <v>8</v>
      </c>
      <c r="H143" s="498">
        <v>3338</v>
      </c>
      <c r="I143" s="499">
        <v>492</v>
      </c>
      <c r="J143" s="72">
        <f>+I143/F143</f>
        <v>70.28571428571429</v>
      </c>
      <c r="K143" s="159">
        <f>+H143/I143</f>
        <v>6.784552845528455</v>
      </c>
      <c r="L143" s="5">
        <v>4999300</v>
      </c>
      <c r="M143" s="6">
        <v>473792</v>
      </c>
      <c r="N143" s="153">
        <f>+L143/M143</f>
        <v>10.551676685127651</v>
      </c>
      <c r="O143" s="433">
        <v>133</v>
      </c>
    </row>
    <row r="144" spans="1:15" s="68" customFormat="1" ht="12" customHeight="1">
      <c r="A144" s="433">
        <v>134</v>
      </c>
      <c r="B144" s="150" t="s">
        <v>135</v>
      </c>
      <c r="C144" s="22">
        <v>40522</v>
      </c>
      <c r="D144" s="137" t="s">
        <v>30</v>
      </c>
      <c r="E144" s="139">
        <v>127</v>
      </c>
      <c r="F144" s="139">
        <v>6</v>
      </c>
      <c r="G144" s="139">
        <v>12</v>
      </c>
      <c r="H144" s="479">
        <v>3303</v>
      </c>
      <c r="I144" s="480">
        <v>726</v>
      </c>
      <c r="J144" s="140">
        <f>(I144/F144)</f>
        <v>121</v>
      </c>
      <c r="K144" s="138">
        <f>H144/I144</f>
        <v>4.549586776859504</v>
      </c>
      <c r="L144" s="16">
        <f>1048675+809166.5+457718.5+70165.5+7102+12164+8619.5+11777.5+6559.5+3338.5+10420.5+3303</f>
        <v>2449010</v>
      </c>
      <c r="M144" s="17">
        <f>92481+73795+43350+8841+1153+2869+1615+2831+1620+630+2477+726</f>
        <v>232388</v>
      </c>
      <c r="N144" s="135">
        <f>L144/M144</f>
        <v>10.538452932165171</v>
      </c>
      <c r="O144" s="433">
        <v>134</v>
      </c>
    </row>
    <row r="145" spans="1:15" s="68" customFormat="1" ht="12" customHeight="1">
      <c r="A145" s="433">
        <v>135</v>
      </c>
      <c r="B145" s="133" t="s">
        <v>296</v>
      </c>
      <c r="C145" s="22">
        <v>40515</v>
      </c>
      <c r="D145" s="20" t="s">
        <v>30</v>
      </c>
      <c r="E145" s="23">
        <v>62</v>
      </c>
      <c r="F145" s="23">
        <v>8</v>
      </c>
      <c r="G145" s="23">
        <v>16</v>
      </c>
      <c r="H145" s="477">
        <v>3280.5</v>
      </c>
      <c r="I145" s="478">
        <v>512</v>
      </c>
      <c r="J145" s="81">
        <f>(I145/F145)</f>
        <v>64</v>
      </c>
      <c r="K145" s="134">
        <f>H145/I145</f>
        <v>6.4072265625</v>
      </c>
      <c r="L145" s="8">
        <f>353151+191248+132731.5+71376+47862+26248.5+19265+34650.5+35095.5+42312+25849+10987+7528+3248+2395.5+3280.5</f>
        <v>1007228</v>
      </c>
      <c r="M145" s="7">
        <f>34650+19352+14525+10591+7581+5012+3223+6065+6865+6589+3930+1782+1091+624+468+512</f>
        <v>122860</v>
      </c>
      <c r="N145" s="135">
        <f>L145/M145</f>
        <v>8.198176786586359</v>
      </c>
      <c r="O145" s="433">
        <v>135</v>
      </c>
    </row>
    <row r="146" spans="1:15" s="68" customFormat="1" ht="12" customHeight="1">
      <c r="A146" s="433">
        <v>136</v>
      </c>
      <c r="B146" s="157" t="s">
        <v>150</v>
      </c>
      <c r="C146" s="2">
        <v>40480</v>
      </c>
      <c r="D146" s="10" t="s">
        <v>21</v>
      </c>
      <c r="E146" s="4">
        <v>71</v>
      </c>
      <c r="F146" s="4">
        <v>2</v>
      </c>
      <c r="G146" s="4">
        <v>11</v>
      </c>
      <c r="H146" s="487">
        <v>3270</v>
      </c>
      <c r="I146" s="488">
        <v>654</v>
      </c>
      <c r="J146" s="72">
        <f>IF(H146&lt;&gt;0,I146/F146,"")</f>
        <v>327</v>
      </c>
      <c r="K146" s="159">
        <f>IF(H146&lt;&gt;0,H146/I146,"")</f>
        <v>5</v>
      </c>
      <c r="L146" s="25">
        <f>72774.5+23673+5827+3625+7534.5+38620+936+11563+4979+496.5+3270</f>
        <v>173298.5</v>
      </c>
      <c r="M146" s="28">
        <f>8533+3652+916+601+1795+7393+145+2290+697+79+654</f>
        <v>26755</v>
      </c>
      <c r="N146" s="160">
        <f>IF(L146&lt;&gt;0,L146/M146,"")</f>
        <v>6.4772378994580455</v>
      </c>
      <c r="O146" s="433">
        <v>136</v>
      </c>
    </row>
    <row r="147" spans="1:15" s="68" customFormat="1" ht="12" customHeight="1">
      <c r="A147" s="433">
        <v>137</v>
      </c>
      <c r="B147" s="157" t="s">
        <v>318</v>
      </c>
      <c r="C147" s="2">
        <v>40480</v>
      </c>
      <c r="D147" s="11" t="s">
        <v>8</v>
      </c>
      <c r="E147" s="4">
        <v>21</v>
      </c>
      <c r="F147" s="4">
        <v>2</v>
      </c>
      <c r="G147" s="4">
        <v>18</v>
      </c>
      <c r="H147" s="498">
        <v>3250</v>
      </c>
      <c r="I147" s="499">
        <v>468</v>
      </c>
      <c r="J147" s="72">
        <f>+I147/F147</f>
        <v>234</v>
      </c>
      <c r="K147" s="159">
        <f>+H147/I147</f>
        <v>6.944444444444445</v>
      </c>
      <c r="L147" s="5">
        <v>309476</v>
      </c>
      <c r="M147" s="6">
        <v>28704</v>
      </c>
      <c r="N147" s="160">
        <f>+L147/M147</f>
        <v>10.781633221850614</v>
      </c>
      <c r="O147" s="433">
        <v>137</v>
      </c>
    </row>
    <row r="148" spans="1:15" s="68" customFormat="1" ht="12" customHeight="1">
      <c r="A148" s="433">
        <v>138</v>
      </c>
      <c r="B148" s="133" t="s">
        <v>296</v>
      </c>
      <c r="C148" s="22">
        <v>40515</v>
      </c>
      <c r="D148" s="20" t="s">
        <v>30</v>
      </c>
      <c r="E148" s="23">
        <v>62</v>
      </c>
      <c r="F148" s="23">
        <v>9</v>
      </c>
      <c r="G148" s="23">
        <v>14</v>
      </c>
      <c r="H148" s="477">
        <v>3248</v>
      </c>
      <c r="I148" s="478">
        <v>624</v>
      </c>
      <c r="J148" s="81">
        <f>(I148/F148)</f>
        <v>69.33333333333333</v>
      </c>
      <c r="K148" s="134">
        <f>H148/I148</f>
        <v>5.205128205128205</v>
      </c>
      <c r="L148" s="8">
        <f>353151+191248+132731.5+71376+47862+26248.5+19265+34650.5+35095.5+42312+25849+10987+7528+3248</f>
        <v>1001552</v>
      </c>
      <c r="M148" s="7">
        <f>34650+19352+14525+10591+7581+5012+3223+6065+6865+6589+3930+1782+1091+624</f>
        <v>121880</v>
      </c>
      <c r="N148" s="135">
        <f>L148/M148</f>
        <v>8.217525434853954</v>
      </c>
      <c r="O148" s="433">
        <v>138</v>
      </c>
    </row>
    <row r="149" spans="1:15" s="68" customFormat="1" ht="12" customHeight="1">
      <c r="A149" s="433">
        <v>139</v>
      </c>
      <c r="B149" s="157" t="s">
        <v>159</v>
      </c>
      <c r="C149" s="2">
        <v>40529</v>
      </c>
      <c r="D149" s="10" t="s">
        <v>21</v>
      </c>
      <c r="E149" s="4">
        <v>134</v>
      </c>
      <c r="F149" s="4">
        <v>8</v>
      </c>
      <c r="G149" s="4">
        <v>5</v>
      </c>
      <c r="H149" s="487">
        <v>3246</v>
      </c>
      <c r="I149" s="488">
        <v>476</v>
      </c>
      <c r="J149" s="72">
        <f>IF(H149&lt;&gt;0,I149/F149,"")</f>
        <v>59.5</v>
      </c>
      <c r="K149" s="159">
        <f>IF(H149&lt;&gt;0,H149/I149,"")</f>
        <v>6.819327731092437</v>
      </c>
      <c r="L149" s="25">
        <f>415183+3929+3246</f>
        <v>422358</v>
      </c>
      <c r="M149" s="28">
        <f>52315+638+476</f>
        <v>53429</v>
      </c>
      <c r="N149" s="160">
        <f>IF(L149&lt;&gt;0,L149/M149,"")</f>
        <v>7.9050328473301015</v>
      </c>
      <c r="O149" s="433">
        <v>139</v>
      </c>
    </row>
    <row r="150" spans="1:15" s="68" customFormat="1" ht="12" customHeight="1">
      <c r="A150" s="433">
        <v>140</v>
      </c>
      <c r="B150" s="335" t="s">
        <v>131</v>
      </c>
      <c r="C150" s="360">
        <v>40459</v>
      </c>
      <c r="D150" s="344" t="s">
        <v>30</v>
      </c>
      <c r="E150" s="23">
        <v>142</v>
      </c>
      <c r="F150" s="23">
        <v>2</v>
      </c>
      <c r="G150" s="23">
        <v>25</v>
      </c>
      <c r="H150" s="477">
        <v>3207.5</v>
      </c>
      <c r="I150" s="478">
        <v>801</v>
      </c>
      <c r="J150" s="72">
        <f>I150/F150</f>
        <v>400.5</v>
      </c>
      <c r="K150" s="73">
        <f>H150/I150</f>
        <v>4.004369538077404</v>
      </c>
      <c r="L150" s="8">
        <f>569713+434829.5+295345.5+223420+26108+12415.5+5998+1904+1368+799+648+306+1782+594+1782+1425.5+3089+151+1188+1188+2376+1188+1425.5+1188+3207.5</f>
        <v>1593439</v>
      </c>
      <c r="M150" s="7">
        <f>61050+47827+36467+29781+4601+2405+1000+284+287+123+103+51+445+113+446+267+708+24+297+287+594+297+356+297+801</f>
        <v>188911</v>
      </c>
      <c r="N150" s="74">
        <f>+L150/M150</f>
        <v>8.43486615390316</v>
      </c>
      <c r="O150" s="433">
        <v>140</v>
      </c>
    </row>
    <row r="151" spans="1:15" s="68" customFormat="1" ht="12" customHeight="1">
      <c r="A151" s="433">
        <v>141</v>
      </c>
      <c r="B151" s="133" t="s">
        <v>138</v>
      </c>
      <c r="C151" s="22">
        <v>40459</v>
      </c>
      <c r="D151" s="20" t="s">
        <v>30</v>
      </c>
      <c r="E151" s="23">
        <v>142</v>
      </c>
      <c r="F151" s="23">
        <v>2</v>
      </c>
      <c r="G151" s="23">
        <v>17</v>
      </c>
      <c r="H151" s="477">
        <v>3207.5</v>
      </c>
      <c r="I151" s="478">
        <v>725</v>
      </c>
      <c r="J151" s="81">
        <f>(I151/F151)</f>
        <v>362.5</v>
      </c>
      <c r="K151" s="134">
        <f>H151/I151</f>
        <v>4.424137931034482</v>
      </c>
      <c r="L151" s="8">
        <f>569713+434829.5+295345.5+223420+26108+12415.5+5998+1904+1368+799+648+306+1782+594+1782+1425.5+3207.5</f>
        <v>1581645.5</v>
      </c>
      <c r="M151" s="7">
        <f>61050+47827+36467+29781+4601+2405+1000+284+287+123+103+51+445+113+446+267+725</f>
        <v>185975</v>
      </c>
      <c r="N151" s="135">
        <f>L151/M151</f>
        <v>8.504613523323027</v>
      </c>
      <c r="O151" s="433">
        <v>141</v>
      </c>
    </row>
    <row r="152" spans="1:15" s="68" customFormat="1" ht="12" customHeight="1">
      <c r="A152" s="433">
        <v>142</v>
      </c>
      <c r="B152" s="198" t="s">
        <v>135</v>
      </c>
      <c r="C152" s="22">
        <v>40522</v>
      </c>
      <c r="D152" s="20" t="s">
        <v>30</v>
      </c>
      <c r="E152" s="23">
        <v>127</v>
      </c>
      <c r="F152" s="23">
        <v>5</v>
      </c>
      <c r="G152" s="23">
        <v>13</v>
      </c>
      <c r="H152" s="477">
        <v>3205</v>
      </c>
      <c r="I152" s="478">
        <v>513</v>
      </c>
      <c r="J152" s="81">
        <f>(I152/F152)</f>
        <v>102.6</v>
      </c>
      <c r="K152" s="134">
        <f>H152/I152</f>
        <v>6.247563352826511</v>
      </c>
      <c r="L152" s="8">
        <f>1048675+809166.5+457718.5+70165.5+7102+12164+8619.5+11777.5+6559.5+3338.5+10420.5+3303+3205</f>
        <v>2452215</v>
      </c>
      <c r="M152" s="7">
        <f>92481+73795+43350+8841+1153+2869+1615+2831+1620+630+2477+726+513</f>
        <v>232901</v>
      </c>
      <c r="N152" s="135">
        <f>L152/M152</f>
        <v>10.529001592951511</v>
      </c>
      <c r="O152" s="433">
        <v>142</v>
      </c>
    </row>
    <row r="153" spans="1:15" s="68" customFormat="1" ht="12" customHeight="1">
      <c r="A153" s="433">
        <v>143</v>
      </c>
      <c r="B153" s="150" t="s">
        <v>296</v>
      </c>
      <c r="C153" s="22">
        <v>40515</v>
      </c>
      <c r="D153" s="137" t="s">
        <v>130</v>
      </c>
      <c r="E153" s="139">
        <v>62</v>
      </c>
      <c r="F153" s="139">
        <v>6</v>
      </c>
      <c r="G153" s="139">
        <v>17</v>
      </c>
      <c r="H153" s="477">
        <v>3141.5</v>
      </c>
      <c r="I153" s="478">
        <v>688</v>
      </c>
      <c r="J153" s="81">
        <f>(I153/F153)</f>
        <v>114.66666666666667</v>
      </c>
      <c r="K153" s="151">
        <f>H153/I153</f>
        <v>4.566133720930233</v>
      </c>
      <c r="L153" s="8">
        <f>353151+191248+132731.5+71376+47862+26248.5+19265+34650.5+35095.5+42312+25849+10987+7528+3248+2395.5+3280.5+3141.5</f>
        <v>1010369.5</v>
      </c>
      <c r="M153" s="7">
        <f>34650+19352+14525+10591+7581+5012+3223+6065+6865+6589+3930+1782+1091+624+468+512+688</f>
        <v>123548</v>
      </c>
      <c r="N153" s="135">
        <f>L153/M153</f>
        <v>8.177951079742286</v>
      </c>
      <c r="O153" s="433">
        <v>143</v>
      </c>
    </row>
    <row r="154" spans="1:15" s="68" customFormat="1" ht="12" customHeight="1">
      <c r="A154" s="433">
        <v>144</v>
      </c>
      <c r="B154" s="185" t="s">
        <v>283</v>
      </c>
      <c r="C154" s="2">
        <v>40067</v>
      </c>
      <c r="D154" s="9" t="s">
        <v>21</v>
      </c>
      <c r="E154" s="3">
        <v>105</v>
      </c>
      <c r="F154" s="3">
        <v>2</v>
      </c>
      <c r="G154" s="3">
        <v>48</v>
      </c>
      <c r="H154" s="487">
        <v>3071</v>
      </c>
      <c r="I154" s="488">
        <v>592</v>
      </c>
      <c r="J154" s="72">
        <f>IF(H154&lt;&gt;0,I154/F154,"")</f>
        <v>296</v>
      </c>
      <c r="K154" s="159">
        <f>IF(H154&lt;&gt;0,H154/I154,"")</f>
        <v>5.1875</v>
      </c>
      <c r="L154" s="25">
        <f>645861.5+391+1223+705+141+3564+3071</f>
        <v>654956.5</v>
      </c>
      <c r="M154" s="28">
        <f>78550+64+202+109+20+713+592</f>
        <v>80250</v>
      </c>
      <c r="N154" s="160">
        <f>IF(L154&lt;&gt;0,L154/M154,"")</f>
        <v>8.161451713395639</v>
      </c>
      <c r="O154" s="433">
        <v>144</v>
      </c>
    </row>
    <row r="155" spans="1:15" s="68" customFormat="1" ht="12" customHeight="1">
      <c r="A155" s="433">
        <v>145</v>
      </c>
      <c r="B155" s="438" t="s">
        <v>296</v>
      </c>
      <c r="C155" s="283">
        <v>40515</v>
      </c>
      <c r="D155" s="284" t="s">
        <v>30</v>
      </c>
      <c r="E155" s="285">
        <v>62</v>
      </c>
      <c r="F155" s="285">
        <v>6</v>
      </c>
      <c r="G155" s="285">
        <v>19</v>
      </c>
      <c r="H155" s="477">
        <v>3042</v>
      </c>
      <c r="I155" s="478">
        <v>804</v>
      </c>
      <c r="J155" s="80">
        <v>134</v>
      </c>
      <c r="K155" s="141">
        <v>3.783582089552239</v>
      </c>
      <c r="L155" s="8">
        <v>1017691.5</v>
      </c>
      <c r="M155" s="7">
        <v>125339</v>
      </c>
      <c r="N155" s="135">
        <v>8.119511883771212</v>
      </c>
      <c r="O155" s="433">
        <v>145</v>
      </c>
    </row>
    <row r="156" spans="1:15" s="68" customFormat="1" ht="12" customHeight="1">
      <c r="A156" s="433">
        <v>146</v>
      </c>
      <c r="B156" s="133" t="s">
        <v>253</v>
      </c>
      <c r="C156" s="22">
        <v>40529</v>
      </c>
      <c r="D156" s="20" t="s">
        <v>59</v>
      </c>
      <c r="E156" s="23">
        <v>5</v>
      </c>
      <c r="F156" s="23">
        <v>1</v>
      </c>
      <c r="G156" s="23">
        <v>9</v>
      </c>
      <c r="H156" s="475">
        <v>3025</v>
      </c>
      <c r="I156" s="476">
        <v>605</v>
      </c>
      <c r="J156" s="28">
        <f>I156/F156</f>
        <v>605</v>
      </c>
      <c r="K156" s="188">
        <f>H156/I156</f>
        <v>5</v>
      </c>
      <c r="L156" s="26">
        <v>30459</v>
      </c>
      <c r="M156" s="28">
        <v>3466</v>
      </c>
      <c r="N156" s="181">
        <f>L156/M156</f>
        <v>8.78793998845932</v>
      </c>
      <c r="O156" s="433">
        <v>146</v>
      </c>
    </row>
    <row r="157" spans="1:15" s="68" customFormat="1" ht="12" customHeight="1">
      <c r="A157" s="433">
        <v>147</v>
      </c>
      <c r="B157" s="157" t="s">
        <v>140</v>
      </c>
      <c r="C157" s="2">
        <v>40249</v>
      </c>
      <c r="D157" s="10" t="s">
        <v>21</v>
      </c>
      <c r="E157" s="4">
        <v>116</v>
      </c>
      <c r="F157" s="4">
        <v>1</v>
      </c>
      <c r="G157" s="4">
        <v>30</v>
      </c>
      <c r="H157" s="487">
        <v>3020</v>
      </c>
      <c r="I157" s="488">
        <v>604</v>
      </c>
      <c r="J157" s="72">
        <f>+I157/F157</f>
        <v>604</v>
      </c>
      <c r="K157" s="159">
        <f>+H157/I157</f>
        <v>5</v>
      </c>
      <c r="L157" s="25">
        <f>1547543.25+3020+3020</f>
        <v>1553583.25</v>
      </c>
      <c r="M157" s="28">
        <f>209803+604+604</f>
        <v>211011</v>
      </c>
      <c r="N157" s="160">
        <f>IF(L157&lt;&gt;0,L157/M157,"")</f>
        <v>7.36256996080773</v>
      </c>
      <c r="O157" s="433">
        <v>147</v>
      </c>
    </row>
    <row r="158" spans="1:15" s="68" customFormat="1" ht="12" customHeight="1">
      <c r="A158" s="433">
        <v>148</v>
      </c>
      <c r="B158" s="157" t="s">
        <v>280</v>
      </c>
      <c r="C158" s="2">
        <v>39647</v>
      </c>
      <c r="D158" s="10" t="s">
        <v>21</v>
      </c>
      <c r="E158" s="4">
        <v>108</v>
      </c>
      <c r="F158" s="4">
        <v>1</v>
      </c>
      <c r="G158" s="4">
        <v>20</v>
      </c>
      <c r="H158" s="487">
        <v>3020</v>
      </c>
      <c r="I158" s="488">
        <v>604</v>
      </c>
      <c r="J158" s="72">
        <f>+I158/F158</f>
        <v>604</v>
      </c>
      <c r="K158" s="159">
        <f>+H158/I158</f>
        <v>5</v>
      </c>
      <c r="L158" s="25">
        <f>4275145.5+3020</f>
        <v>4278165.5</v>
      </c>
      <c r="M158" s="28">
        <f>437002+604</f>
        <v>437606</v>
      </c>
      <c r="N158" s="160">
        <f>IF(L158&lt;&gt;0,L158/M158,"")</f>
        <v>9.776295343299681</v>
      </c>
      <c r="O158" s="433">
        <v>148</v>
      </c>
    </row>
    <row r="159" spans="1:15" s="68" customFormat="1" ht="12" customHeight="1">
      <c r="A159" s="433">
        <v>149</v>
      </c>
      <c r="B159" s="352" t="s">
        <v>273</v>
      </c>
      <c r="C159" s="372">
        <v>39995</v>
      </c>
      <c r="D159" s="344" t="s">
        <v>30</v>
      </c>
      <c r="E159" s="347">
        <v>209</v>
      </c>
      <c r="F159" s="347">
        <v>2</v>
      </c>
      <c r="G159" s="347">
        <v>68</v>
      </c>
      <c r="H159" s="479">
        <v>3019.5</v>
      </c>
      <c r="I159" s="480">
        <v>734</v>
      </c>
      <c r="J159" s="186">
        <f>I159/F159</f>
        <v>367</v>
      </c>
      <c r="K159" s="234">
        <f>H159/I159</f>
        <v>4.113760217983652</v>
      </c>
      <c r="L159" s="16">
        <f>11405777.5+385+1188+6614+2968+1417+277+2612+1424+952+1780+952+364.5+1188+1188+2852+3019.5</f>
        <v>11434958.5</v>
      </c>
      <c r="M159" s="17">
        <f>1424397+63+297+1638+742+364+66+653+356+238+445+238+27+297+297+713+734</f>
        <v>1431565</v>
      </c>
      <c r="N159" s="244">
        <f>+L159/M159</f>
        <v>7.987732656218894</v>
      </c>
      <c r="O159" s="433">
        <v>149</v>
      </c>
    </row>
    <row r="160" spans="1:15" s="68" customFormat="1" ht="12" customHeight="1">
      <c r="A160" s="433">
        <v>150</v>
      </c>
      <c r="B160" s="157" t="s">
        <v>318</v>
      </c>
      <c r="C160" s="2">
        <v>40480</v>
      </c>
      <c r="D160" s="10" t="s">
        <v>8</v>
      </c>
      <c r="E160" s="4">
        <v>21</v>
      </c>
      <c r="F160" s="4">
        <v>3</v>
      </c>
      <c r="G160" s="4">
        <v>13</v>
      </c>
      <c r="H160" s="498">
        <v>2972</v>
      </c>
      <c r="I160" s="499">
        <v>535</v>
      </c>
      <c r="J160" s="72">
        <f>+I160/F160</f>
        <v>178.33333333333334</v>
      </c>
      <c r="K160" s="159">
        <f>+H160/I160</f>
        <v>5.555140186915888</v>
      </c>
      <c r="L160" s="5">
        <v>302074</v>
      </c>
      <c r="M160" s="6">
        <v>27572</v>
      </c>
      <c r="N160" s="160">
        <f>+L160/M160</f>
        <v>10.95582474974612</v>
      </c>
      <c r="O160" s="433">
        <v>150</v>
      </c>
    </row>
    <row r="161" spans="1:15" s="68" customFormat="1" ht="12" customHeight="1">
      <c r="A161" s="433">
        <v>151</v>
      </c>
      <c r="B161" s="150" t="s">
        <v>312</v>
      </c>
      <c r="C161" s="22">
        <v>40319</v>
      </c>
      <c r="D161" s="137" t="s">
        <v>130</v>
      </c>
      <c r="E161" s="139">
        <v>2</v>
      </c>
      <c r="F161" s="139">
        <v>1</v>
      </c>
      <c r="G161" s="139">
        <v>17</v>
      </c>
      <c r="H161" s="477">
        <v>2970</v>
      </c>
      <c r="I161" s="478">
        <v>2755</v>
      </c>
      <c r="J161" s="81">
        <f>(I161/F161)</f>
        <v>2755</v>
      </c>
      <c r="K161" s="151">
        <f>H161/I161</f>
        <v>1.0780399274047188</v>
      </c>
      <c r="L161" s="8">
        <f>4143+1077+726+775+2269+1451+561+189+370+613+538+181+79+246+238+1188+2970</f>
        <v>17614</v>
      </c>
      <c r="M161" s="7">
        <f>330+90+108+118+312+209+62+36+139+104+67+25+11+37+68+297+742</f>
        <v>2755</v>
      </c>
      <c r="N161" s="135">
        <f>L161/M161</f>
        <v>6.393466424682396</v>
      </c>
      <c r="O161" s="433">
        <v>151</v>
      </c>
    </row>
    <row r="162" spans="1:15" s="68" customFormat="1" ht="12" customHeight="1">
      <c r="A162" s="433">
        <v>152</v>
      </c>
      <c r="B162" s="133" t="s">
        <v>249</v>
      </c>
      <c r="C162" s="22">
        <v>40172</v>
      </c>
      <c r="D162" s="137" t="s">
        <v>30</v>
      </c>
      <c r="E162" s="139">
        <v>60</v>
      </c>
      <c r="F162" s="139">
        <v>2</v>
      </c>
      <c r="G162" s="139">
        <v>33</v>
      </c>
      <c r="H162" s="477">
        <v>2970</v>
      </c>
      <c r="I162" s="478">
        <v>742</v>
      </c>
      <c r="J162" s="81">
        <f>(I162/F162)</f>
        <v>371</v>
      </c>
      <c r="K162" s="134">
        <f>H162/I162</f>
        <v>4.002695417789758</v>
      </c>
      <c r="L162" s="8">
        <f>421775.5+397095.5+287050+215248.5+189819.5+180729.5+86816.5+23840+19148+14942.5+8798.5+9599+13618.5+4298+4028+3310+8547+6712.5+1803+1172+973+2291+380.5+3015+1103.5+65+2061.5+1262+1020+2232+2970+5074+2970</f>
        <v>1923769.5</v>
      </c>
      <c r="M162" s="7">
        <f>43739+40732+31780+27356+25902+24895+12153+4496+3179+3069+1650+2236+3335+954+829+540+1945+1297+429+261+173+594+53+613+200+10+480+240+102+533+743+1267+742</f>
        <v>236527</v>
      </c>
      <c r="N162" s="135">
        <f>L162/M162</f>
        <v>8.133403374667585</v>
      </c>
      <c r="O162" s="433">
        <v>152</v>
      </c>
    </row>
    <row r="163" spans="1:15" s="68" customFormat="1" ht="12" customHeight="1">
      <c r="A163" s="433">
        <v>153</v>
      </c>
      <c r="B163" s="136" t="s">
        <v>161</v>
      </c>
      <c r="C163" s="22">
        <v>40529</v>
      </c>
      <c r="D163" s="21" t="s">
        <v>28</v>
      </c>
      <c r="E163" s="23">
        <v>5</v>
      </c>
      <c r="F163" s="23">
        <v>3</v>
      </c>
      <c r="G163" s="23">
        <v>3</v>
      </c>
      <c r="H163" s="467">
        <v>2915</v>
      </c>
      <c r="I163" s="476">
        <v>305</v>
      </c>
      <c r="J163" s="72">
        <f>IF(H163&lt;&gt;0,I163/F163,"")</f>
        <v>101.66666666666667</v>
      </c>
      <c r="K163" s="161">
        <f>IF(H163&lt;&gt;0,H163/I163,"")</f>
        <v>9.557377049180328</v>
      </c>
      <c r="L163" s="18">
        <f>9892.5+4913+2915</f>
        <v>17720.5</v>
      </c>
      <c r="M163" s="28">
        <f>1037+523+305</f>
        <v>1865</v>
      </c>
      <c r="N163" s="160">
        <f>IF(L163&lt;&gt;0,L163/M163,"")</f>
        <v>9.501608579088472</v>
      </c>
      <c r="O163" s="433">
        <v>153</v>
      </c>
    </row>
    <row r="164" spans="1:15" s="68" customFormat="1" ht="12" customHeight="1">
      <c r="A164" s="433">
        <v>154</v>
      </c>
      <c r="B164" s="173" t="s">
        <v>142</v>
      </c>
      <c r="C164" s="2">
        <v>40529</v>
      </c>
      <c r="D164" s="10" t="s">
        <v>134</v>
      </c>
      <c r="E164" s="4">
        <v>81</v>
      </c>
      <c r="F164" s="4">
        <v>4</v>
      </c>
      <c r="G164" s="4">
        <v>6</v>
      </c>
      <c r="H164" s="494">
        <v>2875</v>
      </c>
      <c r="I164" s="493">
        <v>650</v>
      </c>
      <c r="J164" s="81">
        <f>(I164/F164)</f>
        <v>162.5</v>
      </c>
      <c r="K164" s="134">
        <f>H164/I164</f>
        <v>4.423076923076923</v>
      </c>
      <c r="L164" s="170">
        <v>481235</v>
      </c>
      <c r="M164" s="171">
        <v>57506</v>
      </c>
      <c r="N164" s="135">
        <f>L164/M164</f>
        <v>8.368431120230932</v>
      </c>
      <c r="O164" s="433">
        <v>154</v>
      </c>
    </row>
    <row r="165" spans="1:15" s="68" customFormat="1" ht="12" customHeight="1">
      <c r="A165" s="433">
        <v>155</v>
      </c>
      <c r="B165" s="352" t="s">
        <v>273</v>
      </c>
      <c r="C165" s="143">
        <v>39995</v>
      </c>
      <c r="D165" s="344" t="s">
        <v>30</v>
      </c>
      <c r="E165" s="347">
        <v>209</v>
      </c>
      <c r="F165" s="347">
        <v>1</v>
      </c>
      <c r="G165" s="347">
        <v>67</v>
      </c>
      <c r="H165" s="479">
        <v>2852</v>
      </c>
      <c r="I165" s="480">
        <v>713</v>
      </c>
      <c r="J165" s="186">
        <f>I165/F165</f>
        <v>713</v>
      </c>
      <c r="K165" s="234">
        <f>H165/I165</f>
        <v>4</v>
      </c>
      <c r="L165" s="16">
        <f>11405777.5+385+1188+6614+2968+1417+277+2612+1424+952+1780+952+364.5+1188+1188+2852</f>
        <v>11431939</v>
      </c>
      <c r="M165" s="17">
        <f>1424397+63+297+1638+742+364+66+653+356+238+445+238+27+297+297+713</f>
        <v>1430831</v>
      </c>
      <c r="N165" s="235">
        <f>+L165/M165</f>
        <v>7.989719959939364</v>
      </c>
      <c r="O165" s="433">
        <v>155</v>
      </c>
    </row>
    <row r="166" spans="1:15" s="68" customFormat="1" ht="12" customHeight="1">
      <c r="A166" s="433">
        <v>156</v>
      </c>
      <c r="B166" s="136" t="s">
        <v>277</v>
      </c>
      <c r="C166" s="360">
        <v>39710</v>
      </c>
      <c r="D166" s="345" t="s">
        <v>30</v>
      </c>
      <c r="E166" s="21">
        <v>1</v>
      </c>
      <c r="F166" s="21">
        <v>1</v>
      </c>
      <c r="G166" s="21">
        <v>17</v>
      </c>
      <c r="H166" s="500">
        <v>2852</v>
      </c>
      <c r="I166" s="470">
        <v>713</v>
      </c>
      <c r="J166" s="186">
        <f>I166/F166</f>
        <v>713</v>
      </c>
      <c r="K166" s="161">
        <f>H166/I166</f>
        <v>4</v>
      </c>
      <c r="L166" s="8">
        <f>11305+5960+2538+2056+455+891+1621+1302+712+1484+1484+1424+1188+1188+1188+236+2852</f>
        <v>37884</v>
      </c>
      <c r="M166" s="17">
        <f>835+676+295+239+136+275+187+148+178+371+371+356+297+297+297+59+713</f>
        <v>5730</v>
      </c>
      <c r="N166" s="396">
        <f>L166/M166</f>
        <v>6.61151832460733</v>
      </c>
      <c r="O166" s="433">
        <v>156</v>
      </c>
    </row>
    <row r="167" spans="1:15" s="68" customFormat="1" ht="12" customHeight="1">
      <c r="A167" s="433">
        <v>157</v>
      </c>
      <c r="B167" s="397" t="s">
        <v>299</v>
      </c>
      <c r="C167" s="398">
        <v>40347</v>
      </c>
      <c r="D167" s="85" t="s">
        <v>30</v>
      </c>
      <c r="E167" s="400">
        <v>66</v>
      </c>
      <c r="F167" s="400">
        <v>2</v>
      </c>
      <c r="G167" s="400">
        <v>30</v>
      </c>
      <c r="H167" s="506">
        <v>2851</v>
      </c>
      <c r="I167" s="507">
        <v>712</v>
      </c>
      <c r="J167" s="72">
        <f>I167/F167</f>
        <v>356</v>
      </c>
      <c r="K167" s="73">
        <f>H167/I167</f>
        <v>4.004213483146067</v>
      </c>
      <c r="L167" s="82">
        <f>478213+7083+3309.5+6055+4900+8378+4378.5+2349+3103+2074+7679.5+6108+2991.5+2180+2234+642+2775.5+1757+1151+3382+60+1782+2851</f>
        <v>555436.5</v>
      </c>
      <c r="M167" s="81">
        <f>55327+1259+553+1133+756+1285+650+408+682+334+1688+1394+539+483+475+201+677+260+202+852+20+445+712</f>
        <v>70335</v>
      </c>
      <c r="N167" s="76">
        <f>L167/M167</f>
        <v>7.89701428876093</v>
      </c>
      <c r="O167" s="433">
        <v>157</v>
      </c>
    </row>
    <row r="168" spans="1:15" s="68" customFormat="1" ht="12" customHeight="1">
      <c r="A168" s="433">
        <v>158</v>
      </c>
      <c r="B168" s="402" t="s">
        <v>311</v>
      </c>
      <c r="C168" s="403">
        <v>40536</v>
      </c>
      <c r="D168" s="404" t="s">
        <v>23</v>
      </c>
      <c r="E168" s="405">
        <v>112</v>
      </c>
      <c r="F168" s="405">
        <v>4</v>
      </c>
      <c r="G168" s="405">
        <v>16</v>
      </c>
      <c r="H168" s="513">
        <v>2799</v>
      </c>
      <c r="I168" s="514">
        <v>759</v>
      </c>
      <c r="J168" s="80">
        <v>189.75</v>
      </c>
      <c r="K168" s="141">
        <v>3.6877470355731226</v>
      </c>
      <c r="L168" s="444">
        <v>2749328</v>
      </c>
      <c r="M168" s="445">
        <v>245013</v>
      </c>
      <c r="N168" s="369">
        <v>11.221151530735105</v>
      </c>
      <c r="O168" s="433">
        <v>158</v>
      </c>
    </row>
    <row r="169" spans="1:15" s="68" customFormat="1" ht="12" customHeight="1">
      <c r="A169" s="433">
        <v>159</v>
      </c>
      <c r="B169" s="154" t="s">
        <v>266</v>
      </c>
      <c r="C169" s="2">
        <v>40459</v>
      </c>
      <c r="D169" s="12" t="s">
        <v>10</v>
      </c>
      <c r="E169" s="3">
        <v>55</v>
      </c>
      <c r="F169" s="3">
        <v>3</v>
      </c>
      <c r="G169" s="3">
        <v>13</v>
      </c>
      <c r="H169" s="483">
        <v>2794</v>
      </c>
      <c r="I169" s="486">
        <v>385</v>
      </c>
      <c r="J169" s="80">
        <f>I169/F169</f>
        <v>128.33333333333334</v>
      </c>
      <c r="K169" s="155">
        <f>H169/I169</f>
        <v>7.257142857142857</v>
      </c>
      <c r="L169" s="156">
        <v>2711808</v>
      </c>
      <c r="M169" s="29">
        <v>235959</v>
      </c>
      <c r="N169" s="153">
        <f>+L169/M169</f>
        <v>11.492708479015421</v>
      </c>
      <c r="O169" s="433">
        <v>159</v>
      </c>
    </row>
    <row r="170" spans="1:15" s="68" customFormat="1" ht="12" customHeight="1">
      <c r="A170" s="433">
        <v>160</v>
      </c>
      <c r="B170" s="133" t="s">
        <v>311</v>
      </c>
      <c r="C170" s="22">
        <v>40536</v>
      </c>
      <c r="D170" s="189" t="s">
        <v>23</v>
      </c>
      <c r="E170" s="23">
        <v>112</v>
      </c>
      <c r="F170" s="23">
        <v>4</v>
      </c>
      <c r="G170" s="23">
        <v>13</v>
      </c>
      <c r="H170" s="475">
        <v>2777</v>
      </c>
      <c r="I170" s="476">
        <v>596</v>
      </c>
      <c r="J170" s="28">
        <f>I170/F170</f>
        <v>149</v>
      </c>
      <c r="K170" s="180">
        <f>+H170/I170</f>
        <v>4.659395973154362</v>
      </c>
      <c r="L170" s="26">
        <v>2743431</v>
      </c>
      <c r="M170" s="28">
        <v>243435</v>
      </c>
      <c r="N170" s="181">
        <f>+L170/M170</f>
        <v>11.269665413765482</v>
      </c>
      <c r="O170" s="433">
        <v>160</v>
      </c>
    </row>
    <row r="171" spans="1:15" s="68" customFormat="1" ht="12" customHeight="1">
      <c r="A171" s="433">
        <v>161</v>
      </c>
      <c r="B171" s="150" t="s">
        <v>330</v>
      </c>
      <c r="C171" s="22">
        <v>40480</v>
      </c>
      <c r="D171" s="137" t="s">
        <v>30</v>
      </c>
      <c r="E171" s="139">
        <v>100</v>
      </c>
      <c r="F171" s="139">
        <v>2</v>
      </c>
      <c r="G171" s="139">
        <v>14</v>
      </c>
      <c r="H171" s="477">
        <v>2732.5</v>
      </c>
      <c r="I171" s="478">
        <v>684</v>
      </c>
      <c r="J171" s="81">
        <f>(I171/F171)</f>
        <v>342</v>
      </c>
      <c r="K171" s="134">
        <f>H171/I171</f>
        <v>3.9948830409356724</v>
      </c>
      <c r="L171" s="8">
        <f>1221166+429124.5+378100+240009.5+108018.5+26890.5+15319+16968+7345.5+4160+1262+1510+3920.5+2732.5</f>
        <v>2456526.5</v>
      </c>
      <c r="M171" s="7">
        <f>114702+40612+35598+23284+12543+4168+3055+2661+1161+850+210+377+981+684</f>
        <v>240886</v>
      </c>
      <c r="N171" s="135">
        <f>L171/M171</f>
        <v>10.197879909998921</v>
      </c>
      <c r="O171" s="433">
        <v>161</v>
      </c>
    </row>
    <row r="172" spans="1:15" s="68" customFormat="1" ht="12" customHeight="1">
      <c r="A172" s="433">
        <v>162</v>
      </c>
      <c r="B172" s="287" t="s">
        <v>253</v>
      </c>
      <c r="C172" s="288">
        <v>40529</v>
      </c>
      <c r="D172" s="137" t="s">
        <v>254</v>
      </c>
      <c r="E172" s="162">
        <v>5</v>
      </c>
      <c r="F172" s="162">
        <v>5</v>
      </c>
      <c r="G172" s="162">
        <v>6</v>
      </c>
      <c r="H172" s="471">
        <v>2708</v>
      </c>
      <c r="I172" s="472">
        <v>400</v>
      </c>
      <c r="J172" s="163">
        <f>I172/F172</f>
        <v>80</v>
      </c>
      <c r="K172" s="291">
        <f>H172/I172</f>
        <v>6.77</v>
      </c>
      <c r="L172" s="164">
        <v>25656</v>
      </c>
      <c r="M172" s="163">
        <v>2595</v>
      </c>
      <c r="N172" s="292">
        <f>L172/M172</f>
        <v>9.88670520231214</v>
      </c>
      <c r="O172" s="433">
        <v>162</v>
      </c>
    </row>
    <row r="173" spans="1:15" s="68" customFormat="1" ht="12" customHeight="1">
      <c r="A173" s="433">
        <v>163</v>
      </c>
      <c r="B173" s="136" t="s">
        <v>257</v>
      </c>
      <c r="C173" s="22">
        <v>40473</v>
      </c>
      <c r="D173" s="137" t="s">
        <v>30</v>
      </c>
      <c r="E173" s="23">
        <v>28</v>
      </c>
      <c r="F173" s="23">
        <v>1</v>
      </c>
      <c r="G173" s="23">
        <v>12</v>
      </c>
      <c r="H173" s="477">
        <v>2675</v>
      </c>
      <c r="I173" s="478">
        <v>301</v>
      </c>
      <c r="J173" s="81">
        <f>(I173/F173)</f>
        <v>301</v>
      </c>
      <c r="K173" s="134">
        <f>H173/I173</f>
        <v>8.887043189368772</v>
      </c>
      <c r="L173" s="8">
        <f>152569.5+122205.5+10562+6863.5+9619+5655+1726.5+3593+4508+310+2166+2675</f>
        <v>322453</v>
      </c>
      <c r="M173" s="7">
        <f>12992+10278+1201+886+1535+877+246+644+1351+56+302+301</f>
        <v>30669</v>
      </c>
      <c r="N173" s="135">
        <f>L173/M173</f>
        <v>10.51397176301803</v>
      </c>
      <c r="O173" s="433">
        <v>163</v>
      </c>
    </row>
    <row r="174" spans="1:15" s="68" customFormat="1" ht="12" customHeight="1">
      <c r="A174" s="433">
        <v>164</v>
      </c>
      <c r="B174" s="136" t="s">
        <v>156</v>
      </c>
      <c r="C174" s="22">
        <v>40487</v>
      </c>
      <c r="D174" s="183" t="s">
        <v>23</v>
      </c>
      <c r="E174" s="23">
        <v>205</v>
      </c>
      <c r="F174" s="23">
        <v>3</v>
      </c>
      <c r="G174" s="23">
        <v>9</v>
      </c>
      <c r="H174" s="467">
        <v>2650</v>
      </c>
      <c r="I174" s="476">
        <v>405</v>
      </c>
      <c r="J174" s="28">
        <f>I174/F174</f>
        <v>135</v>
      </c>
      <c r="K174" s="188">
        <f>+H174/I174</f>
        <v>6.54320987654321</v>
      </c>
      <c r="L174" s="18">
        <v>1135918</v>
      </c>
      <c r="M174" s="28">
        <v>131505</v>
      </c>
      <c r="N174" s="181">
        <f aca="true" t="shared" si="10" ref="N174:N179">+L174/M174</f>
        <v>8.637831261168778</v>
      </c>
      <c r="O174" s="433">
        <v>164</v>
      </c>
    </row>
    <row r="175" spans="1:15" s="68" customFormat="1" ht="12" customHeight="1">
      <c r="A175" s="433">
        <v>165</v>
      </c>
      <c r="B175" s="136" t="s">
        <v>305</v>
      </c>
      <c r="C175" s="22">
        <v>40466</v>
      </c>
      <c r="D175" s="189" t="s">
        <v>23</v>
      </c>
      <c r="E175" s="23">
        <v>119</v>
      </c>
      <c r="F175" s="23">
        <v>3</v>
      </c>
      <c r="G175" s="23">
        <v>15</v>
      </c>
      <c r="H175" s="475">
        <v>2636</v>
      </c>
      <c r="I175" s="476">
        <v>738</v>
      </c>
      <c r="J175" s="28">
        <f>I175/F175</f>
        <v>246</v>
      </c>
      <c r="K175" s="180">
        <f>+H175/I175</f>
        <v>3.5718157181571817</v>
      </c>
      <c r="L175" s="26">
        <v>2014015</v>
      </c>
      <c r="M175" s="28">
        <v>175303</v>
      </c>
      <c r="N175" s="181">
        <f t="shared" si="10"/>
        <v>11.488765166597263</v>
      </c>
      <c r="O175" s="433">
        <v>165</v>
      </c>
    </row>
    <row r="176" spans="1:15" s="68" customFormat="1" ht="12" customHeight="1">
      <c r="A176" s="433">
        <v>166</v>
      </c>
      <c r="B176" s="154" t="s">
        <v>306</v>
      </c>
      <c r="C176" s="2">
        <v>40494</v>
      </c>
      <c r="D176" s="9" t="s">
        <v>10</v>
      </c>
      <c r="E176" s="3">
        <v>144</v>
      </c>
      <c r="F176" s="3">
        <v>3</v>
      </c>
      <c r="G176" s="3">
        <v>11</v>
      </c>
      <c r="H176" s="485">
        <v>2600</v>
      </c>
      <c r="I176" s="486">
        <v>454</v>
      </c>
      <c r="J176" s="80">
        <f>I176/F176</f>
        <v>151.33333333333334</v>
      </c>
      <c r="K176" s="141">
        <f>H176/I176</f>
        <v>5.726872246696035</v>
      </c>
      <c r="L176" s="30">
        <v>6069219</v>
      </c>
      <c r="M176" s="29">
        <v>523991</v>
      </c>
      <c r="N176" s="153">
        <f t="shared" si="10"/>
        <v>11.582677946758627</v>
      </c>
      <c r="O176" s="433">
        <v>166</v>
      </c>
    </row>
    <row r="177" spans="1:15" s="68" customFormat="1" ht="12" customHeight="1">
      <c r="A177" s="433">
        <v>167</v>
      </c>
      <c r="B177" s="152" t="s">
        <v>324</v>
      </c>
      <c r="C177" s="2">
        <v>40536</v>
      </c>
      <c r="D177" s="9" t="s">
        <v>10</v>
      </c>
      <c r="E177" s="3">
        <v>48</v>
      </c>
      <c r="F177" s="3">
        <v>5</v>
      </c>
      <c r="G177" s="3">
        <v>8</v>
      </c>
      <c r="H177" s="485">
        <v>2592</v>
      </c>
      <c r="I177" s="486">
        <v>363</v>
      </c>
      <c r="J177" s="80">
        <f>I177/F177</f>
        <v>72.6</v>
      </c>
      <c r="K177" s="141">
        <f>H177/I177</f>
        <v>7.140495867768595</v>
      </c>
      <c r="L177" s="30">
        <v>699287</v>
      </c>
      <c r="M177" s="29">
        <v>62293</v>
      </c>
      <c r="N177" s="153">
        <f t="shared" si="10"/>
        <v>11.225771756056057</v>
      </c>
      <c r="O177" s="433">
        <v>167</v>
      </c>
    </row>
    <row r="178" spans="1:15" s="68" customFormat="1" ht="12" customHeight="1">
      <c r="A178" s="433">
        <v>168</v>
      </c>
      <c r="B178" s="157" t="s">
        <v>319</v>
      </c>
      <c r="C178" s="2">
        <v>37193</v>
      </c>
      <c r="D178" s="10" t="s">
        <v>8</v>
      </c>
      <c r="E178" s="4">
        <v>21</v>
      </c>
      <c r="F178" s="4">
        <v>1</v>
      </c>
      <c r="G178" s="4">
        <v>11</v>
      </c>
      <c r="H178" s="498">
        <v>2506</v>
      </c>
      <c r="I178" s="499">
        <v>283</v>
      </c>
      <c r="J178" s="72">
        <f>+I178/F178</f>
        <v>283</v>
      </c>
      <c r="K178" s="159">
        <f>+H178/I178</f>
        <v>8.855123674911662</v>
      </c>
      <c r="L178" s="5">
        <v>297963</v>
      </c>
      <c r="M178" s="6">
        <v>26834</v>
      </c>
      <c r="N178" s="160">
        <f t="shared" si="10"/>
        <v>11.103935305955131</v>
      </c>
      <c r="O178" s="433">
        <v>168</v>
      </c>
    </row>
    <row r="179" spans="1:15" s="68" customFormat="1" ht="12" customHeight="1">
      <c r="A179" s="433">
        <v>169</v>
      </c>
      <c r="B179" s="157" t="s">
        <v>324</v>
      </c>
      <c r="C179" s="2">
        <v>40536</v>
      </c>
      <c r="D179" s="10" t="s">
        <v>10</v>
      </c>
      <c r="E179" s="4">
        <v>48</v>
      </c>
      <c r="F179" s="4">
        <v>2</v>
      </c>
      <c r="G179" s="4">
        <v>7</v>
      </c>
      <c r="H179" s="485">
        <v>2498</v>
      </c>
      <c r="I179" s="486">
        <v>822</v>
      </c>
      <c r="J179" s="80">
        <f aca="true" t="shared" si="11" ref="J179:J187">I179/F179</f>
        <v>411</v>
      </c>
      <c r="K179" s="141">
        <f>H179/I179</f>
        <v>3.0389294403892944</v>
      </c>
      <c r="L179" s="30">
        <v>696695</v>
      </c>
      <c r="M179" s="29">
        <v>61930</v>
      </c>
      <c r="N179" s="153">
        <f t="shared" si="10"/>
        <v>11.249717422896818</v>
      </c>
      <c r="O179" s="433">
        <v>169</v>
      </c>
    </row>
    <row r="180" spans="1:15" s="68" customFormat="1" ht="12" customHeight="1">
      <c r="A180" s="433">
        <v>170</v>
      </c>
      <c r="B180" s="136" t="s">
        <v>253</v>
      </c>
      <c r="C180" s="22">
        <v>40529</v>
      </c>
      <c r="D180" s="137" t="s">
        <v>254</v>
      </c>
      <c r="E180" s="23">
        <v>5</v>
      </c>
      <c r="F180" s="23">
        <v>4</v>
      </c>
      <c r="G180" s="23">
        <v>3</v>
      </c>
      <c r="H180" s="467">
        <v>2473</v>
      </c>
      <c r="I180" s="476">
        <v>284</v>
      </c>
      <c r="J180" s="28">
        <f t="shared" si="11"/>
        <v>71</v>
      </c>
      <c r="K180" s="188">
        <f>H180/I180</f>
        <v>8.70774647887324</v>
      </c>
      <c r="L180" s="18">
        <v>15169</v>
      </c>
      <c r="M180" s="28">
        <v>1420</v>
      </c>
      <c r="N180" s="181">
        <f>L180/M180</f>
        <v>10.682394366197183</v>
      </c>
      <c r="O180" s="433">
        <v>170</v>
      </c>
    </row>
    <row r="181" spans="1:15" s="68" customFormat="1" ht="12" customHeight="1">
      <c r="A181" s="433">
        <v>171</v>
      </c>
      <c r="B181" s="136" t="s">
        <v>290</v>
      </c>
      <c r="C181" s="22">
        <v>40536</v>
      </c>
      <c r="D181" s="189" t="s">
        <v>23</v>
      </c>
      <c r="E181" s="23">
        <v>91</v>
      </c>
      <c r="F181" s="23">
        <v>6</v>
      </c>
      <c r="G181" s="23">
        <v>5</v>
      </c>
      <c r="H181" s="475">
        <v>2455</v>
      </c>
      <c r="I181" s="476">
        <v>339</v>
      </c>
      <c r="J181" s="28">
        <f t="shared" si="11"/>
        <v>56.5</v>
      </c>
      <c r="K181" s="180">
        <f>+H181/I181</f>
        <v>7.241887905604719</v>
      </c>
      <c r="L181" s="26">
        <v>1195033</v>
      </c>
      <c r="M181" s="28">
        <v>104426</v>
      </c>
      <c r="N181" s="181">
        <f aca="true" t="shared" si="12" ref="N181:N188">+L181/M181</f>
        <v>11.443826250167582</v>
      </c>
      <c r="O181" s="433">
        <v>171</v>
      </c>
    </row>
    <row r="182" spans="1:15" s="68" customFormat="1" ht="12" customHeight="1">
      <c r="A182" s="433">
        <v>172</v>
      </c>
      <c r="B182" s="133" t="s">
        <v>308</v>
      </c>
      <c r="C182" s="22">
        <v>40459</v>
      </c>
      <c r="D182" s="183" t="s">
        <v>23</v>
      </c>
      <c r="E182" s="23">
        <v>93</v>
      </c>
      <c r="F182" s="23">
        <v>1</v>
      </c>
      <c r="G182" s="23">
        <v>14</v>
      </c>
      <c r="H182" s="475">
        <v>2415</v>
      </c>
      <c r="I182" s="476">
        <v>875</v>
      </c>
      <c r="J182" s="28">
        <f t="shared" si="11"/>
        <v>875</v>
      </c>
      <c r="K182" s="180">
        <f>+H182/I182</f>
        <v>2.76</v>
      </c>
      <c r="L182" s="26">
        <v>1072374</v>
      </c>
      <c r="M182" s="28">
        <v>99383</v>
      </c>
      <c r="N182" s="181">
        <f t="shared" si="12"/>
        <v>10.790316251270339</v>
      </c>
      <c r="O182" s="433">
        <v>172</v>
      </c>
    </row>
    <row r="183" spans="1:15" s="68" customFormat="1" ht="12" customHeight="1">
      <c r="A183" s="433">
        <v>173</v>
      </c>
      <c r="B183" s="311">
        <v>120</v>
      </c>
      <c r="C183" s="359">
        <v>39493</v>
      </c>
      <c r="D183" s="346" t="s">
        <v>28</v>
      </c>
      <c r="E183" s="21">
        <v>179</v>
      </c>
      <c r="F183" s="21">
        <v>1</v>
      </c>
      <c r="G183" s="21">
        <v>48</v>
      </c>
      <c r="H183" s="473">
        <v>2402</v>
      </c>
      <c r="I183" s="468">
        <v>480</v>
      </c>
      <c r="J183" s="186">
        <f t="shared" si="11"/>
        <v>480</v>
      </c>
      <c r="K183" s="234">
        <f>H183/I183</f>
        <v>5.004166666666666</v>
      </c>
      <c r="L183" s="355">
        <f>5039812.5+1919+2402</f>
        <v>5044133.5</v>
      </c>
      <c r="M183" s="19">
        <f>1038442+320+480</f>
        <v>1039242</v>
      </c>
      <c r="N183" s="244">
        <f t="shared" si="12"/>
        <v>4.8536659411378675</v>
      </c>
      <c r="O183" s="433">
        <v>173</v>
      </c>
    </row>
    <row r="184" spans="1:15" s="68" customFormat="1" ht="12" customHeight="1">
      <c r="A184" s="433">
        <v>174</v>
      </c>
      <c r="B184" s="152">
        <v>120</v>
      </c>
      <c r="C184" s="2">
        <v>39675</v>
      </c>
      <c r="D184" s="85" t="s">
        <v>28</v>
      </c>
      <c r="E184" s="3">
        <v>179</v>
      </c>
      <c r="F184" s="162">
        <v>1</v>
      </c>
      <c r="G184" s="162">
        <v>49</v>
      </c>
      <c r="H184" s="474">
        <v>2402</v>
      </c>
      <c r="I184" s="472">
        <v>480</v>
      </c>
      <c r="J184" s="72">
        <f t="shared" si="11"/>
        <v>480</v>
      </c>
      <c r="K184" s="73">
        <f>H184/I184</f>
        <v>5.004166666666666</v>
      </c>
      <c r="L184" s="358">
        <f>5039812.5+1919+2402+2402</f>
        <v>5046535.5</v>
      </c>
      <c r="M184" s="163">
        <f>1038442+320+480+480</f>
        <v>1039722</v>
      </c>
      <c r="N184" s="74">
        <f t="shared" si="12"/>
        <v>4.853735421583846</v>
      </c>
      <c r="O184" s="433">
        <v>174</v>
      </c>
    </row>
    <row r="185" spans="1:15" s="68" customFormat="1" ht="12" customHeight="1">
      <c r="A185" s="433">
        <v>175</v>
      </c>
      <c r="B185" s="349" t="s">
        <v>230</v>
      </c>
      <c r="C185" s="359">
        <v>38674</v>
      </c>
      <c r="D185" s="346" t="s">
        <v>28</v>
      </c>
      <c r="E185" s="21">
        <v>135</v>
      </c>
      <c r="F185" s="21">
        <v>1</v>
      </c>
      <c r="G185" s="21">
        <v>82</v>
      </c>
      <c r="H185" s="473">
        <v>2402</v>
      </c>
      <c r="I185" s="468">
        <v>480</v>
      </c>
      <c r="J185" s="186">
        <f t="shared" si="11"/>
        <v>480</v>
      </c>
      <c r="K185" s="234">
        <f>H185/I185</f>
        <v>5.004166666666666</v>
      </c>
      <c r="L185" s="35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+2402</f>
        <v>25465436.5</v>
      </c>
      <c r="M185" s="1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+480</f>
        <v>3838965</v>
      </c>
      <c r="N185" s="235">
        <f t="shared" si="12"/>
        <v>6.6334120003698915</v>
      </c>
      <c r="O185" s="433">
        <v>175</v>
      </c>
    </row>
    <row r="186" spans="1:15" s="68" customFormat="1" ht="12" customHeight="1">
      <c r="A186" s="433">
        <v>176</v>
      </c>
      <c r="B186" s="349" t="s">
        <v>383</v>
      </c>
      <c r="C186" s="359">
        <v>39871</v>
      </c>
      <c r="D186" s="346" t="s">
        <v>28</v>
      </c>
      <c r="E186" s="21">
        <v>192</v>
      </c>
      <c r="F186" s="21">
        <v>1</v>
      </c>
      <c r="G186" s="21">
        <v>23</v>
      </c>
      <c r="H186" s="473">
        <v>2402</v>
      </c>
      <c r="I186" s="468">
        <v>480</v>
      </c>
      <c r="J186" s="186">
        <f t="shared" si="11"/>
        <v>480</v>
      </c>
      <c r="K186" s="234">
        <f>H186/I186</f>
        <v>5.004166666666666</v>
      </c>
      <c r="L186" s="355">
        <f>568084.5+439199.5+199559+109980+164256.5-20+26773.5+13463+1383+6404+0.5+715+335+85+378+1008+757+6618+713+0.75+243+1525+380+105+2395+1918+2402</f>
        <v>1548661.25</v>
      </c>
      <c r="M186" s="19">
        <f>79686+62524+31158+18444+26844-3+5195+2619+207+1137+130+77+14+84+252+149+1160+124+32+241+76+21+342+319+480</f>
        <v>231312</v>
      </c>
      <c r="N186" s="356">
        <f t="shared" si="12"/>
        <v>6.695118497959466</v>
      </c>
      <c r="O186" s="433">
        <v>176</v>
      </c>
    </row>
    <row r="187" spans="1:15" s="68" customFormat="1" ht="12" customHeight="1">
      <c r="A187" s="433">
        <v>177</v>
      </c>
      <c r="B187" s="152" t="s">
        <v>287</v>
      </c>
      <c r="C187" s="2">
        <v>40529</v>
      </c>
      <c r="D187" s="12" t="s">
        <v>10</v>
      </c>
      <c r="E187" s="3">
        <v>72</v>
      </c>
      <c r="F187" s="3">
        <v>2</v>
      </c>
      <c r="G187" s="3">
        <v>4</v>
      </c>
      <c r="H187" s="485">
        <v>2401</v>
      </c>
      <c r="I187" s="486">
        <v>570</v>
      </c>
      <c r="J187" s="80">
        <f t="shared" si="11"/>
        <v>285</v>
      </c>
      <c r="K187" s="141">
        <f>H187/I187</f>
        <v>4.212280701754386</v>
      </c>
      <c r="L187" s="30">
        <v>912331</v>
      </c>
      <c r="M187" s="29">
        <v>83688</v>
      </c>
      <c r="N187" s="153">
        <f t="shared" si="12"/>
        <v>10.901574897237358</v>
      </c>
      <c r="O187" s="433">
        <v>177</v>
      </c>
    </row>
    <row r="188" spans="1:15" s="68" customFormat="1" ht="12" customHeight="1">
      <c r="A188" s="433">
        <v>178</v>
      </c>
      <c r="B188" s="157" t="s">
        <v>323</v>
      </c>
      <c r="C188" s="2">
        <v>40522</v>
      </c>
      <c r="D188" s="11" t="s">
        <v>8</v>
      </c>
      <c r="E188" s="4">
        <v>110</v>
      </c>
      <c r="F188" s="4">
        <v>4</v>
      </c>
      <c r="G188" s="4">
        <v>13</v>
      </c>
      <c r="H188" s="498">
        <v>2400</v>
      </c>
      <c r="I188" s="499">
        <v>492</v>
      </c>
      <c r="J188" s="72">
        <f>+I188/F188</f>
        <v>123</v>
      </c>
      <c r="K188" s="159">
        <f>+H188/I188</f>
        <v>4.878048780487805</v>
      </c>
      <c r="L188" s="5">
        <v>5014749</v>
      </c>
      <c r="M188" s="6">
        <v>477268</v>
      </c>
      <c r="N188" s="160">
        <f t="shared" si="12"/>
        <v>10.507197214143835</v>
      </c>
      <c r="O188" s="433">
        <v>178</v>
      </c>
    </row>
    <row r="189" spans="1:15" s="68" customFormat="1" ht="12" customHeight="1">
      <c r="A189" s="433">
        <v>179</v>
      </c>
      <c r="B189" s="349" t="s">
        <v>393</v>
      </c>
      <c r="C189" s="359">
        <v>38639</v>
      </c>
      <c r="D189" s="346" t="s">
        <v>28</v>
      </c>
      <c r="E189" s="23">
        <v>60</v>
      </c>
      <c r="F189" s="23">
        <v>1</v>
      </c>
      <c r="G189" s="23">
        <v>15</v>
      </c>
      <c r="H189" s="475">
        <v>2398</v>
      </c>
      <c r="I189" s="476">
        <v>400</v>
      </c>
      <c r="J189" s="72">
        <f>I189/F189</f>
        <v>400</v>
      </c>
      <c r="K189" s="73">
        <f aca="true" t="shared" si="13" ref="K189:K207">H189/I189</f>
        <v>5.995</v>
      </c>
      <c r="L189" s="26">
        <f>256115+134174+46036+56793+18694+21163+10994+6120+3004+2376+1265+152+2376+2376+2398</f>
        <v>564036</v>
      </c>
      <c r="M189" s="28">
        <f>41300+22031+8828+16651+4873+6972+2927+1374+1020+1188+228+31+1188+1188+400+29</f>
        <v>110228</v>
      </c>
      <c r="N189" s="74">
        <f>+L190/M190</f>
        <v>8.205671527119364</v>
      </c>
      <c r="O189" s="433">
        <v>179</v>
      </c>
    </row>
    <row r="190" spans="1:15" s="68" customFormat="1" ht="12" customHeight="1">
      <c r="A190" s="433">
        <v>180</v>
      </c>
      <c r="B190" s="133" t="s">
        <v>296</v>
      </c>
      <c r="C190" s="22">
        <v>40515</v>
      </c>
      <c r="D190" s="20" t="s">
        <v>30</v>
      </c>
      <c r="E190" s="23">
        <v>62</v>
      </c>
      <c r="F190" s="23">
        <v>8</v>
      </c>
      <c r="G190" s="23">
        <v>15</v>
      </c>
      <c r="H190" s="477">
        <v>2395.5</v>
      </c>
      <c r="I190" s="478">
        <v>468</v>
      </c>
      <c r="J190" s="81">
        <f>(I190/F190)</f>
        <v>58.5</v>
      </c>
      <c r="K190" s="134">
        <f t="shared" si="13"/>
        <v>5.118589743589744</v>
      </c>
      <c r="L190" s="8">
        <f>353151+191248+132731.5+71376+47862+26248.5+19265+34650.5+35095.5+42312+25849+10987+7528+3248+2395.5</f>
        <v>1003947.5</v>
      </c>
      <c r="M190" s="7">
        <f>34650+19352+14525+10591+7581+5012+3223+6065+6865+6589+3930+1782+1091+624+468</f>
        <v>122348</v>
      </c>
      <c r="N190" s="135">
        <f>L190/M190</f>
        <v>8.205671527119364</v>
      </c>
      <c r="O190" s="433">
        <v>180</v>
      </c>
    </row>
    <row r="191" spans="1:15" s="68" customFormat="1" ht="12" customHeight="1">
      <c r="A191" s="433">
        <v>181</v>
      </c>
      <c r="B191" s="152" t="s">
        <v>139</v>
      </c>
      <c r="C191" s="84">
        <v>40515</v>
      </c>
      <c r="D191" s="85" t="s">
        <v>10</v>
      </c>
      <c r="E191" s="3">
        <v>337</v>
      </c>
      <c r="F191" s="3">
        <v>1</v>
      </c>
      <c r="G191" s="3">
        <v>24</v>
      </c>
      <c r="H191" s="485">
        <v>2381</v>
      </c>
      <c r="I191" s="486">
        <v>300</v>
      </c>
      <c r="J191" s="72">
        <f aca="true" t="shared" si="14" ref="J191:J202">I191/F191</f>
        <v>300</v>
      </c>
      <c r="K191" s="73">
        <f t="shared" si="13"/>
        <v>7.9366666666666665</v>
      </c>
      <c r="L191" s="30">
        <v>19681137</v>
      </c>
      <c r="M191" s="29">
        <v>2106490</v>
      </c>
      <c r="N191" s="76">
        <f>L191/M191</f>
        <v>9.343095386163712</v>
      </c>
      <c r="O191" s="433">
        <v>181</v>
      </c>
    </row>
    <row r="192" spans="1:15" s="68" customFormat="1" ht="12" customHeight="1">
      <c r="A192" s="433">
        <v>182</v>
      </c>
      <c r="B192" s="198" t="s">
        <v>132</v>
      </c>
      <c r="C192" s="22">
        <v>40515</v>
      </c>
      <c r="D192" s="85" t="s">
        <v>10</v>
      </c>
      <c r="E192" s="23">
        <v>337</v>
      </c>
      <c r="F192" s="3">
        <v>1</v>
      </c>
      <c r="G192" s="3">
        <v>32</v>
      </c>
      <c r="H192" s="485">
        <v>2380</v>
      </c>
      <c r="I192" s="486">
        <v>595</v>
      </c>
      <c r="J192" s="72">
        <f t="shared" si="14"/>
        <v>595</v>
      </c>
      <c r="K192" s="73">
        <f t="shared" si="13"/>
        <v>4</v>
      </c>
      <c r="L192" s="30">
        <v>19720427</v>
      </c>
      <c r="M192" s="29">
        <v>2116192</v>
      </c>
      <c r="N192" s="74">
        <f>+L192/M192</f>
        <v>9.318826930637673</v>
      </c>
      <c r="O192" s="433">
        <v>182</v>
      </c>
    </row>
    <row r="193" spans="1:15" s="68" customFormat="1" ht="12" customHeight="1">
      <c r="A193" s="433">
        <v>183</v>
      </c>
      <c r="B193" s="152" t="s">
        <v>139</v>
      </c>
      <c r="C193" s="84">
        <v>40515</v>
      </c>
      <c r="D193" s="85" t="s">
        <v>10</v>
      </c>
      <c r="E193" s="3">
        <v>337</v>
      </c>
      <c r="F193" s="3">
        <v>1</v>
      </c>
      <c r="G193" s="3">
        <v>23</v>
      </c>
      <c r="H193" s="485">
        <v>2380</v>
      </c>
      <c r="I193" s="486">
        <v>595</v>
      </c>
      <c r="J193" s="72">
        <f t="shared" si="14"/>
        <v>595</v>
      </c>
      <c r="K193" s="73">
        <f t="shared" si="13"/>
        <v>4</v>
      </c>
      <c r="L193" s="30">
        <v>19678756</v>
      </c>
      <c r="M193" s="29">
        <v>2106190</v>
      </c>
      <c r="N193" s="76">
        <f>L193/M193</f>
        <v>9.343295714061885</v>
      </c>
      <c r="O193" s="433">
        <v>183</v>
      </c>
    </row>
    <row r="194" spans="1:15" s="68" customFormat="1" ht="12" customHeight="1">
      <c r="A194" s="433">
        <v>184</v>
      </c>
      <c r="B194" s="152" t="s">
        <v>139</v>
      </c>
      <c r="C194" s="279">
        <v>40515</v>
      </c>
      <c r="D194" s="85" t="s">
        <v>10</v>
      </c>
      <c r="E194" s="88">
        <v>337</v>
      </c>
      <c r="F194" s="3">
        <v>1</v>
      </c>
      <c r="G194" s="3">
        <v>22</v>
      </c>
      <c r="H194" s="485">
        <v>2380</v>
      </c>
      <c r="I194" s="486">
        <v>595</v>
      </c>
      <c r="J194" s="186">
        <f t="shared" si="14"/>
        <v>595</v>
      </c>
      <c r="K194" s="234">
        <f t="shared" si="13"/>
        <v>4</v>
      </c>
      <c r="L194" s="30">
        <v>19676376</v>
      </c>
      <c r="M194" s="29">
        <v>2105595</v>
      </c>
      <c r="N194" s="76">
        <f>L194/M194</f>
        <v>9.344805625013358</v>
      </c>
      <c r="O194" s="433">
        <v>184</v>
      </c>
    </row>
    <row r="195" spans="1:15" s="68" customFormat="1" ht="12" customHeight="1">
      <c r="A195" s="433">
        <v>185</v>
      </c>
      <c r="B195" s="152" t="s">
        <v>139</v>
      </c>
      <c r="C195" s="2">
        <v>40515</v>
      </c>
      <c r="D195" s="9" t="s">
        <v>10</v>
      </c>
      <c r="E195" s="3">
        <v>337</v>
      </c>
      <c r="F195" s="3">
        <v>1</v>
      </c>
      <c r="G195" s="3">
        <v>19</v>
      </c>
      <c r="H195" s="485">
        <v>2380</v>
      </c>
      <c r="I195" s="486">
        <v>595</v>
      </c>
      <c r="J195" s="80">
        <f t="shared" si="14"/>
        <v>595</v>
      </c>
      <c r="K195" s="155">
        <f t="shared" si="13"/>
        <v>4</v>
      </c>
      <c r="L195" s="30">
        <v>19664476</v>
      </c>
      <c r="M195" s="29">
        <v>2102620</v>
      </c>
      <c r="N195" s="153">
        <f>+L195/M195</f>
        <v>9.352367998021515</v>
      </c>
      <c r="O195" s="433">
        <v>185</v>
      </c>
    </row>
    <row r="196" spans="1:15" s="68" customFormat="1" ht="12" customHeight="1">
      <c r="A196" s="433">
        <v>186</v>
      </c>
      <c r="B196" s="154" t="s">
        <v>387</v>
      </c>
      <c r="C196" s="371">
        <v>40466</v>
      </c>
      <c r="D196" s="346" t="s">
        <v>10</v>
      </c>
      <c r="E196" s="12">
        <v>135</v>
      </c>
      <c r="F196" s="12">
        <v>1</v>
      </c>
      <c r="G196" s="12">
        <v>12</v>
      </c>
      <c r="H196" s="483">
        <v>2380</v>
      </c>
      <c r="I196" s="484">
        <v>595</v>
      </c>
      <c r="J196" s="186">
        <f t="shared" si="14"/>
        <v>595</v>
      </c>
      <c r="K196" s="234">
        <f t="shared" si="13"/>
        <v>4</v>
      </c>
      <c r="L196" s="156">
        <v>942993</v>
      </c>
      <c r="M196" s="236">
        <v>104295</v>
      </c>
      <c r="N196" s="244">
        <f>+L196/M196</f>
        <v>9.041593556738098</v>
      </c>
      <c r="O196" s="433">
        <v>186</v>
      </c>
    </row>
    <row r="197" spans="1:15" s="68" customFormat="1" ht="12" customHeight="1">
      <c r="A197" s="433">
        <v>187</v>
      </c>
      <c r="B197" s="152" t="s">
        <v>139</v>
      </c>
      <c r="C197" s="2">
        <v>40515</v>
      </c>
      <c r="D197" s="10" t="s">
        <v>10</v>
      </c>
      <c r="E197" s="4">
        <v>337</v>
      </c>
      <c r="F197" s="4">
        <v>1</v>
      </c>
      <c r="G197" s="4">
        <v>16</v>
      </c>
      <c r="H197" s="485">
        <v>2380</v>
      </c>
      <c r="I197" s="486">
        <v>476</v>
      </c>
      <c r="J197" s="80">
        <f t="shared" si="14"/>
        <v>476</v>
      </c>
      <c r="K197" s="158">
        <f t="shared" si="13"/>
        <v>5</v>
      </c>
      <c r="L197" s="30">
        <v>19645429</v>
      </c>
      <c r="M197" s="29">
        <v>2098222</v>
      </c>
      <c r="N197" s="153">
        <f>+L197/M197</f>
        <v>9.362893440255608</v>
      </c>
      <c r="O197" s="433">
        <v>187</v>
      </c>
    </row>
    <row r="198" spans="1:15" s="68" customFormat="1" ht="12" customHeight="1">
      <c r="A198" s="433">
        <v>188</v>
      </c>
      <c r="B198" s="152" t="s">
        <v>139</v>
      </c>
      <c r="C198" s="2">
        <v>40515</v>
      </c>
      <c r="D198" s="9" t="s">
        <v>10</v>
      </c>
      <c r="E198" s="3">
        <v>337</v>
      </c>
      <c r="F198" s="3">
        <v>1</v>
      </c>
      <c r="G198" s="3">
        <v>15</v>
      </c>
      <c r="H198" s="485">
        <v>2380</v>
      </c>
      <c r="I198" s="486">
        <v>476</v>
      </c>
      <c r="J198" s="80">
        <f t="shared" si="14"/>
        <v>476</v>
      </c>
      <c r="K198" s="141">
        <f t="shared" si="13"/>
        <v>5</v>
      </c>
      <c r="L198" s="30">
        <v>19643049</v>
      </c>
      <c r="M198" s="29">
        <v>2097746</v>
      </c>
      <c r="N198" s="153">
        <f>+L198/M198</f>
        <v>9.363883425352736</v>
      </c>
      <c r="O198" s="433">
        <v>188</v>
      </c>
    </row>
    <row r="199" spans="1:15" s="68" customFormat="1" ht="12" customHeight="1">
      <c r="A199" s="433">
        <v>189</v>
      </c>
      <c r="B199" s="152" t="s">
        <v>139</v>
      </c>
      <c r="C199" s="2">
        <v>40515</v>
      </c>
      <c r="D199" s="10" t="s">
        <v>10</v>
      </c>
      <c r="E199" s="4">
        <v>337</v>
      </c>
      <c r="F199" s="4">
        <v>1</v>
      </c>
      <c r="G199" s="4">
        <v>13</v>
      </c>
      <c r="H199" s="483">
        <v>2380</v>
      </c>
      <c r="I199" s="484">
        <v>476</v>
      </c>
      <c r="J199" s="401">
        <f t="shared" si="14"/>
        <v>476</v>
      </c>
      <c r="K199" s="155">
        <f t="shared" si="13"/>
        <v>5</v>
      </c>
      <c r="L199" s="156">
        <v>19638888</v>
      </c>
      <c r="M199" s="236">
        <v>2095964</v>
      </c>
      <c r="N199" s="153">
        <f>+L199/M199</f>
        <v>9.369859405982163</v>
      </c>
      <c r="O199" s="433">
        <v>189</v>
      </c>
    </row>
    <row r="200" spans="1:15" s="68" customFormat="1" ht="12" customHeight="1">
      <c r="A200" s="433">
        <v>190</v>
      </c>
      <c r="B200" s="348" t="s">
        <v>131</v>
      </c>
      <c r="C200" s="307">
        <v>40459</v>
      </c>
      <c r="D200" s="85" t="s">
        <v>30</v>
      </c>
      <c r="E200" s="309">
        <v>142</v>
      </c>
      <c r="F200" s="144">
        <v>1</v>
      </c>
      <c r="G200" s="309">
        <v>21</v>
      </c>
      <c r="H200" s="477">
        <v>2376</v>
      </c>
      <c r="I200" s="478">
        <v>594</v>
      </c>
      <c r="J200" s="72">
        <f t="shared" si="14"/>
        <v>594</v>
      </c>
      <c r="K200" s="73">
        <f t="shared" si="13"/>
        <v>4</v>
      </c>
      <c r="L200" s="8">
        <f>569713+434829.5+295345.5+223420+26108+12415.5+5998+1904+1368+799+648+306+1782+594+1782+1425.5+3089+151+1188+1188+2376</f>
        <v>1586430</v>
      </c>
      <c r="M200" s="7">
        <f>61050+47827+36467+29781+4601+2405+1000+284+287+123+103+51+445+113+446+267+708+24+297+287+594</f>
        <v>187160</v>
      </c>
      <c r="N200" s="76">
        <f>L200/M200</f>
        <v>8.4763304124813</v>
      </c>
      <c r="O200" s="433">
        <v>190</v>
      </c>
    </row>
    <row r="201" spans="1:15" s="68" customFormat="1" ht="12" customHeight="1">
      <c r="A201" s="433">
        <v>191</v>
      </c>
      <c r="B201" s="332" t="s">
        <v>282</v>
      </c>
      <c r="C201" s="143">
        <v>40368</v>
      </c>
      <c r="D201" s="85" t="s">
        <v>30</v>
      </c>
      <c r="E201" s="144">
        <v>126</v>
      </c>
      <c r="F201" s="144">
        <v>1</v>
      </c>
      <c r="G201" s="144">
        <v>26</v>
      </c>
      <c r="H201" s="477">
        <v>2376</v>
      </c>
      <c r="I201" s="478">
        <v>594</v>
      </c>
      <c r="J201" s="186">
        <f t="shared" si="14"/>
        <v>594</v>
      </c>
      <c r="K201" s="234">
        <f t="shared" si="13"/>
        <v>4</v>
      </c>
      <c r="L201" s="8">
        <f>2106797.5+50230.5+32558.5+15249.5+15137+17418.5+7784.5+2808+2841.5+1328+2453+1693+613+726+713+1425.5+1782+1437+1782+2376+1544.5+2376</f>
        <v>2271074.5</v>
      </c>
      <c r="M201" s="7">
        <f>220679+7944+5486+2451+2714+3159+1414+494+658+202+452+398+85+227+178+356+445+228+445+594+386+594</f>
        <v>249589</v>
      </c>
      <c r="N201" s="76">
        <f>+L201/M201</f>
        <v>9.09925717880195</v>
      </c>
      <c r="O201" s="433">
        <v>191</v>
      </c>
    </row>
    <row r="202" spans="1:15" s="68" customFormat="1" ht="12" customHeight="1">
      <c r="A202" s="433">
        <v>192</v>
      </c>
      <c r="B202" s="306" t="s">
        <v>282</v>
      </c>
      <c r="C202" s="307">
        <v>40368</v>
      </c>
      <c r="D202" s="85" t="s">
        <v>30</v>
      </c>
      <c r="E202" s="309">
        <v>126</v>
      </c>
      <c r="F202" s="144">
        <v>1</v>
      </c>
      <c r="G202" s="245">
        <v>24</v>
      </c>
      <c r="H202" s="477">
        <v>2376</v>
      </c>
      <c r="I202" s="478">
        <v>594</v>
      </c>
      <c r="J202" s="72">
        <f t="shared" si="14"/>
        <v>594</v>
      </c>
      <c r="K202" s="73">
        <f t="shared" si="13"/>
        <v>4</v>
      </c>
      <c r="L202" s="8">
        <f>2106797.5+50230.5+32558.5+15249.5+15137+17418.5+7784.5+2808+2841.5+1328+2453+1693+613+726+713+1425.5+1782+1437+1782+2376</f>
        <v>2267154</v>
      </c>
      <c r="M202" s="7">
        <f>220679+7944+5486+2451+2714+3159+1414+494+658+202+452+398+85+227+178+356+445+228+445+594</f>
        <v>248609</v>
      </c>
      <c r="N202" s="76">
        <f>L202/M202</f>
        <v>9.11935609732552</v>
      </c>
      <c r="O202" s="433">
        <v>192</v>
      </c>
    </row>
    <row r="203" spans="1:15" s="68" customFormat="1" ht="12" customHeight="1">
      <c r="A203" s="433">
        <v>193</v>
      </c>
      <c r="B203" s="198" t="s">
        <v>154</v>
      </c>
      <c r="C203" s="22">
        <v>39941</v>
      </c>
      <c r="D203" s="20" t="s">
        <v>30</v>
      </c>
      <c r="E203" s="23">
        <v>26</v>
      </c>
      <c r="F203" s="23">
        <v>1</v>
      </c>
      <c r="G203" s="23">
        <v>26</v>
      </c>
      <c r="H203" s="477">
        <v>2376</v>
      </c>
      <c r="I203" s="478">
        <v>594</v>
      </c>
      <c r="J203" s="81">
        <f>(I203/F203)</f>
        <v>594</v>
      </c>
      <c r="K203" s="134">
        <f t="shared" si="13"/>
        <v>4</v>
      </c>
      <c r="L203" s="8">
        <f>36482.75+16583.5+5922.75+3249+4769+4925+4199.5+5525+366+924+414+2215+2444+33+1987+838+1440+537+604+3792+2376+1780+3800+2376+310.7+381.86+2376</f>
        <v>110651.06</v>
      </c>
      <c r="M203" s="7">
        <f>4495+1934+744+517+1003+1215+722+968+65+193+83+369+384+5+336+159+238+83+151+948+594+445+950+594+72+92+594</f>
        <v>17953</v>
      </c>
      <c r="N203" s="135">
        <f>L203/M203</f>
        <v>6.163374366401158</v>
      </c>
      <c r="O203" s="433">
        <v>193</v>
      </c>
    </row>
    <row r="204" spans="1:15" s="68" customFormat="1" ht="12" customHeight="1">
      <c r="A204" s="433">
        <v>194</v>
      </c>
      <c r="B204" s="335" t="s">
        <v>386</v>
      </c>
      <c r="C204" s="360">
        <v>39801</v>
      </c>
      <c r="D204" s="345" t="s">
        <v>30</v>
      </c>
      <c r="E204" s="21">
        <v>42</v>
      </c>
      <c r="F204" s="21">
        <v>1</v>
      </c>
      <c r="G204" s="21">
        <v>43</v>
      </c>
      <c r="H204" s="675">
        <v>2376</v>
      </c>
      <c r="I204" s="676">
        <v>594</v>
      </c>
      <c r="J204" s="186">
        <f>I204/F204</f>
        <v>594</v>
      </c>
      <c r="K204" s="161">
        <f t="shared" si="13"/>
        <v>4</v>
      </c>
      <c r="L204" s="16">
        <f>295344+204961.5+145464.5+116108.5+111972.5+49984+26327+32042+18579+20005+19180+15980+2686.5+3166.5+366+13433+4493+735.5+607.5+2528+83+198+248+2348+825+2700+2268+393+2002+2063+343+1188+2020+398.46+291.4+240.58+592+2376+1308+1780+1188+712+2376</f>
        <v>1111905.44</v>
      </c>
      <c r="M204" s="17">
        <f>36142+24747+19417+15404+14719+7567+3314+5289+3173+3275+3534+2826+540+724+52+2536+882+130+150+615+21+66+51+497+165+675+506+78+241+404+59+297+505+86+63+59+148+594+327+445+297+178+594</f>
        <v>151392</v>
      </c>
      <c r="N204" s="216">
        <f>+L204/M204</f>
        <v>7.344545550623547</v>
      </c>
      <c r="O204" s="433">
        <v>194</v>
      </c>
    </row>
    <row r="205" spans="1:15" s="68" customFormat="1" ht="12" customHeight="1">
      <c r="A205" s="433">
        <v>195</v>
      </c>
      <c r="B205" s="335" t="s">
        <v>814</v>
      </c>
      <c r="C205" s="360">
        <v>40109</v>
      </c>
      <c r="D205" s="345" t="s">
        <v>30</v>
      </c>
      <c r="E205" s="21">
        <v>25</v>
      </c>
      <c r="F205" s="21">
        <v>1</v>
      </c>
      <c r="G205" s="21">
        <v>27</v>
      </c>
      <c r="H205" s="675">
        <v>2376</v>
      </c>
      <c r="I205" s="676">
        <v>594</v>
      </c>
      <c r="J205" s="186">
        <f>I205/F205</f>
        <v>594</v>
      </c>
      <c r="K205" s="161">
        <f t="shared" si="13"/>
        <v>4</v>
      </c>
      <c r="L205" s="16">
        <f>601657.24+2020+2376</f>
        <v>606053.24</v>
      </c>
      <c r="M205" s="17">
        <f>90424+505+594</f>
        <v>91523</v>
      </c>
      <c r="N205" s="216">
        <f>+L205/M205</f>
        <v>6.621868164286573</v>
      </c>
      <c r="O205" s="433">
        <v>195</v>
      </c>
    </row>
    <row r="206" spans="1:15" s="68" customFormat="1" ht="12" customHeight="1">
      <c r="A206" s="433">
        <v>196</v>
      </c>
      <c r="B206" s="157" t="s">
        <v>432</v>
      </c>
      <c r="C206" s="2">
        <v>39402</v>
      </c>
      <c r="D206" s="345" t="s">
        <v>21</v>
      </c>
      <c r="E206" s="4">
        <v>165</v>
      </c>
      <c r="F206" s="3">
        <v>1</v>
      </c>
      <c r="G206" s="3">
        <v>52</v>
      </c>
      <c r="H206" s="487">
        <v>2376</v>
      </c>
      <c r="I206" s="488">
        <v>475</v>
      </c>
      <c r="J206" s="72">
        <f>I206/F206</f>
        <v>475</v>
      </c>
      <c r="K206" s="159">
        <f t="shared" si="13"/>
        <v>5.002105263157895</v>
      </c>
      <c r="L206" s="25">
        <v>14657213.5</v>
      </c>
      <c r="M206" s="28">
        <f>2032410+475</f>
        <v>2032885</v>
      </c>
      <c r="N206" s="160">
        <f>+L206/M206</f>
        <v>7.210055413857646</v>
      </c>
      <c r="O206" s="433">
        <v>196</v>
      </c>
    </row>
    <row r="207" spans="1:15" s="68" customFormat="1" ht="12" customHeight="1">
      <c r="A207" s="433">
        <v>197</v>
      </c>
      <c r="B207" s="281" t="s">
        <v>232</v>
      </c>
      <c r="C207" s="205">
        <v>40242</v>
      </c>
      <c r="D207" s="85" t="s">
        <v>21</v>
      </c>
      <c r="E207" s="206">
        <v>125</v>
      </c>
      <c r="F207" s="206">
        <v>1</v>
      </c>
      <c r="G207" s="280">
        <v>24</v>
      </c>
      <c r="H207" s="487">
        <v>2376</v>
      </c>
      <c r="I207" s="488">
        <v>475</v>
      </c>
      <c r="J207" s="72">
        <f>I207/F207</f>
        <v>475</v>
      </c>
      <c r="K207" s="73">
        <f t="shared" si="13"/>
        <v>5.002105263157895</v>
      </c>
      <c r="L207" s="25">
        <f>3052174.5+368+334+926+8316+2376</f>
        <v>3064494.5</v>
      </c>
      <c r="M207" s="28">
        <f>484917+57+56+140+1663+475</f>
        <v>487308</v>
      </c>
      <c r="N207" s="74">
        <f>+L207/M207</f>
        <v>6.288619312631846</v>
      </c>
      <c r="O207" s="433">
        <v>197</v>
      </c>
    </row>
    <row r="208" spans="1:15" s="68" customFormat="1" ht="12" customHeight="1">
      <c r="A208" s="433">
        <v>198</v>
      </c>
      <c r="B208" s="152" t="s">
        <v>322</v>
      </c>
      <c r="C208" s="2">
        <v>40312</v>
      </c>
      <c r="D208" s="9" t="s">
        <v>21</v>
      </c>
      <c r="E208" s="3">
        <v>64</v>
      </c>
      <c r="F208" s="3">
        <v>1</v>
      </c>
      <c r="G208" s="3">
        <v>22</v>
      </c>
      <c r="H208" s="487">
        <v>2376</v>
      </c>
      <c r="I208" s="488">
        <v>475</v>
      </c>
      <c r="J208" s="72">
        <f>IF(H208&lt;&gt;0,I208/F208,"")</f>
        <v>475</v>
      </c>
      <c r="K208" s="159">
        <f>IF(H208&lt;&gt;0,H208/I208,"")</f>
        <v>5.002105263157895</v>
      </c>
      <c r="L208" s="25">
        <f>384993+315+150+24+2376</f>
        <v>387858</v>
      </c>
      <c r="M208" s="28">
        <f>43717+38+25+4+475</f>
        <v>44259</v>
      </c>
      <c r="N208" s="160">
        <f>IF(L208&lt;&gt;0,L208/M208,"")</f>
        <v>8.76337016200095</v>
      </c>
      <c r="O208" s="433">
        <v>198</v>
      </c>
    </row>
    <row r="209" spans="1:15" s="68" customFormat="1" ht="12" customHeight="1">
      <c r="A209" s="433">
        <v>199</v>
      </c>
      <c r="B209" s="208" t="s">
        <v>338</v>
      </c>
      <c r="C209" s="84">
        <v>40263</v>
      </c>
      <c r="D209" s="85" t="s">
        <v>21</v>
      </c>
      <c r="E209" s="3">
        <v>286</v>
      </c>
      <c r="F209" s="3">
        <v>1</v>
      </c>
      <c r="G209" s="3">
        <v>25</v>
      </c>
      <c r="H209" s="487">
        <v>2376</v>
      </c>
      <c r="I209" s="488">
        <v>396</v>
      </c>
      <c r="J209" s="72">
        <f>I209/F209</f>
        <v>396</v>
      </c>
      <c r="K209" s="73">
        <f>H209/I209</f>
        <v>6</v>
      </c>
      <c r="L209" s="25">
        <f>9497151+1588+2376</f>
        <v>9501115</v>
      </c>
      <c r="M209" s="28">
        <f>1141258+190+396</f>
        <v>1141844</v>
      </c>
      <c r="N209" s="74">
        <f>+L209/M209</f>
        <v>8.320852060351502</v>
      </c>
      <c r="O209" s="433">
        <v>199</v>
      </c>
    </row>
    <row r="210" spans="1:15" s="68" customFormat="1" ht="12" customHeight="1">
      <c r="A210" s="433">
        <v>200</v>
      </c>
      <c r="B210" s="157" t="s">
        <v>318</v>
      </c>
      <c r="C210" s="2">
        <v>40480</v>
      </c>
      <c r="D210" s="11" t="s">
        <v>8</v>
      </c>
      <c r="E210" s="4">
        <v>21</v>
      </c>
      <c r="F210" s="4">
        <v>2</v>
      </c>
      <c r="G210" s="4">
        <v>17</v>
      </c>
      <c r="H210" s="498">
        <v>2367</v>
      </c>
      <c r="I210" s="499">
        <v>314</v>
      </c>
      <c r="J210" s="72">
        <f>+I210/F210</f>
        <v>157</v>
      </c>
      <c r="K210" s="159">
        <f>+H210/I210</f>
        <v>7.538216560509555</v>
      </c>
      <c r="L210" s="5">
        <v>306226</v>
      </c>
      <c r="M210" s="6">
        <v>28236</v>
      </c>
      <c r="N210" s="160">
        <f>+L210/M210</f>
        <v>10.84523303584077</v>
      </c>
      <c r="O210" s="433">
        <v>200</v>
      </c>
    </row>
    <row r="211" spans="1:15" s="68" customFormat="1" ht="12" customHeight="1">
      <c r="A211" s="433">
        <v>201</v>
      </c>
      <c r="B211" s="154" t="s">
        <v>159</v>
      </c>
      <c r="C211" s="2">
        <v>40529</v>
      </c>
      <c r="D211" s="9" t="s">
        <v>21</v>
      </c>
      <c r="E211" s="3">
        <v>134</v>
      </c>
      <c r="F211" s="3">
        <v>6</v>
      </c>
      <c r="G211" s="3">
        <v>6</v>
      </c>
      <c r="H211" s="487">
        <v>2363</v>
      </c>
      <c r="I211" s="488">
        <v>361</v>
      </c>
      <c r="J211" s="72">
        <f>IF(H211&lt;&gt;0,I211/F211,"")</f>
        <v>60.166666666666664</v>
      </c>
      <c r="K211" s="159">
        <f>IF(H211&lt;&gt;0,H211/I211,"")</f>
        <v>6.545706371191136</v>
      </c>
      <c r="L211" s="25">
        <f>415183+3929+3246+2363</f>
        <v>424721</v>
      </c>
      <c r="M211" s="28">
        <f>52315+638+476+361</f>
        <v>53790</v>
      </c>
      <c r="N211" s="160">
        <f>IF(L211&lt;&gt;0,L211/M211,"")</f>
        <v>7.8959100204498975</v>
      </c>
      <c r="O211" s="433">
        <v>201</v>
      </c>
    </row>
    <row r="212" spans="1:15" s="68" customFormat="1" ht="12" customHeight="1">
      <c r="A212" s="433">
        <v>202</v>
      </c>
      <c r="B212" s="152" t="s">
        <v>306</v>
      </c>
      <c r="C212" s="2">
        <v>40494</v>
      </c>
      <c r="D212" s="12" t="s">
        <v>10</v>
      </c>
      <c r="E212" s="3">
        <v>144</v>
      </c>
      <c r="F212" s="3">
        <v>3</v>
      </c>
      <c r="G212" s="3">
        <v>9</v>
      </c>
      <c r="H212" s="485">
        <v>2362</v>
      </c>
      <c r="I212" s="486">
        <v>525</v>
      </c>
      <c r="J212" s="80">
        <f aca="true" t="shared" si="15" ref="J212:J217">I212/F212</f>
        <v>175</v>
      </c>
      <c r="K212" s="141">
        <f aca="true" t="shared" si="16" ref="K212:K223">H212/I212</f>
        <v>4.499047619047619</v>
      </c>
      <c r="L212" s="30">
        <v>6058354</v>
      </c>
      <c r="M212" s="29">
        <v>522293</v>
      </c>
      <c r="N212" s="153">
        <f aca="true" t="shared" si="17" ref="N212:N217">+L212/M212</f>
        <v>11.599531297566692</v>
      </c>
      <c r="O212" s="433">
        <v>202</v>
      </c>
    </row>
    <row r="213" spans="1:15" s="68" customFormat="1" ht="12" customHeight="1">
      <c r="A213" s="433">
        <v>203</v>
      </c>
      <c r="B213" s="152" t="s">
        <v>287</v>
      </c>
      <c r="C213" s="2">
        <v>40529</v>
      </c>
      <c r="D213" s="9" t="s">
        <v>10</v>
      </c>
      <c r="E213" s="3">
        <v>72</v>
      </c>
      <c r="F213" s="3">
        <v>4</v>
      </c>
      <c r="G213" s="3">
        <v>7</v>
      </c>
      <c r="H213" s="485">
        <v>2361</v>
      </c>
      <c r="I213" s="486">
        <v>403</v>
      </c>
      <c r="J213" s="80">
        <f t="shared" si="15"/>
        <v>100.75</v>
      </c>
      <c r="K213" s="141">
        <f t="shared" si="16"/>
        <v>5.858560794044665</v>
      </c>
      <c r="L213" s="30">
        <v>919279</v>
      </c>
      <c r="M213" s="29">
        <v>84735</v>
      </c>
      <c r="N213" s="153">
        <f t="shared" si="17"/>
        <v>10.848870006490824</v>
      </c>
      <c r="O213" s="433">
        <v>203</v>
      </c>
    </row>
    <row r="214" spans="1:15" s="68" customFormat="1" ht="12" customHeight="1">
      <c r="A214" s="433">
        <v>204</v>
      </c>
      <c r="B214" s="311" t="s">
        <v>318</v>
      </c>
      <c r="C214" s="84">
        <v>40480</v>
      </c>
      <c r="D214" s="87" t="s">
        <v>8</v>
      </c>
      <c r="E214" s="88">
        <v>21</v>
      </c>
      <c r="F214" s="88">
        <v>3</v>
      </c>
      <c r="G214" s="88">
        <v>22</v>
      </c>
      <c r="H214" s="487">
        <v>2357</v>
      </c>
      <c r="I214" s="488">
        <v>335</v>
      </c>
      <c r="J214" s="72">
        <f t="shared" si="15"/>
        <v>111.66666666666667</v>
      </c>
      <c r="K214" s="73">
        <f t="shared" si="16"/>
        <v>7.035820895522388</v>
      </c>
      <c r="L214" s="25">
        <v>320593</v>
      </c>
      <c r="M214" s="27">
        <v>30325</v>
      </c>
      <c r="N214" s="74">
        <f t="shared" si="17"/>
        <v>10.571904369332234</v>
      </c>
      <c r="O214" s="433">
        <v>204</v>
      </c>
    </row>
    <row r="215" spans="1:15" s="68" customFormat="1" ht="12" customHeight="1">
      <c r="A215" s="433">
        <v>205</v>
      </c>
      <c r="B215" s="157" t="s">
        <v>142</v>
      </c>
      <c r="C215" s="2">
        <v>40529</v>
      </c>
      <c r="D215" s="10" t="s">
        <v>134</v>
      </c>
      <c r="E215" s="4">
        <v>81</v>
      </c>
      <c r="F215" s="4">
        <v>2</v>
      </c>
      <c r="G215" s="4">
        <v>7</v>
      </c>
      <c r="H215" s="494">
        <v>2351</v>
      </c>
      <c r="I215" s="493">
        <v>769</v>
      </c>
      <c r="J215" s="168">
        <f t="shared" si="15"/>
        <v>384.5</v>
      </c>
      <c r="K215" s="169">
        <f t="shared" si="16"/>
        <v>3.057217165149545</v>
      </c>
      <c r="L215" s="170">
        <v>483585</v>
      </c>
      <c r="M215" s="171">
        <v>58275</v>
      </c>
      <c r="N215" s="153">
        <f t="shared" si="17"/>
        <v>8.298326898326899</v>
      </c>
      <c r="O215" s="433">
        <v>205</v>
      </c>
    </row>
    <row r="216" spans="1:15" s="68" customFormat="1" ht="12" customHeight="1">
      <c r="A216" s="433">
        <v>206</v>
      </c>
      <c r="B216" s="152" t="s">
        <v>324</v>
      </c>
      <c r="C216" s="2">
        <v>40536</v>
      </c>
      <c r="D216" s="9" t="s">
        <v>10</v>
      </c>
      <c r="E216" s="3">
        <v>48</v>
      </c>
      <c r="F216" s="3">
        <v>3</v>
      </c>
      <c r="G216" s="3">
        <v>6</v>
      </c>
      <c r="H216" s="485">
        <v>2270</v>
      </c>
      <c r="I216" s="486">
        <v>656</v>
      </c>
      <c r="J216" s="80">
        <f t="shared" si="15"/>
        <v>218.66666666666666</v>
      </c>
      <c r="K216" s="141">
        <f t="shared" si="16"/>
        <v>3.4603658536585367</v>
      </c>
      <c r="L216" s="30">
        <v>694197</v>
      </c>
      <c r="M216" s="29">
        <v>61108</v>
      </c>
      <c r="N216" s="153">
        <f t="shared" si="17"/>
        <v>11.360165608430975</v>
      </c>
      <c r="O216" s="433">
        <v>206</v>
      </c>
    </row>
    <row r="217" spans="1:15" s="68" customFormat="1" ht="12" customHeight="1">
      <c r="A217" s="433">
        <v>207</v>
      </c>
      <c r="B217" s="157" t="s">
        <v>324</v>
      </c>
      <c r="C217" s="2">
        <v>40536</v>
      </c>
      <c r="D217" s="10" t="s">
        <v>10</v>
      </c>
      <c r="E217" s="4">
        <v>48</v>
      </c>
      <c r="F217" s="4">
        <v>2</v>
      </c>
      <c r="G217" s="4">
        <v>11</v>
      </c>
      <c r="H217" s="485">
        <v>2258</v>
      </c>
      <c r="I217" s="486">
        <v>388</v>
      </c>
      <c r="J217" s="80">
        <f t="shared" si="15"/>
        <v>194</v>
      </c>
      <c r="K217" s="158">
        <f t="shared" si="16"/>
        <v>5.819587628865979</v>
      </c>
      <c r="L217" s="30">
        <v>706152</v>
      </c>
      <c r="M217" s="29">
        <v>63570</v>
      </c>
      <c r="N217" s="153">
        <f t="shared" si="17"/>
        <v>11.10825861255309</v>
      </c>
      <c r="O217" s="433">
        <v>207</v>
      </c>
    </row>
    <row r="218" spans="1:15" s="68" customFormat="1" ht="12" customHeight="1">
      <c r="A218" s="433">
        <v>208</v>
      </c>
      <c r="B218" s="136" t="s">
        <v>257</v>
      </c>
      <c r="C218" s="22">
        <v>40473</v>
      </c>
      <c r="D218" s="137" t="s">
        <v>30</v>
      </c>
      <c r="E218" s="23">
        <v>28</v>
      </c>
      <c r="F218" s="23">
        <v>3</v>
      </c>
      <c r="G218" s="23">
        <v>11</v>
      </c>
      <c r="H218" s="479">
        <v>2166</v>
      </c>
      <c r="I218" s="478">
        <v>302</v>
      </c>
      <c r="J218" s="81">
        <f>(I218/F218)</f>
        <v>100.66666666666667</v>
      </c>
      <c r="K218" s="138">
        <f t="shared" si="16"/>
        <v>7.172185430463577</v>
      </c>
      <c r="L218" s="16">
        <f>152569.5+122205.5+10562+6863.5+9619+5655+1726.5+3593+4508+310+2166</f>
        <v>319778</v>
      </c>
      <c r="M218" s="7">
        <f>12992+10278+1201+886+1535+877+246+644+1351+56+302</f>
        <v>30368</v>
      </c>
      <c r="N218" s="135">
        <f>L218/M218</f>
        <v>10.53009747102213</v>
      </c>
      <c r="O218" s="433">
        <v>208</v>
      </c>
    </row>
    <row r="219" spans="1:15" s="68" customFormat="1" ht="12" customHeight="1">
      <c r="A219" s="433">
        <v>209</v>
      </c>
      <c r="B219" s="208" t="s">
        <v>311</v>
      </c>
      <c r="C219" s="84">
        <v>40536</v>
      </c>
      <c r="D219" s="85" t="s">
        <v>23</v>
      </c>
      <c r="E219" s="86">
        <v>112</v>
      </c>
      <c r="F219" s="86">
        <v>1</v>
      </c>
      <c r="G219" s="86">
        <v>23</v>
      </c>
      <c r="H219" s="467">
        <v>2151</v>
      </c>
      <c r="I219" s="468">
        <v>326</v>
      </c>
      <c r="J219" s="186">
        <f>I219/F219</f>
        <v>326</v>
      </c>
      <c r="K219" s="234">
        <f t="shared" si="16"/>
        <v>6.598159509202454</v>
      </c>
      <c r="L219" s="18">
        <v>2759090</v>
      </c>
      <c r="M219" s="19">
        <v>247200</v>
      </c>
      <c r="N219" s="244">
        <f>+L219/M219</f>
        <v>11.161367313915857</v>
      </c>
      <c r="O219" s="433">
        <v>209</v>
      </c>
    </row>
    <row r="220" spans="1:15" s="68" customFormat="1" ht="12" customHeight="1">
      <c r="A220" s="433">
        <v>210</v>
      </c>
      <c r="B220" s="133" t="s">
        <v>147</v>
      </c>
      <c r="C220" s="22">
        <v>39899</v>
      </c>
      <c r="D220" s="137" t="s">
        <v>30</v>
      </c>
      <c r="E220" s="23">
        <v>16</v>
      </c>
      <c r="F220" s="23">
        <v>1</v>
      </c>
      <c r="G220" s="23">
        <v>22</v>
      </c>
      <c r="H220" s="477">
        <v>2140</v>
      </c>
      <c r="I220" s="478">
        <v>535</v>
      </c>
      <c r="J220" s="81">
        <f>(I220/F220)</f>
        <v>535</v>
      </c>
      <c r="K220" s="134">
        <f t="shared" si="16"/>
        <v>4</v>
      </c>
      <c r="L220" s="8">
        <f>31480+15536+8716+2149+2897+1360+2390+1251+322+381+329+492+928+436+1103+1913+46+240+669.28+648.46+226+2140</f>
        <v>75652.74</v>
      </c>
      <c r="M220" s="7">
        <f>3450+1778+1361+440+508+248+548+290+68+72+58+96+96+70+137+309+9+48+150+151+48+535</f>
        <v>10470</v>
      </c>
      <c r="N220" s="135">
        <f>L220/M220</f>
        <v>7.225667621776505</v>
      </c>
      <c r="O220" s="433">
        <v>210</v>
      </c>
    </row>
    <row r="221" spans="1:15" s="68" customFormat="1" ht="12" customHeight="1">
      <c r="A221" s="433">
        <v>211</v>
      </c>
      <c r="B221" s="301" t="s">
        <v>285</v>
      </c>
      <c r="C221" s="395">
        <v>40438</v>
      </c>
      <c r="D221" s="345" t="s">
        <v>30</v>
      </c>
      <c r="E221" s="394">
        <v>19</v>
      </c>
      <c r="F221" s="394">
        <v>1</v>
      </c>
      <c r="G221" s="394">
        <v>16</v>
      </c>
      <c r="H221" s="469">
        <v>2138.5</v>
      </c>
      <c r="I221" s="470">
        <v>535</v>
      </c>
      <c r="J221" s="186">
        <f>I221/F221</f>
        <v>535</v>
      </c>
      <c r="K221" s="161">
        <f t="shared" si="16"/>
        <v>3.997196261682243</v>
      </c>
      <c r="L221" s="16">
        <f>56752.5+38871+22868.5+4839+2786+2829.5+8012+670+1368+140+42+628+1188+1425.5+140+2138.5</f>
        <v>144698.5</v>
      </c>
      <c r="M221" s="17">
        <f>4639+3072+2103+531+316+368+936+83+203+20+6+98+297+356+14+535</f>
        <v>13577</v>
      </c>
      <c r="N221" s="216">
        <f>+L221/M221</f>
        <v>10.657619503572217</v>
      </c>
      <c r="O221" s="433">
        <v>211</v>
      </c>
    </row>
    <row r="222" spans="1:15" s="68" customFormat="1" ht="12" customHeight="1">
      <c r="A222" s="433">
        <v>212</v>
      </c>
      <c r="B222" s="133" t="s">
        <v>315</v>
      </c>
      <c r="C222" s="22">
        <v>40151</v>
      </c>
      <c r="D222" s="20" t="s">
        <v>30</v>
      </c>
      <c r="E222" s="23">
        <v>2</v>
      </c>
      <c r="F222" s="23">
        <v>1</v>
      </c>
      <c r="G222" s="23">
        <v>10</v>
      </c>
      <c r="H222" s="477">
        <v>2138.5</v>
      </c>
      <c r="I222" s="478">
        <v>534</v>
      </c>
      <c r="J222" s="81">
        <f>(I222/F222)</f>
        <v>534</v>
      </c>
      <c r="K222" s="134">
        <f t="shared" si="16"/>
        <v>4.004681647940075</v>
      </c>
      <c r="L222" s="8">
        <f>14952+6112+2196+2975+2853+674+1006+530+2139+2138.5</f>
        <v>35575.5</v>
      </c>
      <c r="M222" s="7">
        <f>1468+666+254+478+502+81+130+107+535+534</f>
        <v>4755</v>
      </c>
      <c r="N222" s="135">
        <f>L222/M222</f>
        <v>7.481703470031546</v>
      </c>
      <c r="O222" s="433">
        <v>212</v>
      </c>
    </row>
    <row r="223" spans="1:15" s="68" customFormat="1" ht="12" customHeight="1">
      <c r="A223" s="433">
        <v>213</v>
      </c>
      <c r="B223" s="293" t="s">
        <v>327</v>
      </c>
      <c r="C223" s="294">
        <v>40473</v>
      </c>
      <c r="D223" s="137" t="s">
        <v>30</v>
      </c>
      <c r="E223" s="295">
        <v>2</v>
      </c>
      <c r="F223" s="295">
        <v>1</v>
      </c>
      <c r="G223" s="295">
        <v>8</v>
      </c>
      <c r="H223" s="479">
        <v>2138.5</v>
      </c>
      <c r="I223" s="480">
        <v>534</v>
      </c>
      <c r="J223" s="140">
        <f>(I223/F223)</f>
        <v>534</v>
      </c>
      <c r="K223" s="138">
        <f t="shared" si="16"/>
        <v>4.004681647940075</v>
      </c>
      <c r="L223" s="16">
        <f>6832+2665+3612+1330+1973+129+396+2138.5</f>
        <v>19075.5</v>
      </c>
      <c r="M223" s="17">
        <f>659+312+817+151+365+14+89+534</f>
        <v>2941</v>
      </c>
      <c r="N223" s="135">
        <f>L223/M223</f>
        <v>6.486059163549813</v>
      </c>
      <c r="O223" s="433">
        <v>213</v>
      </c>
    </row>
    <row r="224" spans="1:15" s="68" customFormat="1" ht="12" customHeight="1">
      <c r="A224" s="433">
        <v>214</v>
      </c>
      <c r="B224" s="343" t="s">
        <v>288</v>
      </c>
      <c r="C224" s="313">
        <v>40480</v>
      </c>
      <c r="D224" s="20" t="s">
        <v>133</v>
      </c>
      <c r="E224" s="314">
        <v>15</v>
      </c>
      <c r="F224" s="314">
        <v>1</v>
      </c>
      <c r="G224" s="314">
        <v>9</v>
      </c>
      <c r="H224" s="490">
        <v>2135</v>
      </c>
      <c r="I224" s="491">
        <v>427</v>
      </c>
      <c r="J224" s="83">
        <v>427</v>
      </c>
      <c r="K224" s="207">
        <v>5</v>
      </c>
      <c r="L224" s="165">
        <v>60143</v>
      </c>
      <c r="M224" s="166">
        <v>6696</v>
      </c>
      <c r="N224" s="153">
        <f>+L224/M224</f>
        <v>8.981929510155316</v>
      </c>
      <c r="O224" s="433">
        <v>214</v>
      </c>
    </row>
    <row r="225" spans="1:15" s="68" customFormat="1" ht="12" customHeight="1">
      <c r="A225" s="433">
        <v>215</v>
      </c>
      <c r="B225" s="133" t="s">
        <v>296</v>
      </c>
      <c r="C225" s="22">
        <v>40515</v>
      </c>
      <c r="D225" s="20" t="s">
        <v>30</v>
      </c>
      <c r="E225" s="23">
        <v>62</v>
      </c>
      <c r="F225" s="23">
        <v>4</v>
      </c>
      <c r="G225" s="23">
        <v>23</v>
      </c>
      <c r="H225" s="477">
        <v>2107</v>
      </c>
      <c r="I225" s="478">
        <v>478</v>
      </c>
      <c r="J225" s="81">
        <f>(I225/F225)</f>
        <v>119.5</v>
      </c>
      <c r="K225" s="134">
        <f>H225/I225</f>
        <v>4.407949790794979</v>
      </c>
      <c r="L225" s="8">
        <f>353151+191248+132731.5+71376+47862+26248.5+19265+34650.5+35095.5+42312+25849+10987+7528+3248+2395.5+3280.5+3141.5+4280+3042+1597+6128+4358+2107</f>
        <v>1031881.5</v>
      </c>
      <c r="M225" s="7">
        <f>34650+19352+14525+10591+7581+5012+3223+6065+6865+6589+3930+1782+1091+624+468+512+688+987+804+306+1395+991+478</f>
        <v>128509</v>
      </c>
      <c r="N225" s="135">
        <f>L225/M225</f>
        <v>8.029643838174758</v>
      </c>
      <c r="O225" s="433">
        <v>215</v>
      </c>
    </row>
    <row r="226" spans="1:15" s="68" customFormat="1" ht="12" customHeight="1">
      <c r="A226" s="433">
        <v>216</v>
      </c>
      <c r="B226" s="198" t="s">
        <v>135</v>
      </c>
      <c r="C226" s="22">
        <v>40522</v>
      </c>
      <c r="D226" s="20" t="s">
        <v>30</v>
      </c>
      <c r="E226" s="23">
        <v>127</v>
      </c>
      <c r="F226" s="23">
        <v>2</v>
      </c>
      <c r="G226" s="23">
        <v>14</v>
      </c>
      <c r="H226" s="477">
        <v>2076</v>
      </c>
      <c r="I226" s="478">
        <v>481</v>
      </c>
      <c r="J226" s="81">
        <f>(I226/F226)</f>
        <v>240.5</v>
      </c>
      <c r="K226" s="134">
        <f>H226/I226</f>
        <v>4.316008316008316</v>
      </c>
      <c r="L226" s="8">
        <f>1048675+809166.5+457718.5+70165.5+7102+12164+8619.5+11777.5+6559.5+3338.5+10420.5+3303+3205+2076</f>
        <v>2454291</v>
      </c>
      <c r="M226" s="7">
        <f>92481+73795+43350+8841+1153+2869+1615+2831+1620+630+2477+726+513+481</f>
        <v>233382</v>
      </c>
      <c r="N226" s="135">
        <f>L226/M226</f>
        <v>10.516196621847444</v>
      </c>
      <c r="O226" s="433">
        <v>216</v>
      </c>
    </row>
    <row r="227" spans="1:15" s="68" customFormat="1" ht="12" customHeight="1">
      <c r="A227" s="433">
        <v>217</v>
      </c>
      <c r="B227" s="157" t="s">
        <v>159</v>
      </c>
      <c r="C227" s="2">
        <v>40529</v>
      </c>
      <c r="D227" s="10" t="s">
        <v>21</v>
      </c>
      <c r="E227" s="4">
        <v>134</v>
      </c>
      <c r="F227" s="4">
        <v>2</v>
      </c>
      <c r="G227" s="4">
        <v>9</v>
      </c>
      <c r="H227" s="489">
        <v>2072</v>
      </c>
      <c r="I227" s="497">
        <v>414</v>
      </c>
      <c r="J227" s="186">
        <f>IF(H227&lt;&gt;0,I227/F227,"")</f>
        <v>207</v>
      </c>
      <c r="K227" s="161">
        <f>IF(H227&lt;&gt;0,H227/I227,"")</f>
        <v>5.004830917874396</v>
      </c>
      <c r="L227" s="24">
        <f>415183+3929+3246+2363+1074+230+2072</f>
        <v>428097</v>
      </c>
      <c r="M227" s="19">
        <f>52315+638+476+361+299+38+414</f>
        <v>54541</v>
      </c>
      <c r="N227" s="160">
        <f>IF(L227&lt;&gt;0,L227/M227,"")</f>
        <v>7.84908600869071</v>
      </c>
      <c r="O227" s="433">
        <v>217</v>
      </c>
    </row>
    <row r="228" spans="1:15" s="68" customFormat="1" ht="12" customHeight="1">
      <c r="A228" s="433">
        <v>218</v>
      </c>
      <c r="B228" s="157" t="s">
        <v>265</v>
      </c>
      <c r="C228" s="2">
        <v>40508</v>
      </c>
      <c r="D228" s="10" t="s">
        <v>10</v>
      </c>
      <c r="E228" s="4">
        <v>72</v>
      </c>
      <c r="F228" s="4">
        <v>2</v>
      </c>
      <c r="G228" s="4">
        <v>8</v>
      </c>
      <c r="H228" s="485">
        <v>2043</v>
      </c>
      <c r="I228" s="486">
        <v>282</v>
      </c>
      <c r="J228" s="80">
        <f>I228/F228</f>
        <v>141</v>
      </c>
      <c r="K228" s="141">
        <f>H228/I228</f>
        <v>7.24468085106383</v>
      </c>
      <c r="L228" s="30">
        <v>1211516</v>
      </c>
      <c r="M228" s="29">
        <v>105388</v>
      </c>
      <c r="N228" s="153">
        <f>+L228/M228</f>
        <v>11.495768019129313</v>
      </c>
      <c r="O228" s="433">
        <v>218</v>
      </c>
    </row>
    <row r="229" spans="1:15" s="68" customFormat="1" ht="12" customHeight="1">
      <c r="A229" s="433">
        <v>219</v>
      </c>
      <c r="B229" s="157" t="s">
        <v>306</v>
      </c>
      <c r="C229" s="2">
        <v>40494</v>
      </c>
      <c r="D229" s="10" t="s">
        <v>10</v>
      </c>
      <c r="E229" s="4">
        <v>144</v>
      </c>
      <c r="F229" s="4">
        <v>1</v>
      </c>
      <c r="G229" s="4">
        <v>13</v>
      </c>
      <c r="H229" s="485">
        <v>2042</v>
      </c>
      <c r="I229" s="486">
        <v>495</v>
      </c>
      <c r="J229" s="80">
        <f>I229/F229</f>
        <v>495</v>
      </c>
      <c r="K229" s="141">
        <f>H229/I229</f>
        <v>4.125252525252526</v>
      </c>
      <c r="L229" s="30">
        <v>6072415</v>
      </c>
      <c r="M229" s="29">
        <v>524703</v>
      </c>
      <c r="N229" s="153">
        <f>+L229/M229</f>
        <v>11.573051802638826</v>
      </c>
      <c r="O229" s="433">
        <v>219</v>
      </c>
    </row>
    <row r="230" spans="1:15" s="68" customFormat="1" ht="12" customHeight="1">
      <c r="A230" s="433">
        <v>220</v>
      </c>
      <c r="B230" s="331" t="s">
        <v>336</v>
      </c>
      <c r="C230" s="84">
        <v>40515</v>
      </c>
      <c r="D230" s="85" t="s">
        <v>30</v>
      </c>
      <c r="E230" s="144">
        <v>62</v>
      </c>
      <c r="F230" s="144">
        <v>2</v>
      </c>
      <c r="G230" s="144">
        <v>30</v>
      </c>
      <c r="H230" s="477">
        <v>2020</v>
      </c>
      <c r="I230" s="478">
        <v>261</v>
      </c>
      <c r="J230" s="72">
        <f>I230/F230</f>
        <v>130.5</v>
      </c>
      <c r="K230" s="73">
        <f>H230/I230</f>
        <v>7.739463601532567</v>
      </c>
      <c r="L230" s="8">
        <f>353151+191248+132731.5+71376+47862+26248.5+19265+34650.5+35095.5+42312+25849+10987+7528+3248+2395.5+3280.5+3141.5+4280+3042+1597+6128+4358+2107+777+4230+4335.5+1718.5+594+1978+2020</f>
        <v>1047534.5</v>
      </c>
      <c r="M230" s="7">
        <f>34650+19352+14525+10591+7581+5012+3223+6065+6865+6589+3930+1782+1091+624+468+512+688+987+804+306+1395+991+478+166+1058+1084+430+148+474+261</f>
        <v>132130</v>
      </c>
      <c r="N230" s="76">
        <f>L230/M230</f>
        <v>7.928059486868992</v>
      </c>
      <c r="O230" s="433">
        <v>220</v>
      </c>
    </row>
    <row r="231" spans="1:15" s="68" customFormat="1" ht="12" customHeight="1">
      <c r="A231" s="433">
        <v>221</v>
      </c>
      <c r="B231" s="154" t="s">
        <v>157</v>
      </c>
      <c r="C231" s="2">
        <v>38764</v>
      </c>
      <c r="D231" s="12" t="s">
        <v>21</v>
      </c>
      <c r="E231" s="3">
        <v>113</v>
      </c>
      <c r="F231" s="3">
        <v>1</v>
      </c>
      <c r="G231" s="3">
        <v>20</v>
      </c>
      <c r="H231" s="489">
        <v>2014</v>
      </c>
      <c r="I231" s="488">
        <v>403</v>
      </c>
      <c r="J231" s="72">
        <f>IF(H231&lt;&gt;0,I231/F231,"")</f>
        <v>403</v>
      </c>
      <c r="K231" s="161">
        <f>IF(H231&lt;&gt;0,H231/I231,"")</f>
        <v>4.997518610421836</v>
      </c>
      <c r="L231" s="24">
        <f>1551334+0+1188+H231</f>
        <v>1554536</v>
      </c>
      <c r="M231" s="28">
        <f>207370+0+238+I231</f>
        <v>208011</v>
      </c>
      <c r="N231" s="160">
        <f>IF(L231&lt;&gt;0,L231/M231,"")</f>
        <v>7.473335544754844</v>
      </c>
      <c r="O231" s="433">
        <v>221</v>
      </c>
    </row>
    <row r="232" spans="1:15" s="68" customFormat="1" ht="12" customHeight="1">
      <c r="A232" s="433">
        <v>222</v>
      </c>
      <c r="B232" s="136" t="s">
        <v>144</v>
      </c>
      <c r="C232" s="22">
        <v>40466</v>
      </c>
      <c r="D232" s="21" t="s">
        <v>28</v>
      </c>
      <c r="E232" s="23">
        <v>22</v>
      </c>
      <c r="F232" s="23">
        <v>1</v>
      </c>
      <c r="G232" s="23">
        <v>12</v>
      </c>
      <c r="H232" s="467">
        <v>2002</v>
      </c>
      <c r="I232" s="476">
        <v>232</v>
      </c>
      <c r="J232" s="72">
        <f>IF(H232&lt;&gt;0,I232/F232,"")</f>
        <v>232</v>
      </c>
      <c r="K232" s="161">
        <f>IF(H232&lt;&gt;0,H232/I232,"")</f>
        <v>8.629310344827585</v>
      </c>
      <c r="L232" s="18">
        <f>75899.5+52129.5+37227.5+14454+10905+6815+10220.5+4115+4193+1577.5+113+940+2002</f>
        <v>220591.5</v>
      </c>
      <c r="M232" s="28">
        <f>7028+5164+3832+1471+1190+1095+1727+519+460+216+17+109+232</f>
        <v>23060</v>
      </c>
      <c r="N232" s="160">
        <f>IF(L232&lt;&gt;0,L232/M232,"")</f>
        <v>9.565980052038162</v>
      </c>
      <c r="O232" s="433">
        <v>222</v>
      </c>
    </row>
    <row r="233" spans="1:15" s="68" customFormat="1" ht="12" customHeight="1">
      <c r="A233" s="433">
        <v>223</v>
      </c>
      <c r="B233" s="306" t="s">
        <v>296</v>
      </c>
      <c r="C233" s="307">
        <v>40515</v>
      </c>
      <c r="D233" s="85" t="s">
        <v>30</v>
      </c>
      <c r="E233" s="309">
        <v>62</v>
      </c>
      <c r="F233" s="144">
        <v>3</v>
      </c>
      <c r="G233" s="245">
        <v>29</v>
      </c>
      <c r="H233" s="477">
        <v>1978</v>
      </c>
      <c r="I233" s="478">
        <v>474</v>
      </c>
      <c r="J233" s="72">
        <f>I233/F233</f>
        <v>158</v>
      </c>
      <c r="K233" s="73">
        <f>H233/I233</f>
        <v>4.172995780590718</v>
      </c>
      <c r="L233" s="8">
        <f>353151+191248+132731.5+71376+47862+26248.5+19265+34650.5+35095.5+42312+25849+10987+7528+3248+2395.5+3280.5+3141.5+4280+3042+1597+6128+4358+2107+777+4230+4335.5+1718.5+594+1978</f>
        <v>1045514.5</v>
      </c>
      <c r="M233" s="7">
        <f>34650+19352+14525+10591+7581+5012+3223+6065+6865+6589+3930+1782+1091+624+468+512+688+987+804+306+1395+991+478+166+1058+1084+430+148+474</f>
        <v>131869</v>
      </c>
      <c r="N233" s="76">
        <f>L233/M233</f>
        <v>7.9284327628176445</v>
      </c>
      <c r="O233" s="433">
        <v>223</v>
      </c>
    </row>
    <row r="234" spans="1:15" s="68" customFormat="1" ht="12" customHeight="1">
      <c r="A234" s="433">
        <v>224</v>
      </c>
      <c r="B234" s="133" t="s">
        <v>164</v>
      </c>
      <c r="C234" s="22">
        <v>40487</v>
      </c>
      <c r="D234" s="20" t="s">
        <v>28</v>
      </c>
      <c r="E234" s="23">
        <v>162</v>
      </c>
      <c r="F234" s="23">
        <v>1</v>
      </c>
      <c r="G234" s="23">
        <v>12</v>
      </c>
      <c r="H234" s="475">
        <v>1941</v>
      </c>
      <c r="I234" s="476">
        <v>388</v>
      </c>
      <c r="J234" s="28">
        <f>I234/F234</f>
        <v>388</v>
      </c>
      <c r="K234" s="180">
        <f>+H234/I234</f>
        <v>5.002577319587629</v>
      </c>
      <c r="L234" s="26">
        <f>525983.5+915356-20+520720.5+229861+37809.5+41066.5+9062.5+5020+8527+1340+1644+1941</f>
        <v>2298311.5</v>
      </c>
      <c r="M234" s="28">
        <f>56225+93965-2+58841+28041+5233+5910+1474+785+1182+198+319+388</f>
        <v>252559</v>
      </c>
      <c r="N234" s="153">
        <f>+L234/M234</f>
        <v>9.100097402983065</v>
      </c>
      <c r="O234" s="433">
        <v>224</v>
      </c>
    </row>
    <row r="235" spans="1:15" s="68" customFormat="1" ht="12" customHeight="1">
      <c r="A235" s="433">
        <v>225</v>
      </c>
      <c r="B235" s="133">
        <v>120</v>
      </c>
      <c r="C235" s="22">
        <v>39493</v>
      </c>
      <c r="D235" s="20" t="s">
        <v>28</v>
      </c>
      <c r="E235" s="23">
        <v>179</v>
      </c>
      <c r="F235" s="23">
        <v>1</v>
      </c>
      <c r="G235" s="23">
        <v>47</v>
      </c>
      <c r="H235" s="475">
        <v>1919</v>
      </c>
      <c r="I235" s="476">
        <v>320</v>
      </c>
      <c r="J235" s="81">
        <f>(I235/F235)</f>
        <v>320</v>
      </c>
      <c r="K235" s="134">
        <f>H235/I235</f>
        <v>5.996875</v>
      </c>
      <c r="L235" s="26">
        <f>5039812.5+1919</f>
        <v>5041731.5</v>
      </c>
      <c r="M235" s="28">
        <f>1038442+320</f>
        <v>1038762</v>
      </c>
      <c r="N235" s="135">
        <f>L235/M235</f>
        <v>4.853596396479656</v>
      </c>
      <c r="O235" s="433">
        <v>225</v>
      </c>
    </row>
    <row r="236" spans="1:15" s="68" customFormat="1" ht="12" customHeight="1">
      <c r="A236" s="433">
        <v>226</v>
      </c>
      <c r="B236" s="152" t="s">
        <v>270</v>
      </c>
      <c r="C236" s="2">
        <v>40499</v>
      </c>
      <c r="D236" s="9" t="s">
        <v>10</v>
      </c>
      <c r="E236" s="3">
        <v>216</v>
      </c>
      <c r="F236" s="3">
        <v>3</v>
      </c>
      <c r="G236" s="3">
        <v>13</v>
      </c>
      <c r="H236" s="485">
        <v>1907</v>
      </c>
      <c r="I236" s="486">
        <v>449</v>
      </c>
      <c r="J236" s="80">
        <f>I236/F236</f>
        <v>149.66666666666666</v>
      </c>
      <c r="K236" s="141">
        <f>H236/I236</f>
        <v>4.247216035634744</v>
      </c>
      <c r="L236" s="30">
        <v>7557967</v>
      </c>
      <c r="M236" s="29">
        <v>798432</v>
      </c>
      <c r="N236" s="153">
        <f>+L236/M236</f>
        <v>9.466012133782213</v>
      </c>
      <c r="O236" s="433">
        <v>226</v>
      </c>
    </row>
    <row r="237" spans="1:15" s="68" customFormat="1" ht="12" customHeight="1">
      <c r="A237" s="433">
        <v>227</v>
      </c>
      <c r="B237" s="353" t="s">
        <v>251</v>
      </c>
      <c r="C237" s="143">
        <v>40165</v>
      </c>
      <c r="D237" s="85" t="s">
        <v>30</v>
      </c>
      <c r="E237" s="347">
        <v>150</v>
      </c>
      <c r="F237" s="347">
        <v>1</v>
      </c>
      <c r="G237" s="347">
        <v>48</v>
      </c>
      <c r="H237" s="477">
        <v>1901</v>
      </c>
      <c r="I237" s="478">
        <v>475</v>
      </c>
      <c r="J237" s="72">
        <f>I237/F237</f>
        <v>475</v>
      </c>
      <c r="K237" s="73">
        <f>H237/I237</f>
        <v>4.002105263157895</v>
      </c>
      <c r="L237" s="8">
        <f>26351050.5+1782+1045+250+135084.5+75530.5+42949.5+5302.5+6113+4133+420+7038.5+950.5+1188+1782+1901</f>
        <v>26636520.5</v>
      </c>
      <c r="M237" s="7">
        <f>2457871+446+113+30+11058+6318+3444+432+464+353+42+964+238+297+446+475</f>
        <v>2482991</v>
      </c>
      <c r="N237" s="76">
        <f>+L237/M237</f>
        <v>10.727594461679482</v>
      </c>
      <c r="O237" s="433">
        <v>227</v>
      </c>
    </row>
    <row r="238" spans="1:15" s="68" customFormat="1" ht="12" customHeight="1">
      <c r="A238" s="433">
        <v>228</v>
      </c>
      <c r="B238" s="315" t="s">
        <v>288</v>
      </c>
      <c r="C238" s="313">
        <v>40480</v>
      </c>
      <c r="D238" s="137" t="s">
        <v>133</v>
      </c>
      <c r="E238" s="316">
        <v>15</v>
      </c>
      <c r="F238" s="316">
        <v>1</v>
      </c>
      <c r="G238" s="139">
        <v>10</v>
      </c>
      <c r="H238" s="490">
        <v>1898</v>
      </c>
      <c r="I238" s="491">
        <v>380</v>
      </c>
      <c r="J238" s="83">
        <v>380</v>
      </c>
      <c r="K238" s="187">
        <v>4.994736842105263</v>
      </c>
      <c r="L238" s="165">
        <v>62041</v>
      </c>
      <c r="M238" s="166">
        <v>7076</v>
      </c>
      <c r="N238" s="167">
        <v>8.767806670435274</v>
      </c>
      <c r="O238" s="433">
        <v>228</v>
      </c>
    </row>
    <row r="239" spans="1:15" s="68" customFormat="1" ht="12" customHeight="1">
      <c r="A239" s="433">
        <v>229</v>
      </c>
      <c r="B239" s="157" t="s">
        <v>158</v>
      </c>
      <c r="C239" s="2">
        <v>40501</v>
      </c>
      <c r="D239" s="10" t="s">
        <v>134</v>
      </c>
      <c r="E239" s="4">
        <v>121</v>
      </c>
      <c r="F239" s="4">
        <v>3</v>
      </c>
      <c r="G239" s="4">
        <v>12</v>
      </c>
      <c r="H239" s="494">
        <v>1882</v>
      </c>
      <c r="I239" s="493">
        <v>579</v>
      </c>
      <c r="J239" s="168">
        <f>I239/F239</f>
        <v>193</v>
      </c>
      <c r="K239" s="169">
        <f>H239/I239</f>
        <v>3.250431778929188</v>
      </c>
      <c r="L239" s="170">
        <v>1599042</v>
      </c>
      <c r="M239" s="171">
        <v>162149</v>
      </c>
      <c r="N239" s="172">
        <f>+L239/M239</f>
        <v>9.86155942990706</v>
      </c>
      <c r="O239" s="433">
        <v>229</v>
      </c>
    </row>
    <row r="240" spans="1:15" s="68" customFormat="1" ht="12" customHeight="1">
      <c r="A240" s="433">
        <v>230</v>
      </c>
      <c r="B240" s="142" t="s">
        <v>143</v>
      </c>
      <c r="C240" s="143">
        <v>40529</v>
      </c>
      <c r="D240" s="137" t="s">
        <v>30</v>
      </c>
      <c r="E240" s="144">
        <v>147</v>
      </c>
      <c r="F240" s="144">
        <v>2</v>
      </c>
      <c r="G240" s="144">
        <v>9</v>
      </c>
      <c r="H240" s="481">
        <v>1874</v>
      </c>
      <c r="I240" s="482">
        <v>303</v>
      </c>
      <c r="J240" s="145">
        <f>(I240/F240)</f>
        <v>151.5</v>
      </c>
      <c r="K240" s="146">
        <f>H240/I240</f>
        <v>6.184818481848184</v>
      </c>
      <c r="L240" s="147">
        <f>691567.5+648414.5+518408+71321.5+45526+17480+7409+4406.5+1874</f>
        <v>2006407</v>
      </c>
      <c r="M240" s="148">
        <f>79327+75064+61133+10266+7792+4345+1731+935+303</f>
        <v>240896</v>
      </c>
      <c r="N240" s="149">
        <f>L240/M240</f>
        <v>8.328934477948991</v>
      </c>
      <c r="O240" s="433">
        <v>230</v>
      </c>
    </row>
    <row r="241" spans="1:15" s="68" customFormat="1" ht="12" customHeight="1">
      <c r="A241" s="433">
        <v>231</v>
      </c>
      <c r="B241" s="150" t="s">
        <v>311</v>
      </c>
      <c r="C241" s="22">
        <v>40536</v>
      </c>
      <c r="D241" s="137" t="s">
        <v>23</v>
      </c>
      <c r="E241" s="139">
        <v>112</v>
      </c>
      <c r="F241" s="139">
        <v>3</v>
      </c>
      <c r="G241" s="139">
        <v>14</v>
      </c>
      <c r="H241" s="475">
        <v>1828</v>
      </c>
      <c r="I241" s="476">
        <v>458</v>
      </c>
      <c r="J241" s="28">
        <f>I241/F241</f>
        <v>152.66666666666666</v>
      </c>
      <c r="K241" s="368">
        <f>+H241/I241</f>
        <v>3.9912663755458517</v>
      </c>
      <c r="L241" s="26">
        <v>2745259</v>
      </c>
      <c r="M241" s="28">
        <v>243893</v>
      </c>
      <c r="N241" s="181">
        <f>+L241/M241</f>
        <v>11.255997507103524</v>
      </c>
      <c r="O241" s="433">
        <v>231</v>
      </c>
    </row>
    <row r="242" spans="1:15" s="68" customFormat="1" ht="12" customHeight="1">
      <c r="A242" s="433">
        <v>232</v>
      </c>
      <c r="B242" s="306" t="s">
        <v>135</v>
      </c>
      <c r="C242" s="307">
        <v>40522</v>
      </c>
      <c r="D242" s="308" t="s">
        <v>130</v>
      </c>
      <c r="E242" s="309">
        <v>127</v>
      </c>
      <c r="F242" s="144">
        <v>2</v>
      </c>
      <c r="G242" s="309">
        <v>21</v>
      </c>
      <c r="H242" s="477">
        <v>1818.5</v>
      </c>
      <c r="I242" s="478">
        <v>447</v>
      </c>
      <c r="J242" s="72">
        <f>I242/F242</f>
        <v>223.5</v>
      </c>
      <c r="K242" s="73">
        <f>H242/I242</f>
        <v>4.068232662192393</v>
      </c>
      <c r="L242" s="8">
        <f>1048675+809166.5+457718.5+70165.5+7102+12164+8619.5+11777.5+6559.5+3338.5+10420.5+3303+3205+2076+1722.5+314+264+550+5455+5583.5+1818.5</f>
        <v>2469998.5</v>
      </c>
      <c r="M242" s="7">
        <f>92481+73795+43350+8841+1153+2869+1615+2831+1620+630+2477+726+513+481+318+38+33+104+1359+1394+447</f>
        <v>237075</v>
      </c>
      <c r="N242" s="74">
        <f>+L242/M242</f>
        <v>10.418637561952968</v>
      </c>
      <c r="O242" s="433">
        <v>232</v>
      </c>
    </row>
    <row r="243" spans="1:15" s="68" customFormat="1" ht="12" customHeight="1">
      <c r="A243" s="433">
        <v>233</v>
      </c>
      <c r="B243" s="150" t="s">
        <v>290</v>
      </c>
      <c r="C243" s="22">
        <v>40536</v>
      </c>
      <c r="D243" s="137" t="s">
        <v>23</v>
      </c>
      <c r="E243" s="139">
        <v>91</v>
      </c>
      <c r="F243" s="139">
        <v>3</v>
      </c>
      <c r="G243" s="139">
        <v>10</v>
      </c>
      <c r="H243" s="467">
        <v>1793</v>
      </c>
      <c r="I243" s="468">
        <v>426</v>
      </c>
      <c r="J243" s="19">
        <f>I243/F243</f>
        <v>142</v>
      </c>
      <c r="K243" s="188">
        <f>+H243/I243</f>
        <v>4.208920187793427</v>
      </c>
      <c r="L243" s="18">
        <v>1199776</v>
      </c>
      <c r="M243" s="19">
        <v>105815</v>
      </c>
      <c r="N243" s="181">
        <f>+L243/M243</f>
        <v>11.338430279260974</v>
      </c>
      <c r="O243" s="433">
        <v>233</v>
      </c>
    </row>
    <row r="244" spans="1:15" s="68" customFormat="1" ht="12" customHeight="1">
      <c r="A244" s="433">
        <v>234</v>
      </c>
      <c r="B244" s="133" t="s">
        <v>138</v>
      </c>
      <c r="C244" s="22">
        <v>40459</v>
      </c>
      <c r="D244" s="137" t="s">
        <v>30</v>
      </c>
      <c r="E244" s="23">
        <v>142</v>
      </c>
      <c r="F244" s="23">
        <v>1</v>
      </c>
      <c r="G244" s="23">
        <v>15</v>
      </c>
      <c r="H244" s="477">
        <v>1782</v>
      </c>
      <c r="I244" s="478">
        <v>446</v>
      </c>
      <c r="J244" s="81">
        <f>(I244/F244)</f>
        <v>446</v>
      </c>
      <c r="K244" s="134">
        <f aca="true" t="shared" si="18" ref="K244:K259">H244/I244</f>
        <v>3.995515695067265</v>
      </c>
      <c r="L244" s="8">
        <f>569713+434829.5+295345.5+223420+26108+12415.5+5998+1904+1368+799+648+306+1782+594+1782</f>
        <v>1577012.5</v>
      </c>
      <c r="M244" s="7">
        <f>61050+47827+36467+29781+4601+2405+1000+284+287+123+103+51+445+113+446</f>
        <v>184983</v>
      </c>
      <c r="N244" s="135">
        <f>L244/M244</f>
        <v>8.525175286377667</v>
      </c>
      <c r="O244" s="433">
        <v>234</v>
      </c>
    </row>
    <row r="245" spans="1:15" s="68" customFormat="1" ht="12" customHeight="1">
      <c r="A245" s="433">
        <v>235</v>
      </c>
      <c r="B245" s="348" t="s">
        <v>251</v>
      </c>
      <c r="C245" s="307">
        <v>40165</v>
      </c>
      <c r="D245" s="85" t="s">
        <v>30</v>
      </c>
      <c r="E245" s="309">
        <v>150</v>
      </c>
      <c r="F245" s="144">
        <v>1</v>
      </c>
      <c r="G245" s="309">
        <v>47</v>
      </c>
      <c r="H245" s="477">
        <v>1782</v>
      </c>
      <c r="I245" s="478">
        <v>446</v>
      </c>
      <c r="J245" s="72">
        <f>I245/F245</f>
        <v>446</v>
      </c>
      <c r="K245" s="73">
        <f t="shared" si="18"/>
        <v>3.995515695067265</v>
      </c>
      <c r="L245" s="8">
        <f>26351050.5+1782+1045+250+135084.5+75530.5+42949.5+5302.5+6113+4133+420+7038.5+950.5+1188+1782</f>
        <v>26634619.5</v>
      </c>
      <c r="M245" s="7">
        <f>2457871+446+113+30+11058+6318+3444+432+464+353+42+964+238+297+446</f>
        <v>2482516</v>
      </c>
      <c r="N245" s="76">
        <f>L245/M245</f>
        <v>10.728881304289681</v>
      </c>
      <c r="O245" s="433">
        <v>235</v>
      </c>
    </row>
    <row r="246" spans="1:15" s="68" customFormat="1" ht="12" customHeight="1">
      <c r="A246" s="433">
        <v>236</v>
      </c>
      <c r="B246" s="133" t="s">
        <v>263</v>
      </c>
      <c r="C246" s="22">
        <v>40430</v>
      </c>
      <c r="D246" s="137" t="s">
        <v>30</v>
      </c>
      <c r="E246" s="23">
        <v>57</v>
      </c>
      <c r="F246" s="23">
        <v>1</v>
      </c>
      <c r="G246" s="23">
        <v>16</v>
      </c>
      <c r="H246" s="477">
        <v>1782</v>
      </c>
      <c r="I246" s="478">
        <v>446</v>
      </c>
      <c r="J246" s="81">
        <f>(I246/F246)</f>
        <v>446</v>
      </c>
      <c r="K246" s="134">
        <f t="shared" si="18"/>
        <v>3.995515695067265</v>
      </c>
      <c r="L246" s="8">
        <f>15818.5+150711.5+75138.5+33591.5+30249.5+17415.5+8294.5+10566+6016+6121.5+888.5+2484+322+4243.5+950.5+1782+1782</f>
        <v>366375.5</v>
      </c>
      <c r="M246" s="7">
        <f>1512+15643+7345+4634+4073+2646+1136+2027+1109+1483+117+572+47+1041+237+445+446</f>
        <v>44513</v>
      </c>
      <c r="N246" s="135">
        <f>L246/M246</f>
        <v>8.230752813784736</v>
      </c>
      <c r="O246" s="433">
        <v>236</v>
      </c>
    </row>
    <row r="247" spans="1:15" s="68" customFormat="1" ht="12" customHeight="1">
      <c r="A247" s="433">
        <v>237</v>
      </c>
      <c r="B247" s="348" t="s">
        <v>313</v>
      </c>
      <c r="C247" s="307">
        <v>40410</v>
      </c>
      <c r="D247" s="85" t="s">
        <v>30</v>
      </c>
      <c r="E247" s="309">
        <v>100</v>
      </c>
      <c r="F247" s="144">
        <v>1</v>
      </c>
      <c r="G247" s="309">
        <v>19</v>
      </c>
      <c r="H247" s="477">
        <v>1782</v>
      </c>
      <c r="I247" s="478">
        <v>446</v>
      </c>
      <c r="J247" s="72">
        <f>I247/F247</f>
        <v>446</v>
      </c>
      <c r="K247" s="73">
        <f t="shared" si="18"/>
        <v>3.995515695067265</v>
      </c>
      <c r="L247" s="8">
        <f>4793.5+233907+173006+95171+69286+22212.5+11921.5+10683+6473+5548+3621+5930+360+5346+2138.5+6058.5+4752+950.5+1782+1782</f>
        <v>665722</v>
      </c>
      <c r="M247" s="7">
        <f>312+25267+17706+10642+10638+3791+2335+2134+1501+1673+635+1434+72+1336+534+1515+1188+238+445+446</f>
        <v>83842</v>
      </c>
      <c r="N247" s="74">
        <f>+L247/M247</f>
        <v>7.940197037284416</v>
      </c>
      <c r="O247" s="433">
        <v>237</v>
      </c>
    </row>
    <row r="248" spans="1:15" s="68" customFormat="1" ht="12" customHeight="1">
      <c r="A248" s="433">
        <v>238</v>
      </c>
      <c r="B248" s="142" t="s">
        <v>316</v>
      </c>
      <c r="C248" s="143">
        <v>40529</v>
      </c>
      <c r="D248" s="85" t="s">
        <v>30</v>
      </c>
      <c r="E248" s="144">
        <v>27</v>
      </c>
      <c r="F248" s="144">
        <v>1</v>
      </c>
      <c r="G248" s="144">
        <v>9</v>
      </c>
      <c r="H248" s="477">
        <v>1782</v>
      </c>
      <c r="I248" s="478">
        <v>446</v>
      </c>
      <c r="J248" s="186">
        <f>I248/F248</f>
        <v>446</v>
      </c>
      <c r="K248" s="234">
        <f t="shared" si="18"/>
        <v>3.995515695067265</v>
      </c>
      <c r="L248" s="8">
        <f>68045+25663+7073.5+5233+3859+470+100+1497+1782</f>
        <v>113722.5</v>
      </c>
      <c r="M248" s="7">
        <f>5442+2277+920+1185+711+78+13+218+446</f>
        <v>11290</v>
      </c>
      <c r="N248" s="74">
        <f>+L248/M248</f>
        <v>10.072852081488042</v>
      </c>
      <c r="O248" s="433">
        <v>238</v>
      </c>
    </row>
    <row r="249" spans="1:15" s="68" customFormat="1" ht="12" customHeight="1">
      <c r="A249" s="433">
        <v>239</v>
      </c>
      <c r="B249" s="335" t="s">
        <v>657</v>
      </c>
      <c r="C249" s="360">
        <v>40452</v>
      </c>
      <c r="D249" s="345" t="s">
        <v>30</v>
      </c>
      <c r="E249" s="21">
        <v>3</v>
      </c>
      <c r="F249" s="21">
        <v>1</v>
      </c>
      <c r="G249" s="21">
        <v>7</v>
      </c>
      <c r="H249" s="469">
        <v>1782</v>
      </c>
      <c r="I249" s="470">
        <v>446</v>
      </c>
      <c r="J249" s="186">
        <f>I249/F249</f>
        <v>446</v>
      </c>
      <c r="K249" s="161">
        <f t="shared" si="18"/>
        <v>3.995515695067265</v>
      </c>
      <c r="L249" s="16">
        <f>8509+2430+1878+289+2970+1069+1782</f>
        <v>18927</v>
      </c>
      <c r="M249" s="17">
        <f>696+238+219+33+743+216+446</f>
        <v>2591</v>
      </c>
      <c r="N249" s="396">
        <f aca="true" t="shared" si="19" ref="N249:N259">L249/M249</f>
        <v>7.304901582400618</v>
      </c>
      <c r="O249" s="433">
        <v>239</v>
      </c>
    </row>
    <row r="250" spans="1:15" s="68" customFormat="1" ht="12" customHeight="1">
      <c r="A250" s="433">
        <v>240</v>
      </c>
      <c r="B250" s="136" t="s">
        <v>138</v>
      </c>
      <c r="C250" s="22">
        <v>40459</v>
      </c>
      <c r="D250" s="137" t="s">
        <v>30</v>
      </c>
      <c r="E250" s="23">
        <v>142</v>
      </c>
      <c r="F250" s="23">
        <v>1</v>
      </c>
      <c r="G250" s="23">
        <v>13</v>
      </c>
      <c r="H250" s="479">
        <v>1782</v>
      </c>
      <c r="I250" s="478">
        <v>445</v>
      </c>
      <c r="J250" s="81">
        <f aca="true" t="shared" si="20" ref="J250:J259">(I250/F250)</f>
        <v>445</v>
      </c>
      <c r="K250" s="138">
        <f t="shared" si="18"/>
        <v>4.004494382022472</v>
      </c>
      <c r="L250" s="16">
        <f>569713+434829.5+295345.5+223420+26108+12415.5+5998+1904+1368+799+648+306+1782</f>
        <v>1574636.5</v>
      </c>
      <c r="M250" s="7">
        <f>61050+47827+36467+29781+4601+2405+1000+284+287+123+103+51+445</f>
        <v>184424</v>
      </c>
      <c r="N250" s="135">
        <f t="shared" si="19"/>
        <v>8.538132238754175</v>
      </c>
      <c r="O250" s="433">
        <v>240</v>
      </c>
    </row>
    <row r="251" spans="1:15" s="68" customFormat="1" ht="12" customHeight="1">
      <c r="A251" s="433">
        <v>241</v>
      </c>
      <c r="B251" s="133" t="s">
        <v>263</v>
      </c>
      <c r="C251" s="22">
        <v>40430</v>
      </c>
      <c r="D251" s="137" t="s">
        <v>30</v>
      </c>
      <c r="E251" s="23">
        <v>57</v>
      </c>
      <c r="F251" s="23">
        <v>1</v>
      </c>
      <c r="G251" s="23">
        <v>15</v>
      </c>
      <c r="H251" s="477">
        <v>1782</v>
      </c>
      <c r="I251" s="478">
        <v>445</v>
      </c>
      <c r="J251" s="81">
        <f t="shared" si="20"/>
        <v>445</v>
      </c>
      <c r="K251" s="134">
        <f t="shared" si="18"/>
        <v>4.004494382022472</v>
      </c>
      <c r="L251" s="8">
        <f>15818.5+150711.5+75138.5+33591.5+30249.5+17415.5+8294.5+10566+6016+6121.5+888.5+2484+322+4243.5+950.5+1782</f>
        <v>364593.5</v>
      </c>
      <c r="M251" s="7">
        <f>1512+15643+7345+4634+4073+2646+1136+2027+1109+1483+117+572+47+1041+237+445</f>
        <v>44067</v>
      </c>
      <c r="N251" s="135">
        <f t="shared" si="19"/>
        <v>8.273617446161527</v>
      </c>
      <c r="O251" s="433">
        <v>241</v>
      </c>
    </row>
    <row r="252" spans="1:15" s="68" customFormat="1" ht="12" customHeight="1">
      <c r="A252" s="433">
        <v>242</v>
      </c>
      <c r="B252" s="293" t="s">
        <v>281</v>
      </c>
      <c r="C252" s="294">
        <v>40368</v>
      </c>
      <c r="D252" s="137" t="s">
        <v>30</v>
      </c>
      <c r="E252" s="295">
        <v>126</v>
      </c>
      <c r="F252" s="295">
        <v>1</v>
      </c>
      <c r="G252" s="295">
        <v>23</v>
      </c>
      <c r="H252" s="477">
        <v>1782</v>
      </c>
      <c r="I252" s="478">
        <v>445</v>
      </c>
      <c r="J252" s="81">
        <f t="shared" si="20"/>
        <v>445</v>
      </c>
      <c r="K252" s="134">
        <f t="shared" si="18"/>
        <v>4.004494382022472</v>
      </c>
      <c r="L252" s="8">
        <f>2106797.5+50230.5+32558.5+15249.5+15137+17418.5+7784.5+2808+2841.5+1328+2453+1693+613+726+713+1425.5+1782+1437+1782</f>
        <v>2264778</v>
      </c>
      <c r="M252" s="7">
        <f>220679+7944+5486+2451+2714+3159+1414+494+658+202+452+398+85+227+178+356+445+228+445</f>
        <v>248015</v>
      </c>
      <c r="N252" s="135">
        <f t="shared" si="19"/>
        <v>9.131617039291978</v>
      </c>
      <c r="O252" s="433">
        <v>242</v>
      </c>
    </row>
    <row r="253" spans="1:15" s="68" customFormat="1" ht="12" customHeight="1">
      <c r="A253" s="433">
        <v>243</v>
      </c>
      <c r="B253" s="329" t="s">
        <v>291</v>
      </c>
      <c r="C253" s="327">
        <v>40193</v>
      </c>
      <c r="D253" s="20" t="s">
        <v>30</v>
      </c>
      <c r="E253" s="328">
        <v>55</v>
      </c>
      <c r="F253" s="328">
        <v>1</v>
      </c>
      <c r="G253" s="328">
        <v>31</v>
      </c>
      <c r="H253" s="477">
        <v>1782</v>
      </c>
      <c r="I253" s="478">
        <v>445</v>
      </c>
      <c r="J253" s="81">
        <f t="shared" si="20"/>
        <v>445</v>
      </c>
      <c r="K253" s="134">
        <f t="shared" si="18"/>
        <v>4.004494382022472</v>
      </c>
      <c r="L253" s="8">
        <f>197266+158498+94472.5+25746.5+5341+4975+4175+3550+3868+6158+8020+1277+951+3397+4599+198+566+1146+2247.5+174+31.5+2775.5+1188+735+2376+307+324+2613.5+1782+1782+1782</f>
        <v>542322</v>
      </c>
      <c r="M253" s="7">
        <f>19567+17056+12441+3194+866+909+697+693+818+1478+1988+298+238+832+1154+55+212+207+411+57+12+610+297+71+594+46+71+653+445+445+445</f>
        <v>66860</v>
      </c>
      <c r="N253" s="135">
        <f t="shared" si="19"/>
        <v>8.111307209093628</v>
      </c>
      <c r="O253" s="433">
        <v>243</v>
      </c>
    </row>
    <row r="254" spans="1:15" s="68" customFormat="1" ht="12" customHeight="1">
      <c r="A254" s="433">
        <v>244</v>
      </c>
      <c r="B254" s="326" t="s">
        <v>291</v>
      </c>
      <c r="C254" s="327">
        <v>40193</v>
      </c>
      <c r="D254" s="137" t="s">
        <v>30</v>
      </c>
      <c r="E254" s="328">
        <v>55</v>
      </c>
      <c r="F254" s="328">
        <v>1</v>
      </c>
      <c r="G254" s="328">
        <v>30</v>
      </c>
      <c r="H254" s="477">
        <v>1782</v>
      </c>
      <c r="I254" s="478">
        <v>445</v>
      </c>
      <c r="J254" s="81">
        <f t="shared" si="20"/>
        <v>445</v>
      </c>
      <c r="K254" s="134">
        <f t="shared" si="18"/>
        <v>4.004494382022472</v>
      </c>
      <c r="L254" s="8">
        <f>197266+158498+94472.5+25746.5+5341+4975+4175+3550+3868+6158+8020+1277+951+3397+4599+198+566+1146+2247.5+174+31.5+2775.5+1188+735+2376+307+324+2613.5+1782+1782</f>
        <v>540540</v>
      </c>
      <c r="M254" s="7">
        <f>19567+17056+12441+3194+866+909+697+693+818+1478+1988+298+238+832+1154+55+212+207+411+57+12+610+297+71+594+46+71+653+445+445</f>
        <v>66415</v>
      </c>
      <c r="N254" s="135">
        <f t="shared" si="19"/>
        <v>8.138824060829633</v>
      </c>
      <c r="O254" s="433">
        <v>244</v>
      </c>
    </row>
    <row r="255" spans="1:15" s="68" customFormat="1" ht="12" customHeight="1">
      <c r="A255" s="433">
        <v>245</v>
      </c>
      <c r="B255" s="324" t="s">
        <v>291</v>
      </c>
      <c r="C255" s="313">
        <v>40193</v>
      </c>
      <c r="D255" s="137" t="s">
        <v>30</v>
      </c>
      <c r="E255" s="314">
        <v>55</v>
      </c>
      <c r="F255" s="314">
        <v>1</v>
      </c>
      <c r="G255" s="314">
        <v>29</v>
      </c>
      <c r="H255" s="477">
        <v>1782</v>
      </c>
      <c r="I255" s="478">
        <v>445</v>
      </c>
      <c r="J255" s="81">
        <f t="shared" si="20"/>
        <v>445</v>
      </c>
      <c r="K255" s="134">
        <f t="shared" si="18"/>
        <v>4.004494382022472</v>
      </c>
      <c r="L255" s="8">
        <f>197266+158498+94472.5+25746.5+5341+4975+4175+3550+3868+6158+8020+1277+951+3397+4599+198+566+1146+2247.5+174+31.5+2775.5+1188+735+2376+307+324+2613.5+1782</f>
        <v>538758</v>
      </c>
      <c r="M255" s="7">
        <f>19567+17056+12441+3194+866+909+697+693+818+1478+1988+298+238+832+1154+55+212+207+411+57+12+610+297+71+594+46+71+653+445</f>
        <v>65970</v>
      </c>
      <c r="N255" s="135">
        <f t="shared" si="19"/>
        <v>8.166712141882673</v>
      </c>
      <c r="O255" s="433">
        <v>245</v>
      </c>
    </row>
    <row r="256" spans="1:15" s="68" customFormat="1" ht="12" customHeight="1">
      <c r="A256" s="433">
        <v>246</v>
      </c>
      <c r="B256" s="286" t="s">
        <v>298</v>
      </c>
      <c r="C256" s="22">
        <v>40228</v>
      </c>
      <c r="D256" s="20" t="s">
        <v>30</v>
      </c>
      <c r="E256" s="23">
        <v>88</v>
      </c>
      <c r="F256" s="23">
        <v>1</v>
      </c>
      <c r="G256" s="23">
        <v>25</v>
      </c>
      <c r="H256" s="477">
        <v>1782</v>
      </c>
      <c r="I256" s="478">
        <v>445</v>
      </c>
      <c r="J256" s="81">
        <f t="shared" si="20"/>
        <v>445</v>
      </c>
      <c r="K256" s="134">
        <f t="shared" si="18"/>
        <v>4.004494382022472</v>
      </c>
      <c r="L256" s="8">
        <f>848677.55+469+99+661+35+1782+1782</f>
        <v>853505.55</v>
      </c>
      <c r="M256" s="7">
        <f>99747+71+15+97+3+445+445</f>
        <v>100823</v>
      </c>
      <c r="N256" s="135">
        <f t="shared" si="19"/>
        <v>8.465385378336293</v>
      </c>
      <c r="O256" s="433">
        <v>246</v>
      </c>
    </row>
    <row r="257" spans="1:15" s="68" customFormat="1" ht="12" customHeight="1">
      <c r="A257" s="433">
        <v>247</v>
      </c>
      <c r="B257" s="299" t="s">
        <v>299</v>
      </c>
      <c r="C257" s="294">
        <v>40347</v>
      </c>
      <c r="D257" s="137" t="s">
        <v>30</v>
      </c>
      <c r="E257" s="300">
        <v>66</v>
      </c>
      <c r="F257" s="300">
        <v>1</v>
      </c>
      <c r="G257" s="300">
        <v>29</v>
      </c>
      <c r="H257" s="477">
        <v>1782</v>
      </c>
      <c r="I257" s="478">
        <v>445</v>
      </c>
      <c r="J257" s="81">
        <f t="shared" si="20"/>
        <v>445</v>
      </c>
      <c r="K257" s="134">
        <f t="shared" si="18"/>
        <v>4.004494382022472</v>
      </c>
      <c r="L257" s="8">
        <f>478213+7083+3309.5+6055+4900+8378+4378.5+2349+3103+2074+7679.5+6108+2991.5+2180+2234+642+2775.5+1757+1151+3382+60+1782</f>
        <v>552585.5</v>
      </c>
      <c r="M257" s="7">
        <f>55327+1259+553+1133+756+1285+650+408+682+334+1688+1394+539+483+475+201+677+260+202+852+20+445</f>
        <v>69623</v>
      </c>
      <c r="N257" s="135">
        <f t="shared" si="19"/>
        <v>7.936824038033408</v>
      </c>
      <c r="O257" s="433">
        <v>247</v>
      </c>
    </row>
    <row r="258" spans="1:15" s="68" customFormat="1" ht="12" customHeight="1">
      <c r="A258" s="433">
        <v>248</v>
      </c>
      <c r="B258" s="136" t="s">
        <v>313</v>
      </c>
      <c r="C258" s="22">
        <v>40410</v>
      </c>
      <c r="D258" s="137" t="s">
        <v>30</v>
      </c>
      <c r="E258" s="23">
        <v>100</v>
      </c>
      <c r="F258" s="23">
        <v>1</v>
      </c>
      <c r="G258" s="23">
        <v>18</v>
      </c>
      <c r="H258" s="477">
        <v>1782</v>
      </c>
      <c r="I258" s="478">
        <v>445</v>
      </c>
      <c r="J258" s="81">
        <f t="shared" si="20"/>
        <v>445</v>
      </c>
      <c r="K258" s="134">
        <f t="shared" si="18"/>
        <v>4.004494382022472</v>
      </c>
      <c r="L258" s="8">
        <f>4793.5+233907+173006+95171+69286+22212.5+11921.5+10683+6473+5548+3621+5930+360+5346+2138.5+6058.5+4752+950.5+1782</f>
        <v>663940</v>
      </c>
      <c r="M258" s="7">
        <f>312+25267+17706+10642+10638+3791+2335+2134+1501+1673+635+1434+72+1336+534+1515+1188+238+445</f>
        <v>83396</v>
      </c>
      <c r="N258" s="135">
        <f t="shared" si="19"/>
        <v>7.9612931075830975</v>
      </c>
      <c r="O258" s="433">
        <v>248</v>
      </c>
    </row>
    <row r="259" spans="1:15" s="68" customFormat="1" ht="12" customHeight="1">
      <c r="A259" s="433">
        <v>249</v>
      </c>
      <c r="B259" s="133" t="s">
        <v>328</v>
      </c>
      <c r="C259" s="22">
        <v>40494</v>
      </c>
      <c r="D259" s="137" t="s">
        <v>30</v>
      </c>
      <c r="E259" s="23">
        <v>80</v>
      </c>
      <c r="F259" s="23">
        <v>1</v>
      </c>
      <c r="G259" s="23">
        <v>9</v>
      </c>
      <c r="H259" s="477">
        <v>1782</v>
      </c>
      <c r="I259" s="478">
        <v>445</v>
      </c>
      <c r="J259" s="81">
        <f t="shared" si="20"/>
        <v>445</v>
      </c>
      <c r="K259" s="134">
        <f t="shared" si="18"/>
        <v>4.004494382022472</v>
      </c>
      <c r="L259" s="8">
        <f>400584.5+260220.5+91588.5+26738.5+6598.5+10112.5+8832+11751.5+1782</f>
        <v>818208.5</v>
      </c>
      <c r="M259" s="7">
        <f>34427+24318+9929+5066+1310+1866+1322+2055+445</f>
        <v>80738</v>
      </c>
      <c r="N259" s="135">
        <f t="shared" si="19"/>
        <v>10.134119002204661</v>
      </c>
      <c r="O259" s="433">
        <v>249</v>
      </c>
    </row>
    <row r="260" spans="1:15" s="68" customFormat="1" ht="12" customHeight="1">
      <c r="A260" s="433">
        <v>250</v>
      </c>
      <c r="B260" s="154" t="s">
        <v>268</v>
      </c>
      <c r="C260" s="2">
        <v>40207</v>
      </c>
      <c r="D260" s="12" t="s">
        <v>21</v>
      </c>
      <c r="E260" s="3">
        <v>47</v>
      </c>
      <c r="F260" s="3">
        <v>2</v>
      </c>
      <c r="G260" s="3">
        <v>40</v>
      </c>
      <c r="H260" s="489">
        <v>1782</v>
      </c>
      <c r="I260" s="488">
        <v>356</v>
      </c>
      <c r="J260" s="72">
        <f>IF(H260&lt;&gt;0,I260/F260,"")</f>
        <v>178</v>
      </c>
      <c r="K260" s="161">
        <f>IF(H260&lt;&gt;0,H260/I260,"")</f>
        <v>5.00561797752809</v>
      </c>
      <c r="L260" s="24">
        <f>1873890.5+5542+564+70+558+190+292+283.5+618+H260</f>
        <v>1883790</v>
      </c>
      <c r="M260" s="28">
        <f>160830+1202+112+10+80+27+42+44+119+I260</f>
        <v>162822</v>
      </c>
      <c r="N260" s="160">
        <f>IF(L260&lt;&gt;0,L260/M260,"")</f>
        <v>11.569628182923683</v>
      </c>
      <c r="O260" s="433">
        <v>250</v>
      </c>
    </row>
    <row r="261" spans="1:15" s="68" customFormat="1" ht="12" customHeight="1">
      <c r="A261" s="433">
        <v>251</v>
      </c>
      <c r="B261" s="351" t="s">
        <v>385</v>
      </c>
      <c r="C261" s="359">
        <v>40102</v>
      </c>
      <c r="D261" s="344" t="s">
        <v>21</v>
      </c>
      <c r="E261" s="12">
        <v>319</v>
      </c>
      <c r="F261" s="12">
        <v>1</v>
      </c>
      <c r="G261" s="12">
        <v>37</v>
      </c>
      <c r="H261" s="489">
        <v>1782</v>
      </c>
      <c r="I261" s="497">
        <v>356</v>
      </c>
      <c r="J261" s="186">
        <f>I261/F261</f>
        <v>356</v>
      </c>
      <c r="K261" s="234">
        <f aca="true" t="shared" si="21" ref="K261:K266">H261/I261</f>
        <v>5.00561797752809</v>
      </c>
      <c r="L261" s="24">
        <f>19814046.25+1782</f>
        <v>19815828.25</v>
      </c>
      <c r="M261" s="19">
        <f>2436288+356</f>
        <v>2436644</v>
      </c>
      <c r="N261" s="244">
        <f>+L261/M261</f>
        <v>8.132426505472282</v>
      </c>
      <c r="O261" s="433">
        <v>251</v>
      </c>
    </row>
    <row r="262" spans="1:15" s="68" customFormat="1" ht="12" customHeight="1">
      <c r="A262" s="433">
        <v>252</v>
      </c>
      <c r="B262" s="154" t="s">
        <v>377</v>
      </c>
      <c r="C262" s="364">
        <v>40529</v>
      </c>
      <c r="D262" s="344" t="s">
        <v>21</v>
      </c>
      <c r="E262" s="363">
        <v>134</v>
      </c>
      <c r="F262" s="363">
        <v>1</v>
      </c>
      <c r="G262" s="363">
        <v>12</v>
      </c>
      <c r="H262" s="489">
        <v>1782</v>
      </c>
      <c r="I262" s="497">
        <v>356</v>
      </c>
      <c r="J262" s="186">
        <f>I262/F262</f>
        <v>356</v>
      </c>
      <c r="K262" s="234">
        <f t="shared" si="21"/>
        <v>5.00561797752809</v>
      </c>
      <c r="L262" s="24">
        <f>415183+3929+3246+2363+1074+230+2072+4630+1180+1782</f>
        <v>435689</v>
      </c>
      <c r="M262" s="19">
        <f>52315+638+476+361+299+38+414+683+192+356</f>
        <v>55772</v>
      </c>
      <c r="N262" s="244">
        <f>+L262/M262</f>
        <v>7.811966578211289</v>
      </c>
      <c r="O262" s="433">
        <v>252</v>
      </c>
    </row>
    <row r="263" spans="1:15" s="68" customFormat="1" ht="12" customHeight="1">
      <c r="A263" s="433">
        <v>253</v>
      </c>
      <c r="B263" s="152" t="s">
        <v>139</v>
      </c>
      <c r="C263" s="2">
        <v>40515</v>
      </c>
      <c r="D263" s="9" t="s">
        <v>10</v>
      </c>
      <c r="E263" s="3">
        <v>337</v>
      </c>
      <c r="F263" s="3">
        <v>1</v>
      </c>
      <c r="G263" s="3">
        <v>14</v>
      </c>
      <c r="H263" s="485">
        <v>1781</v>
      </c>
      <c r="I263" s="486">
        <v>1306</v>
      </c>
      <c r="J263" s="80">
        <f>I263/F263</f>
        <v>1306</v>
      </c>
      <c r="K263" s="141">
        <f t="shared" si="21"/>
        <v>1.3637059724349159</v>
      </c>
      <c r="L263" s="30">
        <v>19640669</v>
      </c>
      <c r="M263" s="29">
        <v>2097270</v>
      </c>
      <c r="N263" s="153">
        <f>+L263/M263</f>
        <v>9.364873859827298</v>
      </c>
      <c r="O263" s="433">
        <v>253</v>
      </c>
    </row>
    <row r="264" spans="1:15" s="68" customFormat="1" ht="12" customHeight="1">
      <c r="A264" s="433">
        <v>254</v>
      </c>
      <c r="B264" s="293" t="s">
        <v>273</v>
      </c>
      <c r="C264" s="294">
        <v>39995</v>
      </c>
      <c r="D264" s="137" t="s">
        <v>30</v>
      </c>
      <c r="E264" s="295">
        <v>209</v>
      </c>
      <c r="F264" s="295">
        <v>1</v>
      </c>
      <c r="G264" s="295">
        <v>62</v>
      </c>
      <c r="H264" s="479">
        <v>1780</v>
      </c>
      <c r="I264" s="480">
        <v>445</v>
      </c>
      <c r="J264" s="140">
        <f>(I264/F264)</f>
        <v>445</v>
      </c>
      <c r="K264" s="138">
        <f t="shared" si="21"/>
        <v>4</v>
      </c>
      <c r="L264" s="16">
        <f>11405777.5+385+1188+6614+2968+1417+277+2612+1424+952+1780</f>
        <v>11425394.5</v>
      </c>
      <c r="M264" s="17">
        <f>1424397+63+297+1638+742+364+66+653+356+238+445</f>
        <v>1429259</v>
      </c>
      <c r="N264" s="135">
        <f>L264/M264</f>
        <v>7.993928672130104</v>
      </c>
      <c r="O264" s="433">
        <v>254</v>
      </c>
    </row>
    <row r="265" spans="1:15" s="68" customFormat="1" ht="12" customHeight="1">
      <c r="A265" s="433">
        <v>255</v>
      </c>
      <c r="B265" s="150" t="s">
        <v>274</v>
      </c>
      <c r="C265" s="22">
        <v>39738</v>
      </c>
      <c r="D265" s="137" t="s">
        <v>30</v>
      </c>
      <c r="E265" s="139">
        <v>67</v>
      </c>
      <c r="F265" s="139">
        <v>1</v>
      </c>
      <c r="G265" s="139">
        <v>44</v>
      </c>
      <c r="H265" s="477">
        <v>1780</v>
      </c>
      <c r="I265" s="478">
        <v>445</v>
      </c>
      <c r="J265" s="81">
        <f>(I265/F265)</f>
        <v>445</v>
      </c>
      <c r="K265" s="134">
        <f t="shared" si="21"/>
        <v>4</v>
      </c>
      <c r="L265" s="8">
        <f>575413.5+2968+2376+2737+2376+2376+4752+2376+952+1780</f>
        <v>598106.5</v>
      </c>
      <c r="M265" s="7">
        <f>83313+742+594+635+594+594+1188+594+238+445</f>
        <v>88937</v>
      </c>
      <c r="N265" s="135">
        <f>L265/M265</f>
        <v>6.725058187256147</v>
      </c>
      <c r="O265" s="433">
        <v>255</v>
      </c>
    </row>
    <row r="266" spans="1:15" s="68" customFormat="1" ht="12" customHeight="1">
      <c r="A266" s="433">
        <v>256</v>
      </c>
      <c r="B266" s="133" t="s">
        <v>386</v>
      </c>
      <c r="C266" s="22">
        <v>39801</v>
      </c>
      <c r="D266" s="345" t="s">
        <v>30</v>
      </c>
      <c r="E266" s="23">
        <v>42</v>
      </c>
      <c r="F266" s="23">
        <v>1</v>
      </c>
      <c r="G266" s="23">
        <v>40</v>
      </c>
      <c r="H266" s="477">
        <v>1780</v>
      </c>
      <c r="I266" s="478">
        <v>445</v>
      </c>
      <c r="J266" s="72">
        <f>I266/F266</f>
        <v>445</v>
      </c>
      <c r="K266" s="159">
        <f t="shared" si="21"/>
        <v>4</v>
      </c>
      <c r="L266" s="8">
        <f>295344+204961.5+145464.5+116108.5+111972.5+49984+26327+32042+18579+20005+19180+15980+2686.5+3166.5+366+13433+4493+735.5+607.5+2528+83+198+248+2348+825+2700+2268+393+2002+2063+343+1188+2020+398.46+291.4+240.58+592+2376+1308+1780</f>
        <v>1107629.44</v>
      </c>
      <c r="M266" s="7">
        <f>36142+24747+19417+15404+14719+7567+3314+5289+3173+3275+3534+2826+540+724+52+2536+882+130+150+615+21+66+51+497+165+675+506+78+241+404+59+297+505+86+63+59+148+594+327+445</f>
        <v>150323</v>
      </c>
      <c r="N266" s="167">
        <f>L266/M266</f>
        <v>7.3683297965048595</v>
      </c>
      <c r="O266" s="433">
        <v>256</v>
      </c>
    </row>
    <row r="267" spans="1:15" s="68" customFormat="1" ht="12" customHeight="1">
      <c r="A267" s="433">
        <v>257</v>
      </c>
      <c r="B267" s="315" t="s">
        <v>288</v>
      </c>
      <c r="C267" s="313">
        <v>40480</v>
      </c>
      <c r="D267" s="317" t="s">
        <v>133</v>
      </c>
      <c r="E267" s="316">
        <v>15</v>
      </c>
      <c r="F267" s="316">
        <v>1</v>
      </c>
      <c r="G267" s="316">
        <v>7</v>
      </c>
      <c r="H267" s="490">
        <v>1779</v>
      </c>
      <c r="I267" s="491">
        <v>356</v>
      </c>
      <c r="J267" s="166">
        <v>356</v>
      </c>
      <c r="K267" s="318">
        <v>4.997191011235955</v>
      </c>
      <c r="L267" s="165">
        <v>57513</v>
      </c>
      <c r="M267" s="166">
        <v>6199</v>
      </c>
      <c r="N267" s="319">
        <v>9.277786739796742</v>
      </c>
      <c r="O267" s="433">
        <v>257</v>
      </c>
    </row>
    <row r="268" spans="1:15" s="68" customFormat="1" ht="12" customHeight="1">
      <c r="A268" s="433">
        <v>258</v>
      </c>
      <c r="B268" s="136" t="s">
        <v>331</v>
      </c>
      <c r="C268" s="357">
        <v>40508</v>
      </c>
      <c r="D268" s="344" t="s">
        <v>23</v>
      </c>
      <c r="E268" s="21">
        <v>11</v>
      </c>
      <c r="F268" s="21">
        <v>1</v>
      </c>
      <c r="G268" s="21">
        <v>37</v>
      </c>
      <c r="H268" s="467">
        <v>1750</v>
      </c>
      <c r="I268" s="468">
        <v>525</v>
      </c>
      <c r="J268" s="186">
        <f>I268/F268</f>
        <v>525</v>
      </c>
      <c r="K268" s="234">
        <f aca="true" t="shared" si="22" ref="K268:K276">H268/I268</f>
        <v>3.3333333333333335</v>
      </c>
      <c r="L268" s="18">
        <v>110667</v>
      </c>
      <c r="M268" s="19">
        <v>9527</v>
      </c>
      <c r="N268" s="235">
        <f>+L268/M268</f>
        <v>11.616143591896714</v>
      </c>
      <c r="O268" s="433">
        <v>258</v>
      </c>
    </row>
    <row r="269" spans="1:15" s="68" customFormat="1" ht="12" customHeight="1">
      <c r="A269" s="433">
        <v>259</v>
      </c>
      <c r="B269" s="198" t="s">
        <v>135</v>
      </c>
      <c r="C269" s="22">
        <v>40522</v>
      </c>
      <c r="D269" s="20" t="s">
        <v>30</v>
      </c>
      <c r="E269" s="23">
        <v>127</v>
      </c>
      <c r="F269" s="23">
        <v>2</v>
      </c>
      <c r="G269" s="23">
        <v>15</v>
      </c>
      <c r="H269" s="477">
        <v>1722.5</v>
      </c>
      <c r="I269" s="478">
        <v>318</v>
      </c>
      <c r="J269" s="81">
        <f>(I269/F269)</f>
        <v>159</v>
      </c>
      <c r="K269" s="134">
        <f t="shared" si="22"/>
        <v>5.416666666666667</v>
      </c>
      <c r="L269" s="8">
        <f>1048675+809166.5+457718.5+70165.5+7102+12164+8619.5+11777.5+6559.5+3338.5+10420.5+3303+3205+2076+1722.5</f>
        <v>2456013.5</v>
      </c>
      <c r="M269" s="7">
        <f>92481+73795+43350+8841+1153+2869+1615+2831+1620+630+2477+726+513+481+318</f>
        <v>233700</v>
      </c>
      <c r="N269" s="135">
        <f>L269/M269</f>
        <v>10.509257595207531</v>
      </c>
      <c r="O269" s="433">
        <v>259</v>
      </c>
    </row>
    <row r="270" spans="1:15" s="68" customFormat="1" ht="12" customHeight="1">
      <c r="A270" s="433">
        <v>260</v>
      </c>
      <c r="B270" s="306" t="s">
        <v>296</v>
      </c>
      <c r="C270" s="307">
        <v>40515</v>
      </c>
      <c r="D270" s="308" t="s">
        <v>130</v>
      </c>
      <c r="E270" s="309">
        <v>62</v>
      </c>
      <c r="F270" s="144">
        <v>2</v>
      </c>
      <c r="G270" s="309">
        <v>27</v>
      </c>
      <c r="H270" s="477">
        <v>1718.5</v>
      </c>
      <c r="I270" s="478">
        <v>430</v>
      </c>
      <c r="J270" s="186">
        <f>I270/F270</f>
        <v>215</v>
      </c>
      <c r="K270" s="234">
        <f t="shared" si="22"/>
        <v>3.9965116279069766</v>
      </c>
      <c r="L270" s="8">
        <f>353151+191248+132731.5+71376+47862+26248.5+19265+34650.5+35095.5+42312+25849+10987+7528+3248+2395.5+3280.5+3141.5+4280+3042+1597+6128+4358+2107+777+4230+4335.5+1718.5</f>
        <v>1042942.5</v>
      </c>
      <c r="M270" s="7">
        <f>34650+19352+14525+10591+7581+5012+3223+6065+6865+6589+3930+1782+1091+624+468+512+688+987+804+306+1395+991+478+166+1058+1084+430</f>
        <v>131247</v>
      </c>
      <c r="N270" s="74">
        <f>+L270/M270</f>
        <v>7.946410203661798</v>
      </c>
      <c r="O270" s="433">
        <v>260</v>
      </c>
    </row>
    <row r="271" spans="1:15" s="68" customFormat="1" ht="12" customHeight="1">
      <c r="A271" s="433">
        <v>261</v>
      </c>
      <c r="B271" s="136" t="s">
        <v>164</v>
      </c>
      <c r="C271" s="22">
        <v>40487</v>
      </c>
      <c r="D271" s="20" t="s">
        <v>28</v>
      </c>
      <c r="E271" s="23">
        <v>162</v>
      </c>
      <c r="F271" s="23">
        <v>3</v>
      </c>
      <c r="G271" s="23">
        <v>11</v>
      </c>
      <c r="H271" s="475">
        <v>1644</v>
      </c>
      <c r="I271" s="476">
        <v>319</v>
      </c>
      <c r="J271" s="81">
        <f>(I271/F271)</f>
        <v>106.33333333333333</v>
      </c>
      <c r="K271" s="134">
        <f t="shared" si="22"/>
        <v>5.153605015673981</v>
      </c>
      <c r="L271" s="26">
        <f>525983.5+915356-20+520720.5+229861+37809.5+41066.5+9062.5+5020+8527+1340+1644</f>
        <v>2296370.5</v>
      </c>
      <c r="M271" s="28">
        <f>56225+93965-2+58841+28041+5233+5910+1474+785+1182+198+319</f>
        <v>252171</v>
      </c>
      <c r="N271" s="135">
        <f>L271/M271</f>
        <v>9.106402004988679</v>
      </c>
      <c r="O271" s="433">
        <v>261</v>
      </c>
    </row>
    <row r="272" spans="1:15" s="68" customFormat="1" ht="12" customHeight="1">
      <c r="A272" s="433">
        <v>262</v>
      </c>
      <c r="B272" s="133" t="s">
        <v>329</v>
      </c>
      <c r="C272" s="22">
        <v>40508</v>
      </c>
      <c r="D272" s="20" t="s">
        <v>30</v>
      </c>
      <c r="E272" s="23">
        <v>34</v>
      </c>
      <c r="F272" s="23">
        <v>1</v>
      </c>
      <c r="G272" s="23">
        <v>11</v>
      </c>
      <c r="H272" s="477">
        <v>1632.5</v>
      </c>
      <c r="I272" s="478">
        <v>203</v>
      </c>
      <c r="J272" s="81">
        <f>(I272/F272)</f>
        <v>203</v>
      </c>
      <c r="K272" s="134">
        <f t="shared" si="22"/>
        <v>8.041871921182265</v>
      </c>
      <c r="L272" s="8">
        <f>122173+87330+23120+25637+29159.5+14630.5+403+1246+229+767+1632.5</f>
        <v>306327.5</v>
      </c>
      <c r="M272" s="7">
        <f>10588+8153+2702+3877+4807+2283+58+199+33+115+203</f>
        <v>33018</v>
      </c>
      <c r="N272" s="135">
        <f>L272/M272</f>
        <v>9.277591010963716</v>
      </c>
      <c r="O272" s="433">
        <v>262</v>
      </c>
    </row>
    <row r="273" spans="1:15" s="68" customFormat="1" ht="12" customHeight="1">
      <c r="A273" s="433">
        <v>263</v>
      </c>
      <c r="B273" s="154" t="s">
        <v>378</v>
      </c>
      <c r="C273" s="364">
        <v>40312</v>
      </c>
      <c r="D273" s="344" t="s">
        <v>21</v>
      </c>
      <c r="E273" s="363">
        <v>76</v>
      </c>
      <c r="F273" s="363">
        <v>1</v>
      </c>
      <c r="G273" s="363">
        <v>26</v>
      </c>
      <c r="H273" s="489">
        <v>1600</v>
      </c>
      <c r="I273" s="497">
        <v>200</v>
      </c>
      <c r="J273" s="186">
        <f>I273/F273</f>
        <v>200</v>
      </c>
      <c r="K273" s="234">
        <f t="shared" si="22"/>
        <v>8</v>
      </c>
      <c r="L273" s="24">
        <v>380002</v>
      </c>
      <c r="M273" s="19">
        <v>34659</v>
      </c>
      <c r="N273" s="244">
        <f>+L273/M273</f>
        <v>10.964020889235119</v>
      </c>
      <c r="O273" s="433">
        <v>263</v>
      </c>
    </row>
    <row r="274" spans="1:15" s="68" customFormat="1" ht="12" customHeight="1">
      <c r="A274" s="433">
        <v>264</v>
      </c>
      <c r="B274" s="133" t="s">
        <v>296</v>
      </c>
      <c r="C274" s="22">
        <v>40515</v>
      </c>
      <c r="D274" s="20" t="s">
        <v>30</v>
      </c>
      <c r="E274" s="23">
        <v>62</v>
      </c>
      <c r="F274" s="23">
        <v>3</v>
      </c>
      <c r="G274" s="23">
        <v>20</v>
      </c>
      <c r="H274" s="477">
        <v>1597</v>
      </c>
      <c r="I274" s="478">
        <v>306</v>
      </c>
      <c r="J274" s="81">
        <f>(I274/F274)</f>
        <v>102</v>
      </c>
      <c r="K274" s="134">
        <f t="shared" si="22"/>
        <v>5.218954248366013</v>
      </c>
      <c r="L274" s="8">
        <f>353151+191248+132731.5+71376+47862+26248.5+19265+34650.5+35095.5+42312+25849+10987+7528+3248+2395.5+3280.5+3141.5+4280+3042+1597</f>
        <v>1019288.5</v>
      </c>
      <c r="M274" s="7">
        <f>34650+19352+14525+10591+7581+5012+3223+6065+6865+6589+3930+1782+1091+624+468+512+688+987+804+306</f>
        <v>125645</v>
      </c>
      <c r="N274" s="135">
        <f>L274/M274</f>
        <v>8.112447769509332</v>
      </c>
      <c r="O274" s="433">
        <v>264</v>
      </c>
    </row>
    <row r="275" spans="1:15" s="68" customFormat="1" ht="12" customHeight="1">
      <c r="A275" s="433">
        <v>265</v>
      </c>
      <c r="B275" s="142" t="s">
        <v>328</v>
      </c>
      <c r="C275" s="143">
        <v>40494</v>
      </c>
      <c r="D275" s="137" t="s">
        <v>30</v>
      </c>
      <c r="E275" s="144">
        <v>80</v>
      </c>
      <c r="F275" s="144">
        <v>2</v>
      </c>
      <c r="G275" s="144">
        <v>10</v>
      </c>
      <c r="H275" s="481">
        <v>1570.5</v>
      </c>
      <c r="I275" s="482">
        <v>470</v>
      </c>
      <c r="J275" s="145">
        <f>(I275/F275)</f>
        <v>235</v>
      </c>
      <c r="K275" s="146">
        <f t="shared" si="22"/>
        <v>3.3414893617021275</v>
      </c>
      <c r="L275" s="147">
        <f>400584.5+260220.5+91588.5+26738.5+6598.5+10112.5+8832+11751.5+1782+1570.5</f>
        <v>819779</v>
      </c>
      <c r="M275" s="148">
        <f>34427+24318+9929+5066+1310+1866+1322+2055+445+470</f>
        <v>81208</v>
      </c>
      <c r="N275" s="149">
        <f>L275/M275</f>
        <v>10.094805930450201</v>
      </c>
      <c r="O275" s="433">
        <v>265</v>
      </c>
    </row>
    <row r="276" spans="1:15" s="68" customFormat="1" ht="12" customHeight="1">
      <c r="A276" s="433">
        <v>266</v>
      </c>
      <c r="B276" s="157" t="s">
        <v>158</v>
      </c>
      <c r="C276" s="2">
        <v>40501</v>
      </c>
      <c r="D276" s="10" t="s">
        <v>134</v>
      </c>
      <c r="E276" s="4">
        <v>121</v>
      </c>
      <c r="F276" s="4">
        <v>2</v>
      </c>
      <c r="G276" s="4">
        <v>13</v>
      </c>
      <c r="H276" s="494">
        <v>1565</v>
      </c>
      <c r="I276" s="493">
        <v>369</v>
      </c>
      <c r="J276" s="168">
        <f>I276/F276</f>
        <v>184.5</v>
      </c>
      <c r="K276" s="169">
        <f t="shared" si="22"/>
        <v>4.2411924119241196</v>
      </c>
      <c r="L276" s="170">
        <v>1601521</v>
      </c>
      <c r="M276" s="171">
        <v>162757</v>
      </c>
      <c r="N276" s="172">
        <f>+L276/M276</f>
        <v>9.839951584263657</v>
      </c>
      <c r="O276" s="433">
        <v>266</v>
      </c>
    </row>
    <row r="277" spans="1:15" s="68" customFormat="1" ht="12" customHeight="1">
      <c r="A277" s="433">
        <v>267</v>
      </c>
      <c r="B277" s="150" t="s">
        <v>290</v>
      </c>
      <c r="C277" s="22">
        <v>40536</v>
      </c>
      <c r="D277" s="137" t="s">
        <v>23</v>
      </c>
      <c r="E277" s="139">
        <v>91</v>
      </c>
      <c r="F277" s="139">
        <v>1</v>
      </c>
      <c r="G277" s="139">
        <v>9</v>
      </c>
      <c r="H277" s="475">
        <v>1546</v>
      </c>
      <c r="I277" s="476">
        <v>759</v>
      </c>
      <c r="J277" s="28">
        <f>I277/F277</f>
        <v>759</v>
      </c>
      <c r="K277" s="180">
        <f>+H277/I277</f>
        <v>2.036890645586298</v>
      </c>
      <c r="L277" s="26">
        <v>1197983</v>
      </c>
      <c r="M277" s="28">
        <v>105389</v>
      </c>
      <c r="N277" s="181">
        <f>+L277/M277</f>
        <v>11.367248953875642</v>
      </c>
      <c r="O277" s="433">
        <v>267</v>
      </c>
    </row>
    <row r="278" spans="1:15" s="68" customFormat="1" ht="12" customHeight="1">
      <c r="A278" s="433">
        <v>268</v>
      </c>
      <c r="B278" s="332" t="s">
        <v>281</v>
      </c>
      <c r="C278" s="143">
        <v>40368</v>
      </c>
      <c r="D278" s="85" t="s">
        <v>30</v>
      </c>
      <c r="E278" s="144">
        <v>126</v>
      </c>
      <c r="F278" s="144">
        <v>1</v>
      </c>
      <c r="G278" s="144">
        <v>25</v>
      </c>
      <c r="H278" s="477">
        <v>1544.5</v>
      </c>
      <c r="I278" s="478">
        <v>386</v>
      </c>
      <c r="J278" s="72">
        <f>I278/F278</f>
        <v>386</v>
      </c>
      <c r="K278" s="73">
        <f>H278/I278</f>
        <v>4.001295336787565</v>
      </c>
      <c r="L278" s="8">
        <f>2106797.5+50230.5+32558.5+15249.5+15137+17418.5+7784.5+2808+2841.5+1328+2453+1693+613+726+713+1425.5+1782+1437+1782+2376+1544.5</f>
        <v>2268698.5</v>
      </c>
      <c r="M278" s="7">
        <f>220679+7944+5486+2451+2714+3159+1414+494+658+202+452+398+85+227+178+356+445+228+445+594+386</f>
        <v>248995</v>
      </c>
      <c r="N278" s="74">
        <f>+L278/M278</f>
        <v>9.111421916102733</v>
      </c>
      <c r="O278" s="433">
        <v>268</v>
      </c>
    </row>
    <row r="279" spans="1:15" s="68" customFormat="1" ht="12" customHeight="1">
      <c r="A279" s="433">
        <v>269</v>
      </c>
      <c r="B279" s="142" t="s">
        <v>330</v>
      </c>
      <c r="C279" s="143">
        <v>40480</v>
      </c>
      <c r="D279" s="137" t="s">
        <v>30</v>
      </c>
      <c r="E279" s="144">
        <v>100</v>
      </c>
      <c r="F279" s="144">
        <v>1</v>
      </c>
      <c r="G279" s="144">
        <v>12</v>
      </c>
      <c r="H279" s="481">
        <v>1510</v>
      </c>
      <c r="I279" s="482">
        <v>377</v>
      </c>
      <c r="J279" s="145">
        <f>(I279/F279)</f>
        <v>377</v>
      </c>
      <c r="K279" s="146">
        <f>H279/I279</f>
        <v>4.005305039787799</v>
      </c>
      <c r="L279" s="147">
        <f>1221166+429124.5+378100+240009.5+108018.5+26890.5+15319+16968+7345.5+4160+1262+1510</f>
        <v>2449873.5</v>
      </c>
      <c r="M279" s="148">
        <f>114702+40612+35598+23284+12543+4168+3055+2661+1161+850+210+377</f>
        <v>239221</v>
      </c>
      <c r="N279" s="149">
        <f>L279/M279</f>
        <v>10.24104698166131</v>
      </c>
      <c r="O279" s="433">
        <v>269</v>
      </c>
    </row>
    <row r="280" spans="1:15" s="68" customFormat="1" ht="12" customHeight="1">
      <c r="A280" s="433">
        <v>270</v>
      </c>
      <c r="B280" s="133" t="s">
        <v>164</v>
      </c>
      <c r="C280" s="22">
        <v>40487</v>
      </c>
      <c r="D280" s="20" t="s">
        <v>28</v>
      </c>
      <c r="E280" s="23">
        <v>162</v>
      </c>
      <c r="F280" s="23">
        <v>1</v>
      </c>
      <c r="G280" s="23">
        <v>16</v>
      </c>
      <c r="H280" s="475">
        <v>1503</v>
      </c>
      <c r="I280" s="476">
        <v>288</v>
      </c>
      <c r="J280" s="83">
        <v>19.8181818181821</v>
      </c>
      <c r="K280" s="207">
        <v>6.92102754237288</v>
      </c>
      <c r="L280" s="26">
        <f>525983.5+915356-20+520720.5+229861+37809.5+41066.5+9062.5+5020+8527+1340+1644+1941+1056+313+102+1503</f>
        <v>2301285.5</v>
      </c>
      <c r="M280" s="28">
        <f>56225+93965-2+58841+28041+5233+5910+1474+785+1182+198+319+388+171+52+17+288</f>
        <v>253087</v>
      </c>
      <c r="N280" s="167">
        <v>2.1488509451776</v>
      </c>
      <c r="O280" s="433">
        <v>270</v>
      </c>
    </row>
    <row r="281" spans="1:15" s="68" customFormat="1" ht="12" customHeight="1">
      <c r="A281" s="433">
        <v>271</v>
      </c>
      <c r="B281" s="133" t="s">
        <v>295</v>
      </c>
      <c r="C281" s="22">
        <v>40102</v>
      </c>
      <c r="D281" s="20" t="s">
        <v>30</v>
      </c>
      <c r="E281" s="23">
        <v>9</v>
      </c>
      <c r="F281" s="23">
        <v>1</v>
      </c>
      <c r="G281" s="23">
        <v>11</v>
      </c>
      <c r="H281" s="477">
        <v>1500</v>
      </c>
      <c r="I281" s="478">
        <v>150</v>
      </c>
      <c r="J281" s="81">
        <f>(I281/F281)</f>
        <v>150</v>
      </c>
      <c r="K281" s="134">
        <f aca="true" t="shared" si="23" ref="K281:K292">H281/I281</f>
        <v>10</v>
      </c>
      <c r="L281" s="8">
        <f>140093+133065.5+53545.5+8843.5+1143.5+938+558+224+456+4065+1500</f>
        <v>344432</v>
      </c>
      <c r="M281" s="7">
        <f>10984+10700+4415+806+91+134+57+28+33+335+150</f>
        <v>27733</v>
      </c>
      <c r="N281" s="135">
        <f>L281/M281</f>
        <v>12.419572350629215</v>
      </c>
      <c r="O281" s="433">
        <v>271</v>
      </c>
    </row>
    <row r="282" spans="1:15" s="68" customFormat="1" ht="12" customHeight="1">
      <c r="A282" s="433">
        <v>272</v>
      </c>
      <c r="B282" s="133" t="s">
        <v>316</v>
      </c>
      <c r="C282" s="22">
        <v>40529</v>
      </c>
      <c r="D282" s="20" t="s">
        <v>30</v>
      </c>
      <c r="E282" s="23">
        <v>27</v>
      </c>
      <c r="F282" s="23">
        <v>1</v>
      </c>
      <c r="G282" s="23">
        <v>8</v>
      </c>
      <c r="H282" s="477">
        <v>1497</v>
      </c>
      <c r="I282" s="478">
        <v>218</v>
      </c>
      <c r="J282" s="81">
        <f>(I282/F282)</f>
        <v>218</v>
      </c>
      <c r="K282" s="134">
        <f t="shared" si="23"/>
        <v>6.86697247706422</v>
      </c>
      <c r="L282" s="8">
        <f>68045+25663+7073.5+5233+3859+470+100+1497</f>
        <v>111940.5</v>
      </c>
      <c r="M282" s="7">
        <f>5442+2277+920+1185+711+78+13+218</f>
        <v>10844</v>
      </c>
      <c r="N282" s="135">
        <f>L282/M282</f>
        <v>10.322805237919587</v>
      </c>
      <c r="O282" s="433">
        <v>272</v>
      </c>
    </row>
    <row r="283" spans="1:15" s="68" customFormat="1" ht="12" customHeight="1">
      <c r="A283" s="433">
        <v>273</v>
      </c>
      <c r="B283" s="335" t="s">
        <v>279</v>
      </c>
      <c r="C283" s="360">
        <v>40424</v>
      </c>
      <c r="D283" s="344" t="s">
        <v>30</v>
      </c>
      <c r="E283" s="23">
        <v>5</v>
      </c>
      <c r="F283" s="23">
        <v>2</v>
      </c>
      <c r="G283" s="23">
        <v>11</v>
      </c>
      <c r="H283" s="477">
        <v>1435</v>
      </c>
      <c r="I283" s="478">
        <v>183</v>
      </c>
      <c r="J283" s="72">
        <f>I283/F283</f>
        <v>91.5</v>
      </c>
      <c r="K283" s="73">
        <f t="shared" si="23"/>
        <v>7.841530054644808</v>
      </c>
      <c r="L283" s="8">
        <f>11822.5+3468.5+3273+3742.5+3152+1092+927+1058+2153.5+1188+1435</f>
        <v>33312</v>
      </c>
      <c r="M283" s="7">
        <f>827+293+410+398+368+137+124+170+462+297+183</f>
        <v>3669</v>
      </c>
      <c r="N283" s="74">
        <f>+L283/M283</f>
        <v>9.079313164349958</v>
      </c>
      <c r="O283" s="433">
        <v>273</v>
      </c>
    </row>
    <row r="284" spans="1:15" s="68" customFormat="1" ht="12" customHeight="1">
      <c r="A284" s="433">
        <v>274</v>
      </c>
      <c r="B284" s="365" t="s">
        <v>131</v>
      </c>
      <c r="C284" s="361">
        <v>40459</v>
      </c>
      <c r="D284" s="344" t="s">
        <v>30</v>
      </c>
      <c r="E284" s="362">
        <v>142</v>
      </c>
      <c r="F284" s="21">
        <v>1</v>
      </c>
      <c r="G284" s="362">
        <v>23</v>
      </c>
      <c r="H284" s="479">
        <v>1425.5</v>
      </c>
      <c r="I284" s="480">
        <v>356</v>
      </c>
      <c r="J284" s="186">
        <f>I284/F284</f>
        <v>356</v>
      </c>
      <c r="K284" s="234">
        <f t="shared" si="23"/>
        <v>4.004213483146067</v>
      </c>
      <c r="L284" s="16">
        <f>569713+434829.5+295345.5+223420+26108+12415.5+5998+1904+1368+799+648+306+1782+594+1782+1425.5+3089+151+1188+1188+2376+1188+1425.5</f>
        <v>1589043.5</v>
      </c>
      <c r="M284" s="17">
        <f>61050+47827+36467+29781+4601+2405+1000+284+287+123+103+51+445+113+446+267+708+24+297+287+594+297+356</f>
        <v>187813</v>
      </c>
      <c r="N284" s="235">
        <f>+L284/M284</f>
        <v>8.46077481324509</v>
      </c>
      <c r="O284" s="433">
        <v>274</v>
      </c>
    </row>
    <row r="285" spans="1:15" s="68" customFormat="1" ht="12" customHeight="1">
      <c r="A285" s="433">
        <v>275</v>
      </c>
      <c r="B285" s="332" t="s">
        <v>339</v>
      </c>
      <c r="C285" s="143">
        <v>40284</v>
      </c>
      <c r="D285" s="85" t="s">
        <v>30</v>
      </c>
      <c r="E285" s="144">
        <v>14</v>
      </c>
      <c r="F285" s="144">
        <v>1</v>
      </c>
      <c r="G285" s="144">
        <v>23</v>
      </c>
      <c r="H285" s="477">
        <v>1425.5</v>
      </c>
      <c r="I285" s="478">
        <v>356</v>
      </c>
      <c r="J285" s="72">
        <f>I285/F285</f>
        <v>356</v>
      </c>
      <c r="K285" s="73">
        <f t="shared" si="23"/>
        <v>4.004213483146067</v>
      </c>
      <c r="L285" s="8">
        <f>45403.5+26416+19522+5885+5520+2576+2604+1325+840+957.5+196+2970+1095+960+1330+1159+1173+1901+475+2019.5+1188+1307+1425.5</f>
        <v>128248</v>
      </c>
      <c r="M285" s="7">
        <f>4053+2594+2599+732+962+495+470+215+146+347+28+743+229+194+270+236+188+475+119+505+297+327+356</f>
        <v>16580</v>
      </c>
      <c r="N285" s="76">
        <f>L285/M285</f>
        <v>7.735102533172497</v>
      </c>
      <c r="O285" s="433">
        <v>275</v>
      </c>
    </row>
    <row r="286" spans="1:15" s="68" customFormat="1" ht="12" customHeight="1">
      <c r="A286" s="433">
        <v>276</v>
      </c>
      <c r="B286" s="299" t="s">
        <v>285</v>
      </c>
      <c r="C286" s="294">
        <v>40438</v>
      </c>
      <c r="D286" s="20" t="s">
        <v>30</v>
      </c>
      <c r="E286" s="300">
        <v>19</v>
      </c>
      <c r="F286" s="300">
        <v>1</v>
      </c>
      <c r="G286" s="300">
        <v>14</v>
      </c>
      <c r="H286" s="477">
        <v>1425.5</v>
      </c>
      <c r="I286" s="478">
        <v>356</v>
      </c>
      <c r="J286" s="81">
        <f>(I286/F286)</f>
        <v>356</v>
      </c>
      <c r="K286" s="134">
        <f t="shared" si="23"/>
        <v>4.004213483146067</v>
      </c>
      <c r="L286" s="8">
        <f>56752.5+38871+22868.5+4839+2786+2829.5+8012+670+1368+140+42+628+1188+1425.5</f>
        <v>142420</v>
      </c>
      <c r="M286" s="7">
        <f>4639+3072+2103+531+316+368+936+83+203+20+6+98+297+356</f>
        <v>13028</v>
      </c>
      <c r="N286" s="135">
        <f>L286/M286</f>
        <v>10.931839115750691</v>
      </c>
      <c r="O286" s="433">
        <v>276</v>
      </c>
    </row>
    <row r="287" spans="1:15" s="68" customFormat="1" ht="12" customHeight="1">
      <c r="A287" s="433">
        <v>277</v>
      </c>
      <c r="B287" s="335" t="s">
        <v>671</v>
      </c>
      <c r="C287" s="22">
        <v>40263</v>
      </c>
      <c r="D287" s="345" t="s">
        <v>30</v>
      </c>
      <c r="E287" s="21">
        <v>8</v>
      </c>
      <c r="F287" s="21">
        <v>1</v>
      </c>
      <c r="G287" s="21">
        <v>15</v>
      </c>
      <c r="H287" s="500">
        <v>1425.5</v>
      </c>
      <c r="I287" s="501">
        <v>356</v>
      </c>
      <c r="J287" s="186">
        <f>I287/F287</f>
        <v>356</v>
      </c>
      <c r="K287" s="161">
        <f t="shared" si="23"/>
        <v>4.004213483146067</v>
      </c>
      <c r="L287" s="8">
        <f>18741.5+4264.5+736+360+159+3593.5+2958.5+457+37+669+299+184+117+1188+1425.5</f>
        <v>35189.5</v>
      </c>
      <c r="M287" s="7">
        <f>1439+373+103+44+20+789+274+62+5+105+54+31+20+297+356</f>
        <v>3972</v>
      </c>
      <c r="N287" s="396">
        <f>L287/M287</f>
        <v>8.859390735146022</v>
      </c>
      <c r="O287" s="433">
        <v>277</v>
      </c>
    </row>
    <row r="288" spans="1:15" s="68" customFormat="1" ht="12" customHeight="1">
      <c r="A288" s="433">
        <v>278</v>
      </c>
      <c r="B288" s="365" t="s">
        <v>366</v>
      </c>
      <c r="C288" s="361">
        <v>40333</v>
      </c>
      <c r="D288" s="344" t="s">
        <v>30</v>
      </c>
      <c r="E288" s="362">
        <v>4</v>
      </c>
      <c r="F288" s="21">
        <v>1</v>
      </c>
      <c r="G288" s="362">
        <v>12</v>
      </c>
      <c r="H288" s="479">
        <v>1425.5</v>
      </c>
      <c r="I288" s="480">
        <v>356</v>
      </c>
      <c r="J288" s="186">
        <f>I288/F288</f>
        <v>356</v>
      </c>
      <c r="K288" s="234">
        <f t="shared" si="23"/>
        <v>4.004213483146067</v>
      </c>
      <c r="L288" s="16">
        <f>24273.7+308+483+1188+1425.5</f>
        <v>27678.2</v>
      </c>
      <c r="M288" s="17">
        <f>2830+67+68+297+356</f>
        <v>3618</v>
      </c>
      <c r="N288" s="235">
        <f>L288/M288</f>
        <v>7.650138197899392</v>
      </c>
      <c r="O288" s="433">
        <v>278</v>
      </c>
    </row>
    <row r="289" spans="1:15" s="68" customFormat="1" ht="12" customHeight="1">
      <c r="A289" s="433">
        <v>279</v>
      </c>
      <c r="B289" s="198" t="s">
        <v>313</v>
      </c>
      <c r="C289" s="360">
        <v>40410</v>
      </c>
      <c r="D289" s="345" t="s">
        <v>30</v>
      </c>
      <c r="E289" s="21">
        <v>100</v>
      </c>
      <c r="F289" s="3">
        <v>1</v>
      </c>
      <c r="G289" s="21">
        <v>20</v>
      </c>
      <c r="H289" s="479">
        <v>1425.5</v>
      </c>
      <c r="I289" s="480">
        <v>356</v>
      </c>
      <c r="J289" s="72">
        <f>I289/F289</f>
        <v>356</v>
      </c>
      <c r="K289" s="73">
        <f t="shared" si="23"/>
        <v>4.004213483146067</v>
      </c>
      <c r="L289" s="16">
        <f>4793.5+233907+173006+95171+69286+22212.5+11921.5+10683+6473+5548+3621+5930+360+5346+2138.5+6058.5+4752+950.5+1782+1782+1425.5</f>
        <v>667147.5</v>
      </c>
      <c r="M289" s="17">
        <f>312+25267+17706+10642+10638+3791+2335+2134+1501+1673+635+1434+72+1336+534+1515+1188+238+445+446+356</f>
        <v>84198</v>
      </c>
      <c r="N289" s="216">
        <f>+L289/M289</f>
        <v>7.923555191334711</v>
      </c>
      <c r="O289" s="433">
        <v>279</v>
      </c>
    </row>
    <row r="290" spans="1:15" s="68" customFormat="1" ht="12" customHeight="1">
      <c r="A290" s="433">
        <v>280</v>
      </c>
      <c r="B290" s="150" t="s">
        <v>138</v>
      </c>
      <c r="C290" s="22">
        <v>40459</v>
      </c>
      <c r="D290" s="137" t="s">
        <v>30</v>
      </c>
      <c r="E290" s="139">
        <v>142</v>
      </c>
      <c r="F290" s="139">
        <v>1</v>
      </c>
      <c r="G290" s="139">
        <v>16</v>
      </c>
      <c r="H290" s="477">
        <v>1425.5</v>
      </c>
      <c r="I290" s="478">
        <v>267</v>
      </c>
      <c r="J290" s="81">
        <f>(I290/F290)</f>
        <v>267</v>
      </c>
      <c r="K290" s="134">
        <f t="shared" si="23"/>
        <v>5.3389513108614235</v>
      </c>
      <c r="L290" s="8">
        <f>569713+434829.5+295345.5+223420+26108+12415.5+5998+1904+1368+799+648+306+1782+594+1782+1425.5</f>
        <v>1578438</v>
      </c>
      <c r="M290" s="7">
        <f>61050+47827+36467+29781+4601+2405+1000+284+287+123+103+51+445+113+446+267</f>
        <v>185250</v>
      </c>
      <c r="N290" s="135">
        <f>L290/M290</f>
        <v>8.520582995951417</v>
      </c>
      <c r="O290" s="433">
        <v>280</v>
      </c>
    </row>
    <row r="291" spans="1:15" s="68" customFormat="1" ht="12" customHeight="1">
      <c r="A291" s="433">
        <v>281</v>
      </c>
      <c r="B291" s="152" t="s">
        <v>266</v>
      </c>
      <c r="C291" s="2">
        <v>40459</v>
      </c>
      <c r="D291" s="9" t="s">
        <v>10</v>
      </c>
      <c r="E291" s="3">
        <v>55</v>
      </c>
      <c r="F291" s="3">
        <v>2</v>
      </c>
      <c r="G291" s="3">
        <v>17</v>
      </c>
      <c r="H291" s="485">
        <v>1379</v>
      </c>
      <c r="I291" s="486">
        <v>340</v>
      </c>
      <c r="J291" s="80">
        <f>I291/F291</f>
        <v>170</v>
      </c>
      <c r="K291" s="141">
        <f t="shared" si="23"/>
        <v>4.055882352941176</v>
      </c>
      <c r="L291" s="30">
        <v>2715672</v>
      </c>
      <c r="M291" s="29">
        <v>237405</v>
      </c>
      <c r="N291" s="153">
        <f>+L291/M291</f>
        <v>11.438984014658494</v>
      </c>
      <c r="O291" s="433">
        <v>281</v>
      </c>
    </row>
    <row r="292" spans="1:15" s="68" customFormat="1" ht="12" customHeight="1">
      <c r="A292" s="433">
        <v>282</v>
      </c>
      <c r="B292" s="133" t="s">
        <v>144</v>
      </c>
      <c r="C292" s="22">
        <v>40466</v>
      </c>
      <c r="D292" s="20" t="s">
        <v>28</v>
      </c>
      <c r="E292" s="23">
        <v>22</v>
      </c>
      <c r="F292" s="23">
        <v>3</v>
      </c>
      <c r="G292" s="23">
        <v>15</v>
      </c>
      <c r="H292" s="475">
        <v>1358</v>
      </c>
      <c r="I292" s="476">
        <v>127</v>
      </c>
      <c r="J292" s="28">
        <f>I292/F292</f>
        <v>42.333333333333336</v>
      </c>
      <c r="K292" s="180">
        <f t="shared" si="23"/>
        <v>10.692913385826772</v>
      </c>
      <c r="L292" s="26">
        <f>75899.5+52129.5+37227.5+14454+10905+6815+10220.5+4115+4193+1577.5+113+940+2002+820.5+11882+1358</f>
        <v>234652</v>
      </c>
      <c r="M292" s="28">
        <f>7028+5164+3832+1471+1190+1095+1727+519+460+216+17+109+232+274+1318+127</f>
        <v>24779</v>
      </c>
      <c r="N292" s="181">
        <f>L292/M292</f>
        <v>9.469792969853504</v>
      </c>
      <c r="O292" s="433">
        <v>282</v>
      </c>
    </row>
    <row r="293" spans="1:15" s="68" customFormat="1" ht="12" customHeight="1">
      <c r="A293" s="433">
        <v>283</v>
      </c>
      <c r="B293" s="150" t="s">
        <v>136</v>
      </c>
      <c r="C293" s="22">
        <v>40487</v>
      </c>
      <c r="D293" s="137" t="s">
        <v>28</v>
      </c>
      <c r="E293" s="139">
        <v>162</v>
      </c>
      <c r="F293" s="139">
        <v>2</v>
      </c>
      <c r="G293" s="139">
        <v>10</v>
      </c>
      <c r="H293" s="475">
        <v>1340</v>
      </c>
      <c r="I293" s="476">
        <v>198</v>
      </c>
      <c r="J293" s="72">
        <f>IF(H293&lt;&gt;0,I293/F293,"")</f>
        <v>99</v>
      </c>
      <c r="K293" s="159">
        <f>IF(H293&lt;&gt;0,H293/I293,"")</f>
        <v>6.767676767676767</v>
      </c>
      <c r="L293" s="26">
        <f>525983.5+915356-20+520720.5+229861+37809.5+41066.5+9062.5+5020+8527+1340</f>
        <v>2294726.5</v>
      </c>
      <c r="M293" s="28">
        <f>56225+93965-2+58841+28041+5233+5910+1474+785+1182+198</f>
        <v>251852</v>
      </c>
      <c r="N293" s="160">
        <f>IF(L293&lt;&gt;0,L293/M293,"")</f>
        <v>9.111408684465479</v>
      </c>
      <c r="O293" s="433">
        <v>283</v>
      </c>
    </row>
    <row r="294" spans="1:15" s="68" customFormat="1" ht="12" customHeight="1">
      <c r="A294" s="433">
        <v>284</v>
      </c>
      <c r="B294" s="293" t="s">
        <v>262</v>
      </c>
      <c r="C294" s="294">
        <v>40396</v>
      </c>
      <c r="D294" s="137" t="s">
        <v>30</v>
      </c>
      <c r="E294" s="295">
        <v>4</v>
      </c>
      <c r="F294" s="295">
        <v>2</v>
      </c>
      <c r="G294" s="295">
        <v>22</v>
      </c>
      <c r="H294" s="477">
        <v>1323</v>
      </c>
      <c r="I294" s="478">
        <v>206</v>
      </c>
      <c r="J294" s="81">
        <f>(I294/F294)</f>
        <v>103</v>
      </c>
      <c r="K294" s="134">
        <f aca="true" t="shared" si="24" ref="K294:K304">H294/I294</f>
        <v>6.422330097087379</v>
      </c>
      <c r="L294" s="8">
        <f>14959+9646+7725+4386+3960+14571+6049+4818+2605+3811+4797+6372+2996+165+950.5+1598.5+276+381+768+800+1224+1323</f>
        <v>94181</v>
      </c>
      <c r="M294" s="7">
        <f>1646+1123+1125+547+522+2218+896+595+438+656+743+1047+452+23+148+219+42+85+83+91+196+206</f>
        <v>13101</v>
      </c>
      <c r="N294" s="135">
        <f>L294/M294</f>
        <v>7.188840546523166</v>
      </c>
      <c r="O294" s="433">
        <v>284</v>
      </c>
    </row>
    <row r="295" spans="1:15" s="68" customFormat="1" ht="12" customHeight="1">
      <c r="A295" s="433">
        <v>285</v>
      </c>
      <c r="B295" s="365" t="s">
        <v>380</v>
      </c>
      <c r="C295" s="361">
        <v>39969</v>
      </c>
      <c r="D295" s="344" t="s">
        <v>30</v>
      </c>
      <c r="E295" s="362">
        <v>20</v>
      </c>
      <c r="F295" s="21">
        <v>1</v>
      </c>
      <c r="G295" s="362">
        <v>20</v>
      </c>
      <c r="H295" s="479">
        <v>1308</v>
      </c>
      <c r="I295" s="480">
        <v>327</v>
      </c>
      <c r="J295" s="186">
        <f>I295/F295</f>
        <v>327</v>
      </c>
      <c r="K295" s="234">
        <f t="shared" si="24"/>
        <v>4</v>
      </c>
      <c r="L295" s="16">
        <f>63821.75+29583.75+16102.25+8771.25+5888+8492.5+1761+3162+5226+2267+1186.5+1122.5+1305+832+660+301+151+1780+1780+1308</f>
        <v>155501.5</v>
      </c>
      <c r="M295" s="17">
        <f>6069+3045+2422+1546+1020+1313+402+594+954+378+185+151+256+78+122+64+34+445+445+327</f>
        <v>19850</v>
      </c>
      <c r="N295" s="235">
        <f>L295/M295</f>
        <v>7.8338287153652395</v>
      </c>
      <c r="O295" s="433">
        <v>285</v>
      </c>
    </row>
    <row r="296" spans="1:15" s="68" customFormat="1" ht="12" customHeight="1">
      <c r="A296" s="433">
        <v>286</v>
      </c>
      <c r="B296" s="136" t="s">
        <v>386</v>
      </c>
      <c r="C296" s="360">
        <v>39801</v>
      </c>
      <c r="D296" s="344" t="s">
        <v>30</v>
      </c>
      <c r="E296" s="21">
        <v>42</v>
      </c>
      <c r="F296" s="21">
        <v>1</v>
      </c>
      <c r="G296" s="21">
        <v>39</v>
      </c>
      <c r="H296" s="479">
        <v>1308</v>
      </c>
      <c r="I296" s="480">
        <v>327</v>
      </c>
      <c r="J296" s="186">
        <f>I296/F296</f>
        <v>327</v>
      </c>
      <c r="K296" s="234">
        <f t="shared" si="24"/>
        <v>4</v>
      </c>
      <c r="L296" s="16">
        <f>295344+204961.5+145464.5+116108.5+111972.5+49984+26327+32042+18579+20005+19180+15980+2686.5+3166.5+366+13433+4493+735.5+607.5+2528+83+198+248+2348+825+2700+2268+393+2002+2063+343+1188+2020+398.46+291.4+240.58+592+2+2376+1308</f>
        <v>1105851.44</v>
      </c>
      <c r="M296" s="17">
        <f>36142+24747+19417+15404+14719+7567+3314+5289+3173+3275+3534+2826+540+724+52+2536+882+130+150+615+21+66+51+497+165+675+506+78+241+404+59+297+505+86+63+59+148+594+327</f>
        <v>149878</v>
      </c>
      <c r="N296" s="244">
        <f>+L296/M296</f>
        <v>7.378343986442306</v>
      </c>
      <c r="O296" s="433">
        <v>286</v>
      </c>
    </row>
    <row r="297" spans="1:15" s="68" customFormat="1" ht="12" customHeight="1">
      <c r="A297" s="433">
        <v>287</v>
      </c>
      <c r="B297" s="335" t="s">
        <v>395</v>
      </c>
      <c r="C297" s="360">
        <v>39850</v>
      </c>
      <c r="D297" s="344" t="s">
        <v>30</v>
      </c>
      <c r="E297" s="23">
        <v>2</v>
      </c>
      <c r="F297" s="23">
        <v>1</v>
      </c>
      <c r="G297" s="23">
        <v>16</v>
      </c>
      <c r="H297" s="477">
        <v>1308</v>
      </c>
      <c r="I297" s="478">
        <v>327</v>
      </c>
      <c r="J297" s="72">
        <f>I297/F297</f>
        <v>327</v>
      </c>
      <c r="K297" s="73">
        <f t="shared" si="24"/>
        <v>4</v>
      </c>
      <c r="L297" s="8">
        <f>8077.5+3261+2251+2481+682+679+634+482+544+2140+204+1664+1377+127+1780+1308</f>
        <v>27691.5</v>
      </c>
      <c r="M297" s="7">
        <f>773+379+260+266+71+198+101+110+127+535+34+416+320+14+445+327</f>
        <v>4376</v>
      </c>
      <c r="N297" s="74">
        <f>+L297/M297</f>
        <v>6.328039305301646</v>
      </c>
      <c r="O297" s="433">
        <v>287</v>
      </c>
    </row>
    <row r="298" spans="1:15" s="68" customFormat="1" ht="12" customHeight="1">
      <c r="A298" s="433">
        <v>288</v>
      </c>
      <c r="B298" s="133">
        <v>9</v>
      </c>
      <c r="C298" s="360">
        <v>40284</v>
      </c>
      <c r="D298" s="345" t="s">
        <v>30</v>
      </c>
      <c r="E298" s="21">
        <v>1</v>
      </c>
      <c r="F298" s="21">
        <v>1</v>
      </c>
      <c r="G298" s="21">
        <v>14</v>
      </c>
      <c r="H298" s="479">
        <v>1307</v>
      </c>
      <c r="I298" s="480">
        <v>327</v>
      </c>
      <c r="J298" s="186">
        <f>I298/F298</f>
        <v>327</v>
      </c>
      <c r="K298" s="161">
        <f t="shared" si="24"/>
        <v>3.996941896024465</v>
      </c>
      <c r="L298" s="16">
        <f>19938+4162+2098+2376+845+1608+833.5+361+161+101+2019.5+2019.5+2019.5+2138.5+1307</f>
        <v>41987.5</v>
      </c>
      <c r="M298" s="17">
        <f>2614+350+241+594+102+138+113+48+26+20+505+505+505+535+327</f>
        <v>6623</v>
      </c>
      <c r="N298" s="216">
        <f>+L298/M298</f>
        <v>6.339649705571493</v>
      </c>
      <c r="O298" s="433">
        <v>288</v>
      </c>
    </row>
    <row r="299" spans="1:15" s="68" customFormat="1" ht="12" customHeight="1">
      <c r="A299" s="433">
        <v>289</v>
      </c>
      <c r="B299" s="150" t="s">
        <v>255</v>
      </c>
      <c r="C299" s="22">
        <v>40298</v>
      </c>
      <c r="D299" s="137" t="s">
        <v>30</v>
      </c>
      <c r="E299" s="139">
        <v>10</v>
      </c>
      <c r="F299" s="139">
        <v>1</v>
      </c>
      <c r="G299" s="139">
        <v>21</v>
      </c>
      <c r="H299" s="477">
        <v>1307</v>
      </c>
      <c r="I299" s="478">
        <v>327</v>
      </c>
      <c r="J299" s="81">
        <f aca="true" t="shared" si="25" ref="J299:J304">(I299/F299)</f>
        <v>327</v>
      </c>
      <c r="K299" s="134">
        <f t="shared" si="24"/>
        <v>3.996941896024465</v>
      </c>
      <c r="L299" s="8">
        <f>83892.5+865+192+477+220.5+1901+2138.5+1307</f>
        <v>90993.5</v>
      </c>
      <c r="M299" s="7">
        <f>10300+144+24+59+48+475+534+327</f>
        <v>11911</v>
      </c>
      <c r="N299" s="135">
        <f aca="true" t="shared" si="26" ref="N299:N304">L299/M299</f>
        <v>7.639450927713878</v>
      </c>
      <c r="O299" s="433">
        <v>289</v>
      </c>
    </row>
    <row r="300" spans="1:15" s="68" customFormat="1" ht="12" customHeight="1">
      <c r="A300" s="433">
        <v>290</v>
      </c>
      <c r="B300" s="150" t="s">
        <v>267</v>
      </c>
      <c r="C300" s="22">
        <v>40333</v>
      </c>
      <c r="D300" s="137" t="s">
        <v>30</v>
      </c>
      <c r="E300" s="139">
        <v>2</v>
      </c>
      <c r="F300" s="139">
        <v>1</v>
      </c>
      <c r="G300" s="139">
        <v>18</v>
      </c>
      <c r="H300" s="479">
        <v>1307</v>
      </c>
      <c r="I300" s="480">
        <v>327</v>
      </c>
      <c r="J300" s="140">
        <f t="shared" si="25"/>
        <v>327</v>
      </c>
      <c r="K300" s="138">
        <f t="shared" si="24"/>
        <v>3.996941896024465</v>
      </c>
      <c r="L300" s="16">
        <f>20966+1047+769+1091.5+1901+1090.5+330+94+107+1307</f>
        <v>28703</v>
      </c>
      <c r="M300" s="17">
        <f>2304+127+92+121+475+146+92+18+21+327</f>
        <v>3723</v>
      </c>
      <c r="N300" s="135">
        <f t="shared" si="26"/>
        <v>7.7096427612140745</v>
      </c>
      <c r="O300" s="433">
        <v>290</v>
      </c>
    </row>
    <row r="301" spans="1:15" s="68" customFormat="1" ht="12" customHeight="1">
      <c r="A301" s="433">
        <v>291</v>
      </c>
      <c r="B301" s="133" t="s">
        <v>149</v>
      </c>
      <c r="C301" s="22">
        <v>40284</v>
      </c>
      <c r="D301" s="20" t="s">
        <v>30</v>
      </c>
      <c r="E301" s="23">
        <v>14</v>
      </c>
      <c r="F301" s="23">
        <v>1</v>
      </c>
      <c r="G301" s="23">
        <v>22</v>
      </c>
      <c r="H301" s="477">
        <v>1307</v>
      </c>
      <c r="I301" s="478">
        <v>327</v>
      </c>
      <c r="J301" s="81">
        <f t="shared" si="25"/>
        <v>327</v>
      </c>
      <c r="K301" s="134">
        <f t="shared" si="24"/>
        <v>3.996941896024465</v>
      </c>
      <c r="L301" s="8">
        <f>45403.5+26416+19522+5885+5520+2576+2604+1325+840+957.5+196+2970+1095+960+1330+1159+1173+1901+475+2019.5+1188+1307</f>
        <v>126822.5</v>
      </c>
      <c r="M301" s="7">
        <f>4053+2594+2599+732+962+495+470+215+146+347+28+743+229+194+270+236+188+475+119+505+297+327</f>
        <v>16224</v>
      </c>
      <c r="N301" s="135">
        <f t="shared" si="26"/>
        <v>7.816968688362919</v>
      </c>
      <c r="O301" s="433">
        <v>291</v>
      </c>
    </row>
    <row r="302" spans="1:15" s="68" customFormat="1" ht="12" customHeight="1">
      <c r="A302" s="433">
        <v>292</v>
      </c>
      <c r="B302" s="142" t="s">
        <v>284</v>
      </c>
      <c r="C302" s="143">
        <v>40473</v>
      </c>
      <c r="D302" s="137" t="s">
        <v>30</v>
      </c>
      <c r="E302" s="144">
        <v>30</v>
      </c>
      <c r="F302" s="144">
        <v>1</v>
      </c>
      <c r="G302" s="144">
        <v>14</v>
      </c>
      <c r="H302" s="481">
        <v>1307</v>
      </c>
      <c r="I302" s="482">
        <v>327</v>
      </c>
      <c r="J302" s="145">
        <f t="shared" si="25"/>
        <v>327</v>
      </c>
      <c r="K302" s="146">
        <f t="shared" si="24"/>
        <v>3.996941896024465</v>
      </c>
      <c r="L302" s="147">
        <f>140269+106844+7979+4849+4700.5+7059+2232+1390+2769+13917+8357+891.5+4704+1307</f>
        <v>307268</v>
      </c>
      <c r="M302" s="148">
        <f>11518+8629+641+577+660+1341+325+348+324+2259+1374+332+506+327</f>
        <v>29161</v>
      </c>
      <c r="N302" s="149">
        <f t="shared" si="26"/>
        <v>10.536950036006996</v>
      </c>
      <c r="O302" s="433">
        <v>292</v>
      </c>
    </row>
    <row r="303" spans="1:15" s="68" customFormat="1" ht="12" customHeight="1">
      <c r="A303" s="433">
        <v>293</v>
      </c>
      <c r="B303" s="142" t="s">
        <v>293</v>
      </c>
      <c r="C303" s="143">
        <v>40389</v>
      </c>
      <c r="D303" s="137" t="s">
        <v>30</v>
      </c>
      <c r="E303" s="144">
        <v>19</v>
      </c>
      <c r="F303" s="144">
        <v>1</v>
      </c>
      <c r="G303" s="144">
        <v>13</v>
      </c>
      <c r="H303" s="481">
        <v>1307</v>
      </c>
      <c r="I303" s="482">
        <v>327</v>
      </c>
      <c r="J303" s="145">
        <f t="shared" si="25"/>
        <v>327</v>
      </c>
      <c r="K303" s="146">
        <f t="shared" si="24"/>
        <v>3.996941896024465</v>
      </c>
      <c r="L303" s="147">
        <f>69032+15425.5+9802+4755.5+7049.5+3610.5+8536+6024.5+2322+245+405.5+1307</f>
        <v>128515</v>
      </c>
      <c r="M303" s="148">
        <f>5509+1589+1417+704+842+602+1038+829+323+37+46+327</f>
        <v>13263</v>
      </c>
      <c r="N303" s="149">
        <f t="shared" si="26"/>
        <v>9.68973836990123</v>
      </c>
      <c r="O303" s="433">
        <v>293</v>
      </c>
    </row>
    <row r="304" spans="1:15" s="68" customFormat="1" ht="12" customHeight="1">
      <c r="A304" s="433">
        <v>294</v>
      </c>
      <c r="B304" s="299" t="s">
        <v>327</v>
      </c>
      <c r="C304" s="294">
        <v>40473</v>
      </c>
      <c r="D304" s="20" t="s">
        <v>30</v>
      </c>
      <c r="E304" s="300">
        <v>2</v>
      </c>
      <c r="F304" s="300">
        <v>1</v>
      </c>
      <c r="G304" s="300">
        <v>9</v>
      </c>
      <c r="H304" s="477">
        <v>1307</v>
      </c>
      <c r="I304" s="478">
        <v>327</v>
      </c>
      <c r="J304" s="81">
        <f t="shared" si="25"/>
        <v>327</v>
      </c>
      <c r="K304" s="134">
        <f t="shared" si="24"/>
        <v>3.996941896024465</v>
      </c>
      <c r="L304" s="8">
        <f>6832+2665+3612+1330+1973+129+396+2138.5+1307</f>
        <v>20382.5</v>
      </c>
      <c r="M304" s="7">
        <f>659+312+817+151+365+14+89+534+327</f>
        <v>3268</v>
      </c>
      <c r="N304" s="135">
        <f t="shared" si="26"/>
        <v>6.236995104039168</v>
      </c>
      <c r="O304" s="433">
        <v>294</v>
      </c>
    </row>
    <row r="305" spans="1:15" s="68" customFormat="1" ht="12" customHeight="1">
      <c r="A305" s="433">
        <v>295</v>
      </c>
      <c r="B305" s="287" t="s">
        <v>311</v>
      </c>
      <c r="C305" s="289">
        <v>40536</v>
      </c>
      <c r="D305" s="290" t="s">
        <v>23</v>
      </c>
      <c r="E305" s="162">
        <v>112</v>
      </c>
      <c r="F305" s="162">
        <v>2</v>
      </c>
      <c r="G305" s="162">
        <v>15</v>
      </c>
      <c r="H305" s="471">
        <v>1270</v>
      </c>
      <c r="I305" s="472">
        <v>361</v>
      </c>
      <c r="J305" s="163">
        <f>I305/F305</f>
        <v>180.5</v>
      </c>
      <c r="K305" s="291">
        <f>+H305/I305</f>
        <v>3.518005540166205</v>
      </c>
      <c r="L305" s="164">
        <v>2746529</v>
      </c>
      <c r="M305" s="163">
        <v>244254</v>
      </c>
      <c r="N305" s="292">
        <f>+L305/M305</f>
        <v>11.244560989789317</v>
      </c>
      <c r="O305" s="433">
        <v>295</v>
      </c>
    </row>
    <row r="306" spans="1:15" s="68" customFormat="1" ht="12" customHeight="1">
      <c r="A306" s="433">
        <v>296</v>
      </c>
      <c r="B306" s="133" t="s">
        <v>330</v>
      </c>
      <c r="C306" s="22">
        <v>40480</v>
      </c>
      <c r="D306" s="137" t="s">
        <v>30</v>
      </c>
      <c r="E306" s="23">
        <v>100</v>
      </c>
      <c r="F306" s="23">
        <v>2</v>
      </c>
      <c r="G306" s="23">
        <v>11</v>
      </c>
      <c r="H306" s="477">
        <v>1262</v>
      </c>
      <c r="I306" s="478">
        <v>210</v>
      </c>
      <c r="J306" s="81">
        <f>(I306/F306)</f>
        <v>105</v>
      </c>
      <c r="K306" s="134">
        <f>H306/I306</f>
        <v>6.0095238095238095</v>
      </c>
      <c r="L306" s="8">
        <f>1221166+429124.5+378100+240009.5+108018.5+26890.5+15319+16968+7345.5+4160+1262</f>
        <v>2448363.5</v>
      </c>
      <c r="M306" s="7">
        <f>114702+40612+35598+23284+12543+4168+3055+2661+1161+850+210</f>
        <v>238844</v>
      </c>
      <c r="N306" s="135">
        <f>L306/M306</f>
        <v>10.250889702064946</v>
      </c>
      <c r="O306" s="433">
        <v>296</v>
      </c>
    </row>
    <row r="307" spans="1:15" s="68" customFormat="1" ht="12" customHeight="1">
      <c r="A307" s="433">
        <v>297</v>
      </c>
      <c r="B307" s="136" t="s">
        <v>329</v>
      </c>
      <c r="C307" s="22">
        <v>40508</v>
      </c>
      <c r="D307" s="137" t="s">
        <v>30</v>
      </c>
      <c r="E307" s="23">
        <v>34</v>
      </c>
      <c r="F307" s="23">
        <v>2</v>
      </c>
      <c r="G307" s="23">
        <v>8</v>
      </c>
      <c r="H307" s="477">
        <v>1246</v>
      </c>
      <c r="I307" s="478">
        <v>199</v>
      </c>
      <c r="J307" s="81">
        <f>(I307/F307)</f>
        <v>99.5</v>
      </c>
      <c r="K307" s="134">
        <f>H307/I307</f>
        <v>6.261306532663316</v>
      </c>
      <c r="L307" s="8">
        <f>122173+87330+23120+25637+29159.5+14630.5+403+1246</f>
        <v>303699</v>
      </c>
      <c r="M307" s="7">
        <f>10588+8153+2702+3877+4807+2283+58+199</f>
        <v>32667</v>
      </c>
      <c r="N307" s="135">
        <f>L307/M307</f>
        <v>9.296813297823492</v>
      </c>
      <c r="O307" s="433">
        <v>297</v>
      </c>
    </row>
    <row r="308" spans="1:15" s="68" customFormat="1" ht="12" customHeight="1">
      <c r="A308" s="433">
        <v>298</v>
      </c>
      <c r="B308" s="287" t="s">
        <v>331</v>
      </c>
      <c r="C308" s="289">
        <v>40508</v>
      </c>
      <c r="D308" s="290" t="s">
        <v>23</v>
      </c>
      <c r="E308" s="162">
        <v>11</v>
      </c>
      <c r="F308" s="162">
        <v>1</v>
      </c>
      <c r="G308" s="162">
        <v>9</v>
      </c>
      <c r="H308" s="471">
        <v>1240</v>
      </c>
      <c r="I308" s="472">
        <v>164</v>
      </c>
      <c r="J308" s="163">
        <f>I308/F308</f>
        <v>164</v>
      </c>
      <c r="K308" s="291">
        <f>+H308/I308</f>
        <v>7.560975609756097</v>
      </c>
      <c r="L308" s="164">
        <v>108917</v>
      </c>
      <c r="M308" s="163">
        <v>9002</v>
      </c>
      <c r="N308" s="292">
        <f>+L308/M308</f>
        <v>12.09920017773828</v>
      </c>
      <c r="O308" s="433">
        <v>298</v>
      </c>
    </row>
    <row r="309" spans="1:15" s="68" customFormat="1" ht="12" customHeight="1">
      <c r="A309" s="433">
        <v>299</v>
      </c>
      <c r="B309" s="296" t="s">
        <v>262</v>
      </c>
      <c r="C309" s="297">
        <v>40396</v>
      </c>
      <c r="D309" s="137" t="s">
        <v>30</v>
      </c>
      <c r="E309" s="298">
        <v>4</v>
      </c>
      <c r="F309" s="298">
        <v>1</v>
      </c>
      <c r="G309" s="298">
        <v>21</v>
      </c>
      <c r="H309" s="481">
        <v>1224</v>
      </c>
      <c r="I309" s="482">
        <v>196</v>
      </c>
      <c r="J309" s="145">
        <f>(I309/F309)</f>
        <v>196</v>
      </c>
      <c r="K309" s="146">
        <f>H309/I309</f>
        <v>6.244897959183674</v>
      </c>
      <c r="L309" s="147">
        <f>14959+9646+7725+4386+3960+14571+6049+4818+2605+3811+4797+6372+2996+165+950.5+1598.5+276+381+768+800+1224</f>
        <v>92858</v>
      </c>
      <c r="M309" s="148">
        <f>1646+1123+1125+547+522+2218+896+595+438+656+743+1047+452+23+148+219+42+85+83+91+196</f>
        <v>12895</v>
      </c>
      <c r="N309" s="149">
        <f>L309/M309</f>
        <v>7.201085692128732</v>
      </c>
      <c r="O309" s="433">
        <v>299</v>
      </c>
    </row>
    <row r="310" spans="1:15" s="68" customFormat="1" ht="12" customHeight="1">
      <c r="A310" s="433">
        <v>300</v>
      </c>
      <c r="B310" s="443" t="s">
        <v>311</v>
      </c>
      <c r="C310" s="22">
        <v>40536</v>
      </c>
      <c r="D310" s="189" t="s">
        <v>23</v>
      </c>
      <c r="E310" s="23">
        <v>112</v>
      </c>
      <c r="F310" s="23">
        <v>1</v>
      </c>
      <c r="G310" s="23">
        <v>18</v>
      </c>
      <c r="H310" s="475">
        <v>1205</v>
      </c>
      <c r="I310" s="476">
        <v>385</v>
      </c>
      <c r="J310" s="28">
        <f aca="true" t="shared" si="27" ref="J310:J322">I310/F310</f>
        <v>385</v>
      </c>
      <c r="K310" s="180">
        <f>+H310/I310</f>
        <v>3.1298701298701297</v>
      </c>
      <c r="L310" s="26">
        <v>2755770</v>
      </c>
      <c r="M310" s="28">
        <v>246648</v>
      </c>
      <c r="N310" s="181">
        <f aca="true" t="shared" si="28" ref="N310:N322">+L310/M310</f>
        <v>11.172886056242094</v>
      </c>
      <c r="O310" s="433">
        <v>300</v>
      </c>
    </row>
    <row r="311" spans="1:15" s="68" customFormat="1" ht="12" customHeight="1">
      <c r="A311" s="433">
        <v>301</v>
      </c>
      <c r="B311" s="136" t="s">
        <v>261</v>
      </c>
      <c r="C311" s="357">
        <v>40424</v>
      </c>
      <c r="D311" s="344" t="s">
        <v>23</v>
      </c>
      <c r="E311" s="21">
        <v>107</v>
      </c>
      <c r="F311" s="21">
        <v>1</v>
      </c>
      <c r="G311" s="21">
        <v>51</v>
      </c>
      <c r="H311" s="467">
        <v>1204</v>
      </c>
      <c r="I311" s="468">
        <v>350</v>
      </c>
      <c r="J311" s="186">
        <f t="shared" si="27"/>
        <v>350</v>
      </c>
      <c r="K311" s="234">
        <f>H311/I311</f>
        <v>3.44</v>
      </c>
      <c r="L311" s="18">
        <v>2171165</v>
      </c>
      <c r="M311" s="19">
        <v>197141</v>
      </c>
      <c r="N311" s="235">
        <f t="shared" si="28"/>
        <v>11.013259545198615</v>
      </c>
      <c r="O311" s="433">
        <v>301</v>
      </c>
    </row>
    <row r="312" spans="1:15" s="68" customFormat="1" ht="12" customHeight="1">
      <c r="A312" s="433">
        <v>302</v>
      </c>
      <c r="B312" s="287" t="s">
        <v>261</v>
      </c>
      <c r="C312" s="289">
        <v>40424</v>
      </c>
      <c r="D312" s="290" t="s">
        <v>23</v>
      </c>
      <c r="E312" s="162">
        <v>107</v>
      </c>
      <c r="F312" s="162">
        <v>1</v>
      </c>
      <c r="G312" s="162">
        <v>20</v>
      </c>
      <c r="H312" s="471">
        <v>1204</v>
      </c>
      <c r="I312" s="472">
        <v>350</v>
      </c>
      <c r="J312" s="163">
        <f t="shared" si="27"/>
        <v>350</v>
      </c>
      <c r="K312" s="291">
        <f>+H312/I312</f>
        <v>3.44</v>
      </c>
      <c r="L312" s="164">
        <v>2167551</v>
      </c>
      <c r="M312" s="163">
        <v>196093</v>
      </c>
      <c r="N312" s="292">
        <f t="shared" si="28"/>
        <v>11.053688810921349</v>
      </c>
      <c r="O312" s="433">
        <v>302</v>
      </c>
    </row>
    <row r="313" spans="1:15" s="68" customFormat="1" ht="12" customHeight="1">
      <c r="A313" s="433">
        <v>303</v>
      </c>
      <c r="B313" s="133" t="s">
        <v>261</v>
      </c>
      <c r="C313" s="22">
        <v>40424</v>
      </c>
      <c r="D313" s="183" t="s">
        <v>23</v>
      </c>
      <c r="E313" s="23">
        <v>107</v>
      </c>
      <c r="F313" s="23">
        <v>1</v>
      </c>
      <c r="G313" s="23">
        <v>19</v>
      </c>
      <c r="H313" s="475">
        <v>1204</v>
      </c>
      <c r="I313" s="476">
        <v>350</v>
      </c>
      <c r="J313" s="28">
        <f t="shared" si="27"/>
        <v>350</v>
      </c>
      <c r="K313" s="180">
        <f>+H313/I313</f>
        <v>3.44</v>
      </c>
      <c r="L313" s="26">
        <v>2166347</v>
      </c>
      <c r="M313" s="28">
        <v>195743</v>
      </c>
      <c r="N313" s="181">
        <f t="shared" si="28"/>
        <v>11.067302534445677</v>
      </c>
      <c r="O313" s="433">
        <v>303</v>
      </c>
    </row>
    <row r="314" spans="1:15" s="68" customFormat="1" ht="12" customHeight="1">
      <c r="A314" s="433">
        <v>304</v>
      </c>
      <c r="B314" s="331" t="s">
        <v>358</v>
      </c>
      <c r="C314" s="84">
        <v>40361</v>
      </c>
      <c r="D314" s="85" t="s">
        <v>23</v>
      </c>
      <c r="E314" s="86">
        <v>161</v>
      </c>
      <c r="F314" s="86">
        <v>1</v>
      </c>
      <c r="G314" s="86">
        <v>57</v>
      </c>
      <c r="H314" s="471">
        <v>1204</v>
      </c>
      <c r="I314" s="472">
        <v>350</v>
      </c>
      <c r="J314" s="186">
        <f t="shared" si="27"/>
        <v>350</v>
      </c>
      <c r="K314" s="234">
        <f aca="true" t="shared" si="29" ref="K314:K334">H314/I314</f>
        <v>3.44</v>
      </c>
      <c r="L314" s="164">
        <v>3668921</v>
      </c>
      <c r="M314" s="163">
        <v>336549</v>
      </c>
      <c r="N314" s="76">
        <f t="shared" si="28"/>
        <v>10.901595310044005</v>
      </c>
      <c r="O314" s="433">
        <v>304</v>
      </c>
    </row>
    <row r="315" spans="1:15" s="68" customFormat="1" ht="12" customHeight="1">
      <c r="A315" s="433">
        <v>305</v>
      </c>
      <c r="B315" s="136" t="s">
        <v>358</v>
      </c>
      <c r="C315" s="357">
        <v>40361</v>
      </c>
      <c r="D315" s="344" t="s">
        <v>23</v>
      </c>
      <c r="E315" s="21">
        <v>161</v>
      </c>
      <c r="F315" s="21">
        <v>1</v>
      </c>
      <c r="G315" s="21">
        <v>57</v>
      </c>
      <c r="H315" s="467">
        <v>1204</v>
      </c>
      <c r="I315" s="468">
        <v>350</v>
      </c>
      <c r="J315" s="186">
        <f t="shared" si="27"/>
        <v>350</v>
      </c>
      <c r="K315" s="234">
        <f t="shared" si="29"/>
        <v>3.44</v>
      </c>
      <c r="L315" s="18">
        <v>3670125</v>
      </c>
      <c r="M315" s="19">
        <v>336899</v>
      </c>
      <c r="N315" s="235">
        <f t="shared" si="28"/>
        <v>10.893843555486956</v>
      </c>
      <c r="O315" s="433">
        <v>305</v>
      </c>
    </row>
    <row r="316" spans="1:15" s="68" customFormat="1" ht="12" customHeight="1">
      <c r="A316" s="433">
        <v>306</v>
      </c>
      <c r="B316" s="136" t="s">
        <v>358</v>
      </c>
      <c r="C316" s="360">
        <v>40361</v>
      </c>
      <c r="D316" s="344" t="s">
        <v>23</v>
      </c>
      <c r="E316" s="21">
        <v>161</v>
      </c>
      <c r="F316" s="21">
        <v>1</v>
      </c>
      <c r="G316" s="21">
        <v>58</v>
      </c>
      <c r="H316" s="467">
        <v>1204</v>
      </c>
      <c r="I316" s="468">
        <v>350</v>
      </c>
      <c r="J316" s="186">
        <f t="shared" si="27"/>
        <v>350</v>
      </c>
      <c r="K316" s="234">
        <f t="shared" si="29"/>
        <v>3.44</v>
      </c>
      <c r="L316" s="18">
        <v>3671329</v>
      </c>
      <c r="M316" s="19">
        <v>337249</v>
      </c>
      <c r="N316" s="244">
        <f t="shared" si="28"/>
        <v>10.886107890609017</v>
      </c>
      <c r="O316" s="433">
        <v>306</v>
      </c>
    </row>
    <row r="317" spans="1:15" s="68" customFormat="1" ht="12" customHeight="1">
      <c r="A317" s="433">
        <v>307</v>
      </c>
      <c r="B317" s="136" t="s">
        <v>358</v>
      </c>
      <c r="C317" s="435">
        <v>40361</v>
      </c>
      <c r="D317" s="346" t="s">
        <v>23</v>
      </c>
      <c r="E317" s="12">
        <v>161</v>
      </c>
      <c r="F317" s="12">
        <v>1</v>
      </c>
      <c r="G317" s="12">
        <v>59</v>
      </c>
      <c r="H317" s="467">
        <v>1204</v>
      </c>
      <c r="I317" s="468">
        <v>350</v>
      </c>
      <c r="J317" s="186">
        <f t="shared" si="27"/>
        <v>350</v>
      </c>
      <c r="K317" s="234">
        <f t="shared" si="29"/>
        <v>3.44</v>
      </c>
      <c r="L317" s="18">
        <v>3672533</v>
      </c>
      <c r="M317" s="19">
        <v>337599</v>
      </c>
      <c r="N317" s="244">
        <f t="shared" si="28"/>
        <v>10.878388265368084</v>
      </c>
      <c r="O317" s="433">
        <v>307</v>
      </c>
    </row>
    <row r="318" spans="1:15" s="68" customFormat="1" ht="12" customHeight="1">
      <c r="A318" s="433">
        <v>308</v>
      </c>
      <c r="B318" s="157" t="s">
        <v>158</v>
      </c>
      <c r="C318" s="2">
        <v>40501</v>
      </c>
      <c r="D318" s="10" t="s">
        <v>134</v>
      </c>
      <c r="E318" s="4">
        <v>121</v>
      </c>
      <c r="F318" s="4">
        <v>3</v>
      </c>
      <c r="G318" s="4">
        <v>9</v>
      </c>
      <c r="H318" s="494">
        <v>1204</v>
      </c>
      <c r="I318" s="493">
        <v>296</v>
      </c>
      <c r="J318" s="168">
        <f t="shared" si="27"/>
        <v>98.66666666666667</v>
      </c>
      <c r="K318" s="169">
        <f t="shared" si="29"/>
        <v>4.0675675675675675</v>
      </c>
      <c r="L318" s="170">
        <v>1592338</v>
      </c>
      <c r="M318" s="171">
        <v>160701</v>
      </c>
      <c r="N318" s="172">
        <f t="shared" si="28"/>
        <v>9.908700008089557</v>
      </c>
      <c r="O318" s="433">
        <v>308</v>
      </c>
    </row>
    <row r="319" spans="1:15" s="68" customFormat="1" ht="12" customHeight="1">
      <c r="A319" s="433">
        <v>309</v>
      </c>
      <c r="B319" s="152" t="s">
        <v>324</v>
      </c>
      <c r="C319" s="2">
        <v>40536</v>
      </c>
      <c r="D319" s="9" t="s">
        <v>10</v>
      </c>
      <c r="E319" s="3">
        <v>48</v>
      </c>
      <c r="F319" s="3">
        <v>1</v>
      </c>
      <c r="G319" s="3">
        <v>10</v>
      </c>
      <c r="H319" s="485">
        <v>1190</v>
      </c>
      <c r="I319" s="486">
        <v>396</v>
      </c>
      <c r="J319" s="80">
        <f t="shared" si="27"/>
        <v>396</v>
      </c>
      <c r="K319" s="141">
        <f t="shared" si="29"/>
        <v>3.005050505050505</v>
      </c>
      <c r="L319" s="30">
        <v>703894</v>
      </c>
      <c r="M319" s="29">
        <v>63182</v>
      </c>
      <c r="N319" s="153">
        <f t="shared" si="28"/>
        <v>11.140736285650977</v>
      </c>
      <c r="O319" s="433">
        <v>309</v>
      </c>
    </row>
    <row r="320" spans="1:15" s="68" customFormat="1" ht="12" customHeight="1">
      <c r="A320" s="433">
        <v>310</v>
      </c>
      <c r="B320" s="152" t="s">
        <v>139</v>
      </c>
      <c r="C320" s="279">
        <v>40515</v>
      </c>
      <c r="D320" s="85" t="s">
        <v>10</v>
      </c>
      <c r="E320" s="88">
        <v>337</v>
      </c>
      <c r="F320" s="23">
        <v>1</v>
      </c>
      <c r="G320" s="23">
        <v>25</v>
      </c>
      <c r="H320" s="485">
        <v>1190</v>
      </c>
      <c r="I320" s="486">
        <v>238</v>
      </c>
      <c r="J320" s="186">
        <f t="shared" si="27"/>
        <v>238</v>
      </c>
      <c r="K320" s="234">
        <f t="shared" si="29"/>
        <v>5</v>
      </c>
      <c r="L320" s="30">
        <f>19681137+1190</f>
        <v>19682327</v>
      </c>
      <c r="M320" s="29">
        <f>2106490+238</f>
        <v>2106728</v>
      </c>
      <c r="N320" s="76">
        <f t="shared" si="28"/>
        <v>9.342604740621475</v>
      </c>
      <c r="O320" s="433">
        <v>310</v>
      </c>
    </row>
    <row r="321" spans="1:15" s="68" customFormat="1" ht="12" customHeight="1">
      <c r="A321" s="433">
        <v>311</v>
      </c>
      <c r="B321" s="157" t="s">
        <v>266</v>
      </c>
      <c r="C321" s="2">
        <v>40459</v>
      </c>
      <c r="D321" s="10" t="s">
        <v>10</v>
      </c>
      <c r="E321" s="4">
        <v>55</v>
      </c>
      <c r="F321" s="4">
        <v>1</v>
      </c>
      <c r="G321" s="4">
        <v>14</v>
      </c>
      <c r="H321" s="485">
        <v>1190</v>
      </c>
      <c r="I321" s="486">
        <v>238</v>
      </c>
      <c r="J321" s="80">
        <f t="shared" si="27"/>
        <v>238</v>
      </c>
      <c r="K321" s="141">
        <f t="shared" si="29"/>
        <v>5</v>
      </c>
      <c r="L321" s="30">
        <v>2712998</v>
      </c>
      <c r="M321" s="29">
        <v>236197</v>
      </c>
      <c r="N321" s="153">
        <f t="shared" si="28"/>
        <v>11.486166208715606</v>
      </c>
      <c r="O321" s="433">
        <v>311</v>
      </c>
    </row>
    <row r="322" spans="1:15" s="68" customFormat="1" ht="12" customHeight="1">
      <c r="A322" s="433">
        <v>312</v>
      </c>
      <c r="B322" s="152" t="s">
        <v>321</v>
      </c>
      <c r="C322" s="2">
        <v>40473</v>
      </c>
      <c r="D322" s="9" t="s">
        <v>10</v>
      </c>
      <c r="E322" s="3">
        <v>74</v>
      </c>
      <c r="F322" s="3">
        <v>1</v>
      </c>
      <c r="G322" s="3">
        <v>11</v>
      </c>
      <c r="H322" s="485">
        <v>1190</v>
      </c>
      <c r="I322" s="486">
        <v>238</v>
      </c>
      <c r="J322" s="80">
        <f t="shared" si="27"/>
        <v>238</v>
      </c>
      <c r="K322" s="141">
        <f t="shared" si="29"/>
        <v>5</v>
      </c>
      <c r="L322" s="30">
        <v>983217</v>
      </c>
      <c r="M322" s="29">
        <v>84696</v>
      </c>
      <c r="N322" s="153">
        <f t="shared" si="28"/>
        <v>11.608777274015301</v>
      </c>
      <c r="O322" s="433">
        <v>312</v>
      </c>
    </row>
    <row r="323" spans="1:15" s="68" customFormat="1" ht="12" customHeight="1">
      <c r="A323" s="433">
        <v>313</v>
      </c>
      <c r="B323" s="133" t="s">
        <v>249</v>
      </c>
      <c r="C323" s="22">
        <v>40172</v>
      </c>
      <c r="D323" s="137" t="s">
        <v>30</v>
      </c>
      <c r="E323" s="139">
        <v>60</v>
      </c>
      <c r="F323" s="139">
        <v>1</v>
      </c>
      <c r="G323" s="139">
        <v>34</v>
      </c>
      <c r="H323" s="479">
        <v>1188</v>
      </c>
      <c r="I323" s="480">
        <v>297</v>
      </c>
      <c r="J323" s="140">
        <f>(I323/F323)</f>
        <v>297</v>
      </c>
      <c r="K323" s="138">
        <f t="shared" si="29"/>
        <v>4</v>
      </c>
      <c r="L323" s="16">
        <f>421775.5+397095.5+287050+215248.5+189819.5+180729.5+86816.5+23840+19148+14942.5+8798.5+9599+13618.5+4298+4028+3310+8547+6712.5+1803+1172+973+2291+380.5+3015+1103.5+65+2061.5+1262+1020+2232+2970+5074+2970+1188</f>
        <v>1924957.5</v>
      </c>
      <c r="M323" s="17">
        <f>43739+40732+31780+27356+25902+24895+12153+4496+3179+3069+1650+2236+3335+954+829+540+1945+1297+429+261+173+594+53+613+200+10+480+240+102+533+743+1267+742+297</f>
        <v>236824</v>
      </c>
      <c r="N323" s="135">
        <f>L323/M323</f>
        <v>8.128219690571902</v>
      </c>
      <c r="O323" s="433">
        <v>313</v>
      </c>
    </row>
    <row r="324" spans="1:15" s="68" customFormat="1" ht="12" customHeight="1">
      <c r="A324" s="433">
        <v>314</v>
      </c>
      <c r="B324" s="142" t="s">
        <v>250</v>
      </c>
      <c r="C324" s="143">
        <v>40228</v>
      </c>
      <c r="D324" s="137" t="s">
        <v>30</v>
      </c>
      <c r="E324" s="144">
        <v>17</v>
      </c>
      <c r="F324" s="144">
        <v>1</v>
      </c>
      <c r="G324" s="144">
        <v>33</v>
      </c>
      <c r="H324" s="481">
        <v>1188</v>
      </c>
      <c r="I324" s="482">
        <v>297</v>
      </c>
      <c r="J324" s="145">
        <f>(I324/F324)</f>
        <v>297</v>
      </c>
      <c r="K324" s="146">
        <f t="shared" si="29"/>
        <v>4</v>
      </c>
      <c r="L324" s="147">
        <f>289107+1009.5+669+336+323+699+1238+121+1782+1782+1188</f>
        <v>298254.5</v>
      </c>
      <c r="M324" s="148">
        <f>30560+127+85+56+54+123+217+22+445+445+297</f>
        <v>32431</v>
      </c>
      <c r="N324" s="149">
        <f>L324/M324</f>
        <v>9.196586599241467</v>
      </c>
      <c r="O324" s="433">
        <v>314</v>
      </c>
    </row>
    <row r="325" spans="1:15" s="68" customFormat="1" ht="12" customHeight="1">
      <c r="A325" s="433">
        <v>315</v>
      </c>
      <c r="B325" s="352" t="s">
        <v>131</v>
      </c>
      <c r="C325" s="143">
        <v>40459</v>
      </c>
      <c r="D325" s="344" t="s">
        <v>30</v>
      </c>
      <c r="E325" s="347">
        <v>142</v>
      </c>
      <c r="F325" s="347">
        <v>1</v>
      </c>
      <c r="G325" s="347">
        <v>22</v>
      </c>
      <c r="H325" s="479">
        <v>1188</v>
      </c>
      <c r="I325" s="480">
        <v>297</v>
      </c>
      <c r="J325" s="186">
        <f>I325/F325</f>
        <v>297</v>
      </c>
      <c r="K325" s="234">
        <f t="shared" si="29"/>
        <v>4</v>
      </c>
      <c r="L325" s="16">
        <f>569713+434829.5+295345.5+223420+26108+12415.5+5998+1904+1368+799+648+306+1782+594+1782+1425.5+3089+151+1188+1188+2376+1188</f>
        <v>1587618</v>
      </c>
      <c r="M325" s="17">
        <f>61050+47827+36467+29781+4601+2405+1000+284+287+123+103+51+445+113+446+267+708+24+297+287+594+297</f>
        <v>187457</v>
      </c>
      <c r="N325" s="235">
        <f>+L325/M325</f>
        <v>8.469238278645236</v>
      </c>
      <c r="O325" s="433">
        <v>315</v>
      </c>
    </row>
    <row r="326" spans="1:15" s="68" customFormat="1" ht="12" customHeight="1">
      <c r="A326" s="433">
        <v>316</v>
      </c>
      <c r="B326" s="133" t="s">
        <v>131</v>
      </c>
      <c r="C326" s="22">
        <v>40459</v>
      </c>
      <c r="D326" s="20" t="s">
        <v>30</v>
      </c>
      <c r="E326" s="23">
        <v>142</v>
      </c>
      <c r="F326" s="23">
        <v>1</v>
      </c>
      <c r="G326" s="23">
        <v>19</v>
      </c>
      <c r="H326" s="477">
        <v>1188</v>
      </c>
      <c r="I326" s="478">
        <v>297</v>
      </c>
      <c r="J326" s="81">
        <f>(I326/F326)</f>
        <v>297</v>
      </c>
      <c r="K326" s="134">
        <f t="shared" si="29"/>
        <v>4</v>
      </c>
      <c r="L326" s="8">
        <f>569713+434829.5+295345.5+223420+26108+12415.5+5998+1904+1368+799+648+306+1782+594+1782+1425.5+3089+151+188</f>
        <v>1581866</v>
      </c>
      <c r="M326" s="7">
        <f>61050+47827+36467+29781+4601+2405+1000+284+287+123+103+51+445+113+446+267+708+24+297</f>
        <v>186279</v>
      </c>
      <c r="N326" s="135">
        <f>L326/M326</f>
        <v>8.49191803692311</v>
      </c>
      <c r="O326" s="433">
        <v>316</v>
      </c>
    </row>
    <row r="327" spans="1:15" s="68" customFormat="1" ht="12" customHeight="1">
      <c r="A327" s="433">
        <v>317</v>
      </c>
      <c r="B327" s="352" t="s">
        <v>131</v>
      </c>
      <c r="C327" s="372">
        <v>40459</v>
      </c>
      <c r="D327" s="344" t="s">
        <v>30</v>
      </c>
      <c r="E327" s="347">
        <v>142</v>
      </c>
      <c r="F327" s="347">
        <v>1</v>
      </c>
      <c r="G327" s="347">
        <v>24</v>
      </c>
      <c r="H327" s="479">
        <v>1188</v>
      </c>
      <c r="I327" s="480">
        <v>297</v>
      </c>
      <c r="J327" s="186">
        <f aca="true" t="shared" si="30" ref="J327:J333">I327/F327</f>
        <v>297</v>
      </c>
      <c r="K327" s="234">
        <f t="shared" si="29"/>
        <v>4</v>
      </c>
      <c r="L327" s="16">
        <f>569713+434829.5+295345.5+223420+26108+12415.5+5998+1904+1368+799+648+306+1782+594+1782+1425.5+3089+151+1188+1188+2376+1188+1425.5+1188</f>
        <v>1590231.5</v>
      </c>
      <c r="M327" s="17">
        <f>61050+47827+36467+29781+4601+2405+1000+284+287+123+103+51+445+113+446+267+708+24+297+287+594+297+356+297</f>
        <v>188110</v>
      </c>
      <c r="N327" s="244">
        <f>+L327/M327</f>
        <v>8.45373185901866</v>
      </c>
      <c r="O327" s="433">
        <v>317</v>
      </c>
    </row>
    <row r="328" spans="1:15" s="68" customFormat="1" ht="12" customHeight="1">
      <c r="A328" s="433">
        <v>318</v>
      </c>
      <c r="B328" s="365" t="s">
        <v>131</v>
      </c>
      <c r="C328" s="361">
        <v>40459</v>
      </c>
      <c r="D328" s="345" t="s">
        <v>30</v>
      </c>
      <c r="E328" s="362">
        <v>142</v>
      </c>
      <c r="F328" s="21">
        <v>1</v>
      </c>
      <c r="G328" s="21">
        <v>28</v>
      </c>
      <c r="H328" s="479">
        <v>1188</v>
      </c>
      <c r="I328" s="480">
        <v>297</v>
      </c>
      <c r="J328" s="186">
        <f t="shared" si="30"/>
        <v>297</v>
      </c>
      <c r="K328" s="161">
        <f t="shared" si="29"/>
        <v>4</v>
      </c>
      <c r="L328" s="16">
        <f>569713+434829.5+295345.5+223420+26108+12415.5+5998+1904+1368+799+648+306+1782+594+1782+1425.5+3089+151+1188+1188+2376+1188+1425.5+1188+3207.5+77+4276.5+1188</f>
        <v>1598980.5</v>
      </c>
      <c r="M328" s="17">
        <f>61050+47827+36467+29781+4601+2405+1000+284+287+123+103+51+445+113+446+267+708+24+297+287+594+297+356+297+801+13+1069+297</f>
        <v>190290</v>
      </c>
      <c r="N328" s="396">
        <f>L328/M328</f>
        <v>8.402861422040043</v>
      </c>
      <c r="O328" s="433">
        <v>318</v>
      </c>
    </row>
    <row r="329" spans="1:15" s="68" customFormat="1" ht="12" customHeight="1">
      <c r="A329" s="433">
        <v>319</v>
      </c>
      <c r="B329" s="332" t="s">
        <v>251</v>
      </c>
      <c r="C329" s="143">
        <v>40165</v>
      </c>
      <c r="D329" s="85" t="s">
        <v>30</v>
      </c>
      <c r="E329" s="144">
        <v>150</v>
      </c>
      <c r="F329" s="144">
        <v>1</v>
      </c>
      <c r="G329" s="144">
        <v>46</v>
      </c>
      <c r="H329" s="477">
        <v>1188</v>
      </c>
      <c r="I329" s="478">
        <v>297</v>
      </c>
      <c r="J329" s="186">
        <f t="shared" si="30"/>
        <v>297</v>
      </c>
      <c r="K329" s="234">
        <f t="shared" si="29"/>
        <v>4</v>
      </c>
      <c r="L329" s="8">
        <f>26351050.5+1782+1045+250+135084.5+75530.5+42949.5+5302.5+6113+4133+420+7038.5+950.5+1188</f>
        <v>26632837.5</v>
      </c>
      <c r="M329" s="7">
        <f>2457871+446+113+30+11058+6318+3444+432+464+353+42+964+238+297</f>
        <v>2482070</v>
      </c>
      <c r="N329" s="76">
        <f>+L329/M329</f>
        <v>10.730091214188157</v>
      </c>
      <c r="O329" s="433">
        <v>319</v>
      </c>
    </row>
    <row r="330" spans="1:15" s="68" customFormat="1" ht="12" customHeight="1">
      <c r="A330" s="433">
        <v>320</v>
      </c>
      <c r="B330" s="332" t="s">
        <v>246</v>
      </c>
      <c r="C330" s="143">
        <v>40529</v>
      </c>
      <c r="D330" s="85" t="s">
        <v>30</v>
      </c>
      <c r="E330" s="144">
        <v>147</v>
      </c>
      <c r="F330" s="144">
        <v>1</v>
      </c>
      <c r="G330" s="144">
        <v>14</v>
      </c>
      <c r="H330" s="477">
        <v>1188</v>
      </c>
      <c r="I330" s="478">
        <v>297</v>
      </c>
      <c r="J330" s="72">
        <f t="shared" si="30"/>
        <v>297</v>
      </c>
      <c r="K330" s="73">
        <f t="shared" si="29"/>
        <v>4</v>
      </c>
      <c r="L330" s="8">
        <f>691567.5+648414.5+518408+71321.5+45526+17480+7409+4406.5+1874+5613.5+4027+1099+82+1188</f>
        <v>2018416.5</v>
      </c>
      <c r="M330" s="7">
        <f>79327+75064+61133+10266+7792+4345+1731+935+303+1204+784+172+12+297</f>
        <v>243365</v>
      </c>
      <c r="N330" s="74">
        <f>+L330/M330</f>
        <v>8.293783000842357</v>
      </c>
      <c r="O330" s="433">
        <v>320</v>
      </c>
    </row>
    <row r="331" spans="1:15" s="68" customFormat="1" ht="12" customHeight="1">
      <c r="A331" s="433">
        <v>321</v>
      </c>
      <c r="B331" s="332" t="s">
        <v>273</v>
      </c>
      <c r="C331" s="143">
        <v>39995</v>
      </c>
      <c r="D331" s="85" t="s">
        <v>30</v>
      </c>
      <c r="E331" s="144">
        <v>209</v>
      </c>
      <c r="F331" s="144">
        <v>1</v>
      </c>
      <c r="G331" s="144">
        <v>66</v>
      </c>
      <c r="H331" s="477">
        <v>1188</v>
      </c>
      <c r="I331" s="478">
        <v>297</v>
      </c>
      <c r="J331" s="72">
        <f t="shared" si="30"/>
        <v>297</v>
      </c>
      <c r="K331" s="73">
        <f t="shared" si="29"/>
        <v>4</v>
      </c>
      <c r="L331" s="8">
        <f>11405777.5+385+1188+6614+2968+1417+277+2612+1424+952+1780+952+364.5+1188+1188</f>
        <v>11429087</v>
      </c>
      <c r="M331" s="7">
        <f>1424397+63+297+1638+742+364+66+653+356+238+445+238+27+297+297</f>
        <v>1430118</v>
      </c>
      <c r="N331" s="76">
        <f>L331/M331</f>
        <v>7.991709075754588</v>
      </c>
      <c r="O331" s="433">
        <v>321</v>
      </c>
    </row>
    <row r="332" spans="1:15" s="68" customFormat="1" ht="12" customHeight="1">
      <c r="A332" s="433">
        <v>322</v>
      </c>
      <c r="B332" s="306" t="s">
        <v>273</v>
      </c>
      <c r="C332" s="307">
        <v>39995</v>
      </c>
      <c r="D332" s="308" t="s">
        <v>130</v>
      </c>
      <c r="E332" s="309">
        <v>209</v>
      </c>
      <c r="F332" s="144">
        <v>1</v>
      </c>
      <c r="G332" s="309">
        <v>65</v>
      </c>
      <c r="H332" s="477">
        <v>1188</v>
      </c>
      <c r="I332" s="478">
        <v>297</v>
      </c>
      <c r="J332" s="186">
        <f t="shared" si="30"/>
        <v>297</v>
      </c>
      <c r="K332" s="234">
        <f t="shared" si="29"/>
        <v>4</v>
      </c>
      <c r="L332" s="8">
        <f>11405777.5+385+1188+6614+2968+1417+277+2612+1424+952+1780+952+364.5+1188</f>
        <v>11427899</v>
      </c>
      <c r="M332" s="7">
        <f>1424397+63+297+1638+742+364+66+653+356+238+445+238+27+297</f>
        <v>1429821</v>
      </c>
      <c r="N332" s="74">
        <f>+L332/M332</f>
        <v>7.992538226813006</v>
      </c>
      <c r="O332" s="433">
        <v>322</v>
      </c>
    </row>
    <row r="333" spans="1:15" s="68" customFormat="1" ht="12" customHeight="1">
      <c r="A333" s="433">
        <v>323</v>
      </c>
      <c r="B333" s="335" t="s">
        <v>273</v>
      </c>
      <c r="C333" s="22">
        <v>39995</v>
      </c>
      <c r="D333" s="345" t="s">
        <v>30</v>
      </c>
      <c r="E333" s="21">
        <v>209</v>
      </c>
      <c r="F333" s="21">
        <v>1</v>
      </c>
      <c r="G333" s="21">
        <v>70</v>
      </c>
      <c r="H333" s="500">
        <v>1188</v>
      </c>
      <c r="I333" s="501">
        <v>297</v>
      </c>
      <c r="J333" s="186">
        <f t="shared" si="30"/>
        <v>297</v>
      </c>
      <c r="K333" s="161">
        <f t="shared" si="29"/>
        <v>4</v>
      </c>
      <c r="L333" s="8">
        <f>11405777.5+385+1188+6614+2968+1417+277+2612+1424+952+1780+952+364.5+1188+1188+2852+3019.5+305+1188</f>
        <v>11436451.5</v>
      </c>
      <c r="M333" s="7">
        <f>1424397+63+297+1638+742+364+66+653+356+238+445+238+27+297+297+713+734+61+297</f>
        <v>1431923</v>
      </c>
      <c r="N333" s="396">
        <f>L333/M333</f>
        <v>7.986778269501921</v>
      </c>
      <c r="O333" s="433">
        <v>323</v>
      </c>
    </row>
    <row r="334" spans="1:15" s="68" customFormat="1" ht="12" customHeight="1">
      <c r="A334" s="433">
        <v>324</v>
      </c>
      <c r="B334" s="133" t="s">
        <v>279</v>
      </c>
      <c r="C334" s="22">
        <v>40424</v>
      </c>
      <c r="D334" s="137" t="s">
        <v>30</v>
      </c>
      <c r="E334" s="23">
        <v>5</v>
      </c>
      <c r="F334" s="23">
        <v>1</v>
      </c>
      <c r="G334" s="23">
        <v>10</v>
      </c>
      <c r="H334" s="477">
        <v>1188</v>
      </c>
      <c r="I334" s="478">
        <v>297</v>
      </c>
      <c r="J334" s="81">
        <f>(I334/F334)</f>
        <v>297</v>
      </c>
      <c r="K334" s="134">
        <f t="shared" si="29"/>
        <v>4</v>
      </c>
      <c r="L334" s="8">
        <f>11822.5+3468.5+3273+3742.5+3152+1092+927+1058+2153.5+1188</f>
        <v>31877</v>
      </c>
      <c r="M334" s="7">
        <f>827+293+410+398+368+137+124+170+462+297</f>
        <v>3486</v>
      </c>
      <c r="N334" s="135">
        <f>L334/M334</f>
        <v>9.144291451520367</v>
      </c>
      <c r="O334" s="433">
        <v>324</v>
      </c>
    </row>
    <row r="335" spans="1:15" s="68" customFormat="1" ht="12" customHeight="1">
      <c r="A335" s="433">
        <v>325</v>
      </c>
      <c r="B335" s="154" t="s">
        <v>148</v>
      </c>
      <c r="C335" s="2">
        <v>40452</v>
      </c>
      <c r="D335" s="9" t="s">
        <v>21</v>
      </c>
      <c r="E335" s="3">
        <v>67</v>
      </c>
      <c r="F335" s="3">
        <v>3</v>
      </c>
      <c r="G335" s="3">
        <v>12</v>
      </c>
      <c r="H335" s="487">
        <v>1188</v>
      </c>
      <c r="I335" s="488">
        <v>297</v>
      </c>
      <c r="J335" s="72">
        <f>IF(H335&lt;&gt;0,I335/F335,"")</f>
        <v>99</v>
      </c>
      <c r="K335" s="159">
        <f>IF(H335&lt;&gt;0,H335/I335,"")</f>
        <v>4</v>
      </c>
      <c r="L335" s="25">
        <f>148907+7057+8529+4040+573.5+1227+412+727+521+258+1188</f>
        <v>173439.5</v>
      </c>
      <c r="M335" s="28">
        <f>14954+1128+1323+621+141+331+59+105+73+51+297</f>
        <v>19083</v>
      </c>
      <c r="N335" s="160">
        <f>IF(L335&lt;&gt;0,L335/M335,"")</f>
        <v>9.08869150552848</v>
      </c>
      <c r="O335" s="433">
        <v>325</v>
      </c>
    </row>
    <row r="336" spans="1:15" s="68" customFormat="1" ht="12" customHeight="1">
      <c r="A336" s="433">
        <v>326</v>
      </c>
      <c r="B336" s="352" t="s">
        <v>282</v>
      </c>
      <c r="C336" s="143">
        <v>40368</v>
      </c>
      <c r="D336" s="344" t="s">
        <v>30</v>
      </c>
      <c r="E336" s="347">
        <v>126</v>
      </c>
      <c r="F336" s="347">
        <v>1</v>
      </c>
      <c r="G336" s="347">
        <v>28</v>
      </c>
      <c r="H336" s="479">
        <v>1188</v>
      </c>
      <c r="I336" s="480">
        <v>297</v>
      </c>
      <c r="J336" s="186">
        <f>I336/F336</f>
        <v>297</v>
      </c>
      <c r="K336" s="234">
        <f aca="true" t="shared" si="31" ref="K336:K353">H336/I336</f>
        <v>4</v>
      </c>
      <c r="L336" s="16">
        <f>2106797.5+50230.5+32558.5+15249.5+15137+17418.5+7784.5+2808+2841.5+1328+2453+1693+613+726+713+1425.5+1782+1437+1782+2376+1544.5+2376+1188+1188</f>
        <v>2273450.5</v>
      </c>
      <c r="M336" s="17">
        <f>220679+7944+5486+2451+2714+3159+1414+494+658+202+452+398+85+227+178+356+445+228+445+594+386+594+297+297</f>
        <v>250183</v>
      </c>
      <c r="N336" s="235">
        <f>+L336/M336</f>
        <v>9.087150206049172</v>
      </c>
      <c r="O336" s="433">
        <v>326</v>
      </c>
    </row>
    <row r="337" spans="1:15" s="68" customFormat="1" ht="12" customHeight="1">
      <c r="A337" s="433">
        <v>327</v>
      </c>
      <c r="B337" s="348" t="s">
        <v>282</v>
      </c>
      <c r="C337" s="307">
        <v>40368</v>
      </c>
      <c r="D337" s="85" t="s">
        <v>30</v>
      </c>
      <c r="E337" s="309">
        <v>126</v>
      </c>
      <c r="F337" s="144">
        <v>1</v>
      </c>
      <c r="G337" s="309">
        <v>27</v>
      </c>
      <c r="H337" s="477">
        <v>1188</v>
      </c>
      <c r="I337" s="478">
        <v>297</v>
      </c>
      <c r="J337" s="72">
        <f>I337/F337</f>
        <v>297</v>
      </c>
      <c r="K337" s="73">
        <f t="shared" si="31"/>
        <v>4</v>
      </c>
      <c r="L337" s="8">
        <f>2106797.5+50230.5+32558.5+15249.5+15137+17418.5+7784.5+2808+2841.5+1328+2453+1693+613+726+713+1425.5+1782+1437+1782+2376+1544.5+2376+1188</f>
        <v>2272262.5</v>
      </c>
      <c r="M337" s="7">
        <f>220679+7944+5486+2451+2714+3159+1414+494+658+202+452+398+85+227+178+356+445+228+445+594+386+594+297</f>
        <v>249886</v>
      </c>
      <c r="N337" s="74">
        <f>+L337/M337</f>
        <v>9.093196497602907</v>
      </c>
      <c r="O337" s="433">
        <v>327</v>
      </c>
    </row>
    <row r="338" spans="1:15" s="68" customFormat="1" ht="12" customHeight="1">
      <c r="A338" s="433">
        <v>328</v>
      </c>
      <c r="B338" s="198" t="s">
        <v>282</v>
      </c>
      <c r="C338" s="360">
        <v>40368</v>
      </c>
      <c r="D338" s="345" t="s">
        <v>30</v>
      </c>
      <c r="E338" s="21">
        <v>126</v>
      </c>
      <c r="F338" s="21">
        <v>1</v>
      </c>
      <c r="G338" s="21">
        <v>29</v>
      </c>
      <c r="H338" s="479">
        <v>1188</v>
      </c>
      <c r="I338" s="480">
        <v>297</v>
      </c>
      <c r="J338" s="186">
        <f>I338/F338</f>
        <v>297</v>
      </c>
      <c r="K338" s="161">
        <f t="shared" si="31"/>
        <v>4</v>
      </c>
      <c r="L338" s="16">
        <f>2106797.5+50230.5+32558.5+15249.5+15137+17418.5+7784.5+2808+2841.5+1328+2453+1693+613+726+713+1425.5+1782+1437+1782+2376+1544.5+2376+1188+1188+1188</f>
        <v>2274638.5</v>
      </c>
      <c r="M338" s="17">
        <f>220679+7944+5486+2451+2714+3159+1414+494+658+202+452+398+85+227+178+356+445+228+445+594+386+594+297+297+297</f>
        <v>250480</v>
      </c>
      <c r="N338" s="396">
        <f>+L338/M338</f>
        <v>9.081118252954328</v>
      </c>
      <c r="O338" s="433">
        <v>328</v>
      </c>
    </row>
    <row r="339" spans="1:15" s="68" customFormat="1" ht="12" customHeight="1">
      <c r="A339" s="433">
        <v>329</v>
      </c>
      <c r="B339" s="365" t="s">
        <v>339</v>
      </c>
      <c r="C339" s="361">
        <v>40284</v>
      </c>
      <c r="D339" s="345" t="s">
        <v>30</v>
      </c>
      <c r="E339" s="362">
        <v>14</v>
      </c>
      <c r="F339" s="21">
        <v>1</v>
      </c>
      <c r="G339" s="21">
        <v>24</v>
      </c>
      <c r="H339" s="479">
        <v>1188</v>
      </c>
      <c r="I339" s="480">
        <v>297</v>
      </c>
      <c r="J339" s="186">
        <f>I339/F339</f>
        <v>297</v>
      </c>
      <c r="K339" s="161">
        <f t="shared" si="31"/>
        <v>4</v>
      </c>
      <c r="L339" s="16">
        <f>45403.5+26416+19522+5885+5520+2576+2604+1325+840+957.5+196+2970+1095+960+1330+1159+1173+1901+475+2019.5+1188+1307+1425.5+1188</f>
        <v>129436</v>
      </c>
      <c r="M339" s="17">
        <f>4053+2594+2599+732+962+495+470+215+146+347+28+743+229+194+270+236+188+475+119+505+297+327+356+297</f>
        <v>16877</v>
      </c>
      <c r="N339" s="396">
        <f>L339/M339</f>
        <v>7.669372518812585</v>
      </c>
      <c r="O339" s="433">
        <v>329</v>
      </c>
    </row>
    <row r="340" spans="1:15" s="68" customFormat="1" ht="12" customHeight="1">
      <c r="A340" s="433">
        <v>330</v>
      </c>
      <c r="B340" s="301" t="s">
        <v>285</v>
      </c>
      <c r="C340" s="294">
        <v>40438</v>
      </c>
      <c r="D340" s="137" t="s">
        <v>30</v>
      </c>
      <c r="E340" s="300">
        <v>19</v>
      </c>
      <c r="F340" s="300">
        <v>1</v>
      </c>
      <c r="G340" s="300">
        <v>13</v>
      </c>
      <c r="H340" s="479">
        <v>1188</v>
      </c>
      <c r="I340" s="478">
        <v>297</v>
      </c>
      <c r="J340" s="81">
        <f>(I340/F340)</f>
        <v>297</v>
      </c>
      <c r="K340" s="138">
        <f t="shared" si="31"/>
        <v>4</v>
      </c>
      <c r="L340" s="16">
        <f>56752.5+38871+22868.5+4839+2786+2829.5+8012+670+1368+140+42+628+1188</f>
        <v>140994.5</v>
      </c>
      <c r="M340" s="7">
        <f>4639+3072+2103+531+316+368+936+83+203+20+6+98+297</f>
        <v>12672</v>
      </c>
      <c r="N340" s="135">
        <f>L340/M340</f>
        <v>11.12645991161616</v>
      </c>
      <c r="O340" s="433">
        <v>330</v>
      </c>
    </row>
    <row r="341" spans="1:15" s="68" customFormat="1" ht="12" customHeight="1">
      <c r="A341" s="433">
        <v>331</v>
      </c>
      <c r="B341" s="136" t="s">
        <v>292</v>
      </c>
      <c r="C341" s="22">
        <v>40312</v>
      </c>
      <c r="D341" s="137" t="s">
        <v>30</v>
      </c>
      <c r="E341" s="23">
        <v>8</v>
      </c>
      <c r="F341" s="23">
        <v>1</v>
      </c>
      <c r="G341" s="23">
        <v>18</v>
      </c>
      <c r="H341" s="477">
        <v>1188</v>
      </c>
      <c r="I341" s="478">
        <v>297</v>
      </c>
      <c r="J341" s="81">
        <f>(I341/F341)</f>
        <v>297</v>
      </c>
      <c r="K341" s="134">
        <f t="shared" si="31"/>
        <v>4</v>
      </c>
      <c r="L341" s="8">
        <f>41764.5+663+13.5+1901+220.5+1188</f>
        <v>45750.5</v>
      </c>
      <c r="M341" s="7">
        <f>4847+89+1+475+63+297</f>
        <v>5772</v>
      </c>
      <c r="N341" s="135">
        <f>L341/M341</f>
        <v>7.926282051282051</v>
      </c>
      <c r="O341" s="433">
        <v>331</v>
      </c>
    </row>
    <row r="342" spans="1:15" s="68" customFormat="1" ht="12" customHeight="1">
      <c r="A342" s="433">
        <v>332</v>
      </c>
      <c r="B342" s="348" t="s">
        <v>296</v>
      </c>
      <c r="C342" s="307">
        <v>40515</v>
      </c>
      <c r="D342" s="85" t="s">
        <v>30</v>
      </c>
      <c r="E342" s="309">
        <v>62</v>
      </c>
      <c r="F342" s="144">
        <v>1</v>
      </c>
      <c r="G342" s="309">
        <v>32</v>
      </c>
      <c r="H342" s="477">
        <v>1188</v>
      </c>
      <c r="I342" s="478">
        <v>297</v>
      </c>
      <c r="J342" s="72">
        <f>I342/F342</f>
        <v>297</v>
      </c>
      <c r="K342" s="73">
        <f t="shared" si="31"/>
        <v>4</v>
      </c>
      <c r="L342" s="8">
        <f>353151+191248+132731.5+71376+47862+26248.5+19265+34650.5+35095.5+42312+25849+10987+7528+3248+2395.5+3280.5+3141.5+4280+3042+1597+6128+4358+2107+777+4230+4335.5+1718.5+594+1978+2020+7747.5+1188</f>
        <v>1056470</v>
      </c>
      <c r="M342" s="7">
        <f>34650+19352+14525+10591+7581+5012+3223+6065+6865+6589+3930+1782+1091+624+468+512+688+987+804+306+1395+991+478+166+1058+1084+430+148+474+261+1593+297</f>
        <v>134020</v>
      </c>
      <c r="N342" s="76">
        <f>L342/M342</f>
        <v>7.88292792120579</v>
      </c>
      <c r="O342" s="433">
        <v>332</v>
      </c>
    </row>
    <row r="343" spans="1:15" s="68" customFormat="1" ht="12" customHeight="1">
      <c r="A343" s="433">
        <v>333</v>
      </c>
      <c r="B343" s="377" t="s">
        <v>299</v>
      </c>
      <c r="C343" s="374">
        <v>40347</v>
      </c>
      <c r="D343" s="344" t="s">
        <v>30</v>
      </c>
      <c r="E343" s="373">
        <v>66</v>
      </c>
      <c r="F343" s="373">
        <v>1</v>
      </c>
      <c r="G343" s="373">
        <v>31</v>
      </c>
      <c r="H343" s="508">
        <v>1188</v>
      </c>
      <c r="I343" s="509">
        <v>297</v>
      </c>
      <c r="J343" s="186">
        <f>I343/F343</f>
        <v>297</v>
      </c>
      <c r="K343" s="234">
        <f t="shared" si="31"/>
        <v>4</v>
      </c>
      <c r="L343" s="375">
        <f>478213+7083+3309.5+6055+4900+8378+4378.5+2349+3103+2074+7679.5+6108+2991.5+2180+2234+642+2775.5+1757+1151+3382+60+1782+2851+1188</f>
        <v>556624.5</v>
      </c>
      <c r="M343" s="376">
        <f>55327+1259+553+1133+756+1285+650+408+682+334+1688+1394+539+483+475+201+677+260+202+852+20+445+712+297</f>
        <v>70632</v>
      </c>
      <c r="N343" s="244">
        <f>+L343/M343</f>
        <v>7.880627760788311</v>
      </c>
      <c r="O343" s="433">
        <v>333</v>
      </c>
    </row>
    <row r="344" spans="1:17" s="68" customFormat="1" ht="12" customHeight="1">
      <c r="A344" s="433">
        <v>334</v>
      </c>
      <c r="B344" s="365" t="s">
        <v>502</v>
      </c>
      <c r="C344" s="361">
        <v>40242</v>
      </c>
      <c r="D344" s="345" t="s">
        <v>30</v>
      </c>
      <c r="E344" s="362">
        <v>74</v>
      </c>
      <c r="F344" s="21">
        <v>1</v>
      </c>
      <c r="G344" s="21">
        <v>29</v>
      </c>
      <c r="H344" s="479">
        <v>1188</v>
      </c>
      <c r="I344" s="480">
        <v>297</v>
      </c>
      <c r="J344" s="186">
        <f>I344/F344</f>
        <v>297</v>
      </c>
      <c r="K344" s="161">
        <f t="shared" si="31"/>
        <v>4</v>
      </c>
      <c r="L344" s="16">
        <f>421210.25+356+162+4324+208+552+958+360+1188</f>
        <v>429318.25</v>
      </c>
      <c r="M344" s="17">
        <f>55245+64+29+994+22+92+124+60+297</f>
        <v>56927</v>
      </c>
      <c r="N344" s="396">
        <f>L344/M344</f>
        <v>7.541557608867497</v>
      </c>
      <c r="O344" s="433">
        <v>334</v>
      </c>
      <c r="Q344" s="101"/>
    </row>
    <row r="345" spans="1:15" s="68" customFormat="1" ht="12" customHeight="1">
      <c r="A345" s="433">
        <v>335</v>
      </c>
      <c r="B345" s="365" t="s">
        <v>386</v>
      </c>
      <c r="C345" s="361">
        <v>39801</v>
      </c>
      <c r="D345" s="345" t="s">
        <v>30</v>
      </c>
      <c r="E345" s="362">
        <v>42</v>
      </c>
      <c r="F345" s="21">
        <v>1</v>
      </c>
      <c r="G345" s="21">
        <v>41</v>
      </c>
      <c r="H345" s="479">
        <v>1188</v>
      </c>
      <c r="I345" s="480">
        <v>297</v>
      </c>
      <c r="J345" s="186">
        <f>I345/F345</f>
        <v>297</v>
      </c>
      <c r="K345" s="161">
        <f t="shared" si="31"/>
        <v>4</v>
      </c>
      <c r="L345" s="16">
        <f>295344+204961.5+145464.5+116108.5+111972.5+49984+26327+32042+18579+20005+19180+15980+2686.5+3166.5+366+13433+4493+735.5+607.5+2528+83+198+248+2348+825+2700+2268+393+2002+2063+343+1188+2020+398.46+291.4+240.58+592+2376+1308+1780+1188</f>
        <v>1108817.44</v>
      </c>
      <c r="M345" s="17">
        <f>36142+24747+19417+15404+14719+7567+3314+5289+3173+3275+3534+2826+540+724+52+2536+882+130+150+615+21+66+51+497+165+675+506+78+241+404+59+297+505+86+63+59+148+594+327+445+297</f>
        <v>150620</v>
      </c>
      <c r="N345" s="396">
        <f>L345/M345</f>
        <v>7.361687956446687</v>
      </c>
      <c r="O345" s="433">
        <v>335</v>
      </c>
    </row>
    <row r="346" spans="1:15" s="68" customFormat="1" ht="12" customHeight="1">
      <c r="A346" s="433">
        <v>336</v>
      </c>
      <c r="B346" s="133" t="s">
        <v>312</v>
      </c>
      <c r="C346" s="22">
        <v>40319</v>
      </c>
      <c r="D346" s="20" t="s">
        <v>30</v>
      </c>
      <c r="E346" s="23">
        <v>2</v>
      </c>
      <c r="F346" s="23">
        <v>1</v>
      </c>
      <c r="G346" s="23">
        <v>16</v>
      </c>
      <c r="H346" s="477">
        <v>1188</v>
      </c>
      <c r="I346" s="478">
        <v>297</v>
      </c>
      <c r="J346" s="81">
        <f>(I346/F346)</f>
        <v>297</v>
      </c>
      <c r="K346" s="134">
        <f t="shared" si="31"/>
        <v>4</v>
      </c>
      <c r="L346" s="8">
        <f>4143+1077+726+775+2269+1451+561+189+370+613+538+181+79+246+238+1188</f>
        <v>14644</v>
      </c>
      <c r="M346" s="7">
        <f>330+90+108+118+312+209+62+36+139+104+67+25+11+37+68+297</f>
        <v>2013</v>
      </c>
      <c r="N346" s="135">
        <f>L346/M346</f>
        <v>7.27471435668157</v>
      </c>
      <c r="O346" s="433">
        <v>336</v>
      </c>
    </row>
    <row r="347" spans="1:15" s="68" customFormat="1" ht="12" customHeight="1">
      <c r="A347" s="433">
        <v>337</v>
      </c>
      <c r="B347" s="348" t="s">
        <v>366</v>
      </c>
      <c r="C347" s="307">
        <v>40333</v>
      </c>
      <c r="D347" s="85" t="s">
        <v>30</v>
      </c>
      <c r="E347" s="309">
        <v>4</v>
      </c>
      <c r="F347" s="144">
        <v>3</v>
      </c>
      <c r="G347" s="309">
        <v>11</v>
      </c>
      <c r="H347" s="477">
        <v>1188</v>
      </c>
      <c r="I347" s="478">
        <v>297</v>
      </c>
      <c r="J347" s="72">
        <f aca="true" t="shared" si="32" ref="J347:J353">I347/F347</f>
        <v>99</v>
      </c>
      <c r="K347" s="73">
        <f t="shared" si="31"/>
        <v>4</v>
      </c>
      <c r="L347" s="8">
        <f>24273.7+308+483+1188</f>
        <v>26252.7</v>
      </c>
      <c r="M347" s="7">
        <f>2830+67+68+297</f>
        <v>3262</v>
      </c>
      <c r="N347" s="74">
        <f aca="true" t="shared" si="33" ref="N347:N353">+L347/M347</f>
        <v>8.048038013488657</v>
      </c>
      <c r="O347" s="433">
        <v>337</v>
      </c>
    </row>
    <row r="348" spans="1:15" s="68" customFormat="1" ht="12" customHeight="1">
      <c r="A348" s="433">
        <v>338</v>
      </c>
      <c r="B348" s="365" t="s">
        <v>501</v>
      </c>
      <c r="C348" s="361">
        <v>40095</v>
      </c>
      <c r="D348" s="345" t="s">
        <v>30</v>
      </c>
      <c r="E348" s="362">
        <v>52</v>
      </c>
      <c r="F348" s="21">
        <v>1</v>
      </c>
      <c r="G348" s="21">
        <v>15</v>
      </c>
      <c r="H348" s="479">
        <v>1188</v>
      </c>
      <c r="I348" s="480">
        <v>297</v>
      </c>
      <c r="J348" s="186">
        <f t="shared" si="32"/>
        <v>297</v>
      </c>
      <c r="K348" s="161">
        <f t="shared" si="31"/>
        <v>4</v>
      </c>
      <c r="L348" s="16">
        <f>108013.25+68864+27976+10214+2402+2209+1188+2968+1780+1780+2427.4+364.82+248.58+1780+1188</f>
        <v>233403.05</v>
      </c>
      <c r="M348" s="17">
        <f>12202+8144+4339+1841+481+460+297+742+445+445+599+87+57+445+297</f>
        <v>30881</v>
      </c>
      <c r="N348" s="216">
        <f t="shared" si="33"/>
        <v>7.5581441663158575</v>
      </c>
      <c r="O348" s="433">
        <v>338</v>
      </c>
    </row>
    <row r="349" spans="1:15" s="68" customFormat="1" ht="12" customHeight="1">
      <c r="A349" s="433">
        <v>339</v>
      </c>
      <c r="B349" s="142" t="s">
        <v>433</v>
      </c>
      <c r="C349" s="22">
        <v>40193</v>
      </c>
      <c r="D349" s="345" t="s">
        <v>30</v>
      </c>
      <c r="E349" s="23">
        <v>17</v>
      </c>
      <c r="F349" s="23">
        <v>1</v>
      </c>
      <c r="G349" s="23">
        <v>17</v>
      </c>
      <c r="H349" s="477">
        <v>1188</v>
      </c>
      <c r="I349" s="478">
        <v>297</v>
      </c>
      <c r="J349" s="72">
        <f t="shared" si="32"/>
        <v>297</v>
      </c>
      <c r="K349" s="159">
        <f t="shared" si="31"/>
        <v>4</v>
      </c>
      <c r="L349" s="8">
        <f>1080+95415+33267.75+2666+272+903+421+2653+1780+747+58+1376+1549+190+3317+520.5+1188+1188</f>
        <v>148591.25</v>
      </c>
      <c r="M349" s="7">
        <f>108+7515+2837+363+32+176+93+719+445+99+9+205+217+27+387+69+297+297</f>
        <v>13895</v>
      </c>
      <c r="N349" s="160">
        <f t="shared" si="33"/>
        <v>10.693864699532206</v>
      </c>
      <c r="O349" s="433">
        <v>339</v>
      </c>
    </row>
    <row r="350" spans="1:15" s="68" customFormat="1" ht="12" customHeight="1">
      <c r="A350" s="433">
        <v>340</v>
      </c>
      <c r="B350" s="332" t="s">
        <v>131</v>
      </c>
      <c r="C350" s="143">
        <v>40459</v>
      </c>
      <c r="D350" s="85" t="s">
        <v>30</v>
      </c>
      <c r="E350" s="144">
        <v>142</v>
      </c>
      <c r="F350" s="144">
        <v>1</v>
      </c>
      <c r="G350" s="144">
        <v>20</v>
      </c>
      <c r="H350" s="477">
        <v>1188</v>
      </c>
      <c r="I350" s="478">
        <v>287</v>
      </c>
      <c r="J350" s="72">
        <f t="shared" si="32"/>
        <v>287</v>
      </c>
      <c r="K350" s="73">
        <f t="shared" si="31"/>
        <v>4.139372822299651</v>
      </c>
      <c r="L350" s="8">
        <f>569713+434829.5+295345.5+223420+26108+12415.5+5998+1904+1368+799+648+306+1782+594+1782+1425.5+3089+151+1188+1188</f>
        <v>1584054</v>
      </c>
      <c r="M350" s="7">
        <f>61050+47827+36467+29781+4601+2405+1000+284+287+123+103+51+445+113+446+267+708+24+297+287</f>
        <v>186566</v>
      </c>
      <c r="N350" s="74">
        <f t="shared" si="33"/>
        <v>8.490582421234308</v>
      </c>
      <c r="O350" s="433">
        <v>340</v>
      </c>
    </row>
    <row r="351" spans="1:15" s="68" customFormat="1" ht="12" customHeight="1">
      <c r="A351" s="433">
        <v>341</v>
      </c>
      <c r="B351" s="157" t="s">
        <v>325</v>
      </c>
      <c r="C351" s="2">
        <v>39577</v>
      </c>
      <c r="D351" s="10" t="s">
        <v>74</v>
      </c>
      <c r="E351" s="4">
        <v>26</v>
      </c>
      <c r="F351" s="4">
        <v>1</v>
      </c>
      <c r="G351" s="4">
        <v>16</v>
      </c>
      <c r="H351" s="502">
        <v>1188</v>
      </c>
      <c r="I351" s="503">
        <v>198</v>
      </c>
      <c r="J351" s="333">
        <f t="shared" si="32"/>
        <v>198</v>
      </c>
      <c r="K351" s="334">
        <f t="shared" si="31"/>
        <v>6</v>
      </c>
      <c r="L351" s="13">
        <v>117962.42</v>
      </c>
      <c r="M351" s="312">
        <v>13895</v>
      </c>
      <c r="N351" s="305">
        <f t="shared" si="33"/>
        <v>8.48955883411299</v>
      </c>
      <c r="O351" s="433">
        <v>341</v>
      </c>
    </row>
    <row r="352" spans="1:15" s="68" customFormat="1" ht="12" customHeight="1">
      <c r="A352" s="433">
        <v>342</v>
      </c>
      <c r="B352" s="154" t="s">
        <v>232</v>
      </c>
      <c r="C352" s="371">
        <v>40242</v>
      </c>
      <c r="D352" s="345" t="s">
        <v>21</v>
      </c>
      <c r="E352" s="363">
        <v>125</v>
      </c>
      <c r="F352" s="363">
        <v>1</v>
      </c>
      <c r="G352" s="363">
        <v>25</v>
      </c>
      <c r="H352" s="489">
        <v>1188</v>
      </c>
      <c r="I352" s="497">
        <v>170</v>
      </c>
      <c r="J352" s="186">
        <f t="shared" si="32"/>
        <v>170</v>
      </c>
      <c r="K352" s="161">
        <f t="shared" si="31"/>
        <v>6.988235294117647</v>
      </c>
      <c r="L352" s="24">
        <f>3052174.5+368+334+926+8316+2376+1188</f>
        <v>3065682.5</v>
      </c>
      <c r="M352" s="19">
        <f>484917+57+56+140+1663+475+170</f>
        <v>487478</v>
      </c>
      <c r="N352" s="216">
        <f t="shared" si="33"/>
        <v>6.288863292292165</v>
      </c>
      <c r="O352" s="433">
        <v>342</v>
      </c>
    </row>
    <row r="353" spans="1:15" s="68" customFormat="1" ht="12" customHeight="1">
      <c r="A353" s="433">
        <v>343</v>
      </c>
      <c r="B353" s="154" t="s">
        <v>287</v>
      </c>
      <c r="C353" s="2">
        <v>40529</v>
      </c>
      <c r="D353" s="9" t="s">
        <v>10</v>
      </c>
      <c r="E353" s="3">
        <v>72</v>
      </c>
      <c r="F353" s="3">
        <v>2</v>
      </c>
      <c r="G353" s="3">
        <v>6</v>
      </c>
      <c r="H353" s="485">
        <v>1181</v>
      </c>
      <c r="I353" s="486">
        <v>183</v>
      </c>
      <c r="J353" s="80">
        <f t="shared" si="32"/>
        <v>91.5</v>
      </c>
      <c r="K353" s="141">
        <f t="shared" si="31"/>
        <v>6.453551912568306</v>
      </c>
      <c r="L353" s="30">
        <v>916919</v>
      </c>
      <c r="M353" s="29">
        <v>84332</v>
      </c>
      <c r="N353" s="153">
        <f t="shared" si="33"/>
        <v>10.87272921311009</v>
      </c>
      <c r="O353" s="433">
        <v>343</v>
      </c>
    </row>
    <row r="354" spans="1:15" s="68" customFormat="1" ht="12" customHeight="1">
      <c r="A354" s="433">
        <v>344</v>
      </c>
      <c r="B354" s="185" t="s">
        <v>159</v>
      </c>
      <c r="C354" s="205">
        <v>40529</v>
      </c>
      <c r="D354" s="378" t="s">
        <v>21</v>
      </c>
      <c r="E354" s="206">
        <v>134</v>
      </c>
      <c r="F354" s="206">
        <v>1</v>
      </c>
      <c r="G354" s="206">
        <v>11</v>
      </c>
      <c r="H354" s="487">
        <v>1180</v>
      </c>
      <c r="I354" s="488">
        <v>192</v>
      </c>
      <c r="J354" s="379">
        <f>IF(H354&lt;&gt;0,I354/F354,"")</f>
        <v>192</v>
      </c>
      <c r="K354" s="380">
        <f>IF(H354&lt;&gt;0,H354/I354,"")</f>
        <v>6.145833333333333</v>
      </c>
      <c r="L354" s="25">
        <f>415183+3929+3246+2363+1074+230+2072+4630+1180</f>
        <v>433907</v>
      </c>
      <c r="M354" s="28">
        <f>52315+638+476+361+299+38+414+683+192</f>
        <v>55416</v>
      </c>
      <c r="N354" s="381">
        <f>IF(L354&lt;&gt;0,L354/M354,"")</f>
        <v>7.829994947307637</v>
      </c>
      <c r="O354" s="433">
        <v>344</v>
      </c>
    </row>
    <row r="355" spans="1:15" s="68" customFormat="1" ht="12" customHeight="1">
      <c r="A355" s="433">
        <v>345</v>
      </c>
      <c r="B355" s="320" t="s">
        <v>288</v>
      </c>
      <c r="C355" s="321">
        <v>40480</v>
      </c>
      <c r="D355" s="85" t="s">
        <v>133</v>
      </c>
      <c r="E355" s="322">
        <v>15</v>
      </c>
      <c r="F355" s="322">
        <v>1</v>
      </c>
      <c r="G355" s="323">
        <v>11</v>
      </c>
      <c r="H355" s="504">
        <v>1179</v>
      </c>
      <c r="I355" s="505">
        <v>356</v>
      </c>
      <c r="J355" s="72">
        <f>I355/F355</f>
        <v>356</v>
      </c>
      <c r="K355" s="73">
        <f>H355/I355</f>
        <v>3.311797752808989</v>
      </c>
      <c r="L355" s="277">
        <v>63220</v>
      </c>
      <c r="M355" s="278">
        <v>7432</v>
      </c>
      <c r="N355" s="74">
        <f>+L355/M355</f>
        <v>8.506458557588806</v>
      </c>
      <c r="O355" s="433">
        <v>345</v>
      </c>
    </row>
    <row r="356" spans="1:15" s="68" customFormat="1" ht="12" customHeight="1">
      <c r="A356" s="433">
        <v>346</v>
      </c>
      <c r="B356" s="152" t="s">
        <v>275</v>
      </c>
      <c r="C356" s="2">
        <v>40389</v>
      </c>
      <c r="D356" s="9" t="s">
        <v>10</v>
      </c>
      <c r="E356" s="3">
        <v>139</v>
      </c>
      <c r="F356" s="3">
        <v>2</v>
      </c>
      <c r="G356" s="3">
        <v>22</v>
      </c>
      <c r="H356" s="485">
        <v>1178</v>
      </c>
      <c r="I356" s="486">
        <v>911</v>
      </c>
      <c r="J356" s="80">
        <f>I356/F356</f>
        <v>455.5</v>
      </c>
      <c r="K356" s="141">
        <f>H356/I356</f>
        <v>1.2930845225027443</v>
      </c>
      <c r="L356" s="30">
        <v>11031595</v>
      </c>
      <c r="M356" s="29">
        <v>1101560</v>
      </c>
      <c r="N356" s="153">
        <f>+L356/M356</f>
        <v>10.014520316641853</v>
      </c>
      <c r="O356" s="433">
        <v>346</v>
      </c>
    </row>
    <row r="357" spans="1:15" s="68" customFormat="1" ht="12" customHeight="1">
      <c r="A357" s="433">
        <v>347</v>
      </c>
      <c r="B357" s="136" t="s">
        <v>162</v>
      </c>
      <c r="C357" s="22">
        <v>40508</v>
      </c>
      <c r="D357" s="137" t="s">
        <v>30</v>
      </c>
      <c r="E357" s="23">
        <v>44</v>
      </c>
      <c r="F357" s="23">
        <v>2</v>
      </c>
      <c r="G357" s="23">
        <v>6</v>
      </c>
      <c r="H357" s="479">
        <v>1171.5</v>
      </c>
      <c r="I357" s="478">
        <v>282</v>
      </c>
      <c r="J357" s="81">
        <f>(I357/F357)</f>
        <v>141</v>
      </c>
      <c r="K357" s="138">
        <f>H357/I357</f>
        <v>4.154255319148936</v>
      </c>
      <c r="L357" s="16">
        <f>49086+11854+1926+2212.5+1180+1171.5</f>
        <v>67430</v>
      </c>
      <c r="M357" s="7">
        <f>5689+1635+274+420+165+282</f>
        <v>8465</v>
      </c>
      <c r="N357" s="135">
        <f>L357/M357</f>
        <v>7.96574128765505</v>
      </c>
      <c r="O357" s="433">
        <v>347</v>
      </c>
    </row>
    <row r="358" spans="1:15" s="68" customFormat="1" ht="12" customHeight="1">
      <c r="A358" s="433">
        <v>348</v>
      </c>
      <c r="B358" s="152" t="s">
        <v>306</v>
      </c>
      <c r="C358" s="2">
        <v>40494</v>
      </c>
      <c r="D358" s="9" t="s">
        <v>10</v>
      </c>
      <c r="E358" s="3">
        <v>144</v>
      </c>
      <c r="F358" s="3">
        <v>1</v>
      </c>
      <c r="G358" s="3">
        <v>12</v>
      </c>
      <c r="H358" s="485">
        <v>1154</v>
      </c>
      <c r="I358" s="486">
        <v>217</v>
      </c>
      <c r="J358" s="80">
        <f>I358/F358</f>
        <v>217</v>
      </c>
      <c r="K358" s="141">
        <f>H358/I358</f>
        <v>5.317972350230415</v>
      </c>
      <c r="L358" s="30">
        <v>6070373</v>
      </c>
      <c r="M358" s="29">
        <v>524208</v>
      </c>
      <c r="N358" s="153">
        <f>+L358/M358</f>
        <v>11.58008462289778</v>
      </c>
      <c r="O358" s="433">
        <v>348</v>
      </c>
    </row>
    <row r="359" spans="1:15" s="68" customFormat="1" ht="12" customHeight="1">
      <c r="A359" s="433">
        <v>349</v>
      </c>
      <c r="B359" s="157" t="s">
        <v>318</v>
      </c>
      <c r="C359" s="2">
        <v>40480</v>
      </c>
      <c r="D359" s="11" t="s">
        <v>8</v>
      </c>
      <c r="E359" s="4">
        <v>21</v>
      </c>
      <c r="F359" s="4">
        <v>1</v>
      </c>
      <c r="G359" s="4">
        <v>12</v>
      </c>
      <c r="H359" s="498">
        <v>1139</v>
      </c>
      <c r="I359" s="499">
        <v>203</v>
      </c>
      <c r="J359" s="72">
        <f>+I359/F359</f>
        <v>203</v>
      </c>
      <c r="K359" s="159">
        <f>+H359/I359</f>
        <v>5.610837438423645</v>
      </c>
      <c r="L359" s="5">
        <v>299102</v>
      </c>
      <c r="M359" s="6">
        <v>27037</v>
      </c>
      <c r="N359" s="160">
        <f>+L359/M359</f>
        <v>11.062691866701186</v>
      </c>
      <c r="O359" s="433">
        <v>349</v>
      </c>
    </row>
    <row r="360" spans="1:15" s="68" customFormat="1" ht="12" customHeight="1">
      <c r="A360" s="433">
        <v>350</v>
      </c>
      <c r="B360" s="152" t="s">
        <v>139</v>
      </c>
      <c r="C360" s="2">
        <v>40515</v>
      </c>
      <c r="D360" s="10" t="s">
        <v>10</v>
      </c>
      <c r="E360" s="4">
        <v>337</v>
      </c>
      <c r="F360" s="4">
        <v>3</v>
      </c>
      <c r="G360" s="4">
        <v>10</v>
      </c>
      <c r="H360" s="485">
        <v>1124</v>
      </c>
      <c r="I360" s="486">
        <v>121</v>
      </c>
      <c r="J360" s="80">
        <f>I360/F360</f>
        <v>40.333333333333336</v>
      </c>
      <c r="K360" s="141">
        <f>H360/I360</f>
        <v>9.289256198347108</v>
      </c>
      <c r="L360" s="30">
        <v>19628314</v>
      </c>
      <c r="M360" s="29">
        <v>2093949</v>
      </c>
      <c r="N360" s="153">
        <f>+L360/M360</f>
        <v>9.37382620111569</v>
      </c>
      <c r="O360" s="433">
        <v>350</v>
      </c>
    </row>
    <row r="361" spans="1:15" s="68" customFormat="1" ht="12" customHeight="1">
      <c r="A361" s="433">
        <v>351</v>
      </c>
      <c r="B361" s="136" t="s">
        <v>307</v>
      </c>
      <c r="C361" s="22">
        <v>40494</v>
      </c>
      <c r="D361" s="183" t="s">
        <v>23</v>
      </c>
      <c r="E361" s="23">
        <v>72</v>
      </c>
      <c r="F361" s="23">
        <v>2</v>
      </c>
      <c r="G361" s="23">
        <v>8</v>
      </c>
      <c r="H361" s="467">
        <v>1110</v>
      </c>
      <c r="I361" s="476">
        <v>180</v>
      </c>
      <c r="J361" s="28">
        <f>I361/F361</f>
        <v>90</v>
      </c>
      <c r="K361" s="188">
        <f>+H361/I361</f>
        <v>6.166666666666667</v>
      </c>
      <c r="L361" s="18">
        <v>906333</v>
      </c>
      <c r="M361" s="28">
        <v>84860</v>
      </c>
      <c r="N361" s="181">
        <f>+L361/M361</f>
        <v>10.680332312043365</v>
      </c>
      <c r="O361" s="433">
        <v>351</v>
      </c>
    </row>
    <row r="362" spans="1:15" s="68" customFormat="1" ht="12" customHeight="1">
      <c r="A362" s="433">
        <v>352</v>
      </c>
      <c r="B362" s="133" t="s">
        <v>143</v>
      </c>
      <c r="C362" s="22">
        <v>40529</v>
      </c>
      <c r="D362" s="20" t="s">
        <v>30</v>
      </c>
      <c r="E362" s="23">
        <v>147</v>
      </c>
      <c r="F362" s="23">
        <v>3</v>
      </c>
      <c r="G362" s="23">
        <v>12</v>
      </c>
      <c r="H362" s="477">
        <v>1099</v>
      </c>
      <c r="I362" s="478">
        <v>172</v>
      </c>
      <c r="J362" s="81">
        <f>(I362/F362)</f>
        <v>57.333333333333336</v>
      </c>
      <c r="K362" s="134">
        <f>H362/I362</f>
        <v>6.3895348837209305</v>
      </c>
      <c r="L362" s="8">
        <f>691567.5+648414.5+518408+71321.5+45526+17480+7409+4406.5+1874+5613.5+4027+1099</f>
        <v>2017146.5</v>
      </c>
      <c r="M362" s="7">
        <f>79327+75064+61133+10266+7792+4345+1731+935+303+1204+784+172</f>
        <v>243056</v>
      </c>
      <c r="N362" s="135">
        <f>L362/M362</f>
        <v>8.299101853070898</v>
      </c>
      <c r="O362" s="433">
        <v>352</v>
      </c>
    </row>
    <row r="363" spans="1:15" s="68" customFormat="1" ht="12" customHeight="1">
      <c r="A363" s="433">
        <v>353</v>
      </c>
      <c r="B363" s="150" t="s">
        <v>284</v>
      </c>
      <c r="C363" s="22">
        <v>40473</v>
      </c>
      <c r="D363" s="137" t="s">
        <v>30</v>
      </c>
      <c r="E363" s="139">
        <v>30</v>
      </c>
      <c r="F363" s="139">
        <v>1</v>
      </c>
      <c r="G363" s="139">
        <v>15</v>
      </c>
      <c r="H363" s="477">
        <v>1076</v>
      </c>
      <c r="I363" s="478">
        <v>114</v>
      </c>
      <c r="J363" s="81">
        <f>(I363/F363)</f>
        <v>114</v>
      </c>
      <c r="K363" s="134">
        <f>H363/I363</f>
        <v>9.43859649122807</v>
      </c>
      <c r="L363" s="8">
        <f>140269+106844+7979+4849+4700.5+7059+2232+1390+2769+13917+8357+891.5+4704+1307+1076</f>
        <v>308344</v>
      </c>
      <c r="M363" s="7">
        <f>11518+8629+641+577+660+1341+325+348+324+2259+1374+332+506+327+114</f>
        <v>29275</v>
      </c>
      <c r="N363" s="135">
        <f>L363/M363</f>
        <v>10.53267292912041</v>
      </c>
      <c r="O363" s="433">
        <v>353</v>
      </c>
    </row>
    <row r="364" spans="1:15" s="68" customFormat="1" ht="12" customHeight="1">
      <c r="A364" s="433">
        <v>354</v>
      </c>
      <c r="B364" s="185" t="s">
        <v>159</v>
      </c>
      <c r="C364" s="2">
        <v>40529</v>
      </c>
      <c r="D364" s="9" t="s">
        <v>21</v>
      </c>
      <c r="E364" s="3">
        <v>134</v>
      </c>
      <c r="F364" s="3">
        <v>6</v>
      </c>
      <c r="G364" s="3">
        <v>6</v>
      </c>
      <c r="H364" s="487">
        <v>1074</v>
      </c>
      <c r="I364" s="488">
        <v>299</v>
      </c>
      <c r="J364" s="72">
        <f>IF(H364&lt;&gt;0,I364/F364,"")</f>
        <v>49.833333333333336</v>
      </c>
      <c r="K364" s="159">
        <f>IF(H364&lt;&gt;0,H364/I364,"")</f>
        <v>3.591973244147157</v>
      </c>
      <c r="L364" s="25">
        <f>415183+3929+3246+2363+1074</f>
        <v>425795</v>
      </c>
      <c r="M364" s="28">
        <f>52315+638+476+361+299</f>
        <v>54089</v>
      </c>
      <c r="N364" s="160">
        <f>IF(L364&lt;&gt;0,L364/M364,"")</f>
        <v>7.872118175599475</v>
      </c>
      <c r="O364" s="433">
        <v>354</v>
      </c>
    </row>
    <row r="365" spans="1:15" s="68" customFormat="1" ht="12" customHeight="1">
      <c r="A365" s="433">
        <v>355</v>
      </c>
      <c r="B365" s="157" t="s">
        <v>318</v>
      </c>
      <c r="C365" s="2">
        <v>40480</v>
      </c>
      <c r="D365" s="11" t="s">
        <v>8</v>
      </c>
      <c r="E365" s="4">
        <v>21</v>
      </c>
      <c r="F365" s="4">
        <v>2</v>
      </c>
      <c r="G365" s="4">
        <v>20</v>
      </c>
      <c r="H365" s="498">
        <v>1062</v>
      </c>
      <c r="I365" s="499">
        <v>160</v>
      </c>
      <c r="J365" s="72">
        <f>+I365/F365</f>
        <v>80</v>
      </c>
      <c r="K365" s="159">
        <f>+H365/I365</f>
        <v>6.6375</v>
      </c>
      <c r="L365" s="5">
        <v>311586</v>
      </c>
      <c r="M365" s="6">
        <v>29016</v>
      </c>
      <c r="N365" s="160">
        <f>+L365/M365</f>
        <v>10.73842018196857</v>
      </c>
      <c r="O365" s="433">
        <v>355</v>
      </c>
    </row>
    <row r="366" spans="1:15" s="68" customFormat="1" ht="12" customHeight="1">
      <c r="A366" s="433">
        <v>356</v>
      </c>
      <c r="B366" s="287" t="s">
        <v>164</v>
      </c>
      <c r="C366" s="288">
        <v>40487</v>
      </c>
      <c r="D366" s="448" t="s">
        <v>28</v>
      </c>
      <c r="E366" s="162">
        <v>162</v>
      </c>
      <c r="F366" s="162">
        <v>1</v>
      </c>
      <c r="G366" s="162">
        <v>13</v>
      </c>
      <c r="H366" s="474">
        <v>1056</v>
      </c>
      <c r="I366" s="472">
        <v>171</v>
      </c>
      <c r="J366" s="163">
        <f>I366/F366</f>
        <v>171</v>
      </c>
      <c r="K366" s="291">
        <f>H366/I366</f>
        <v>6.175438596491228</v>
      </c>
      <c r="L366" s="358">
        <f>525983.5+915356-20+520720.5+229861+37809.5+41066.5+9062.5+5020+8527+1340+1644+1941+1056</f>
        <v>2299367.5</v>
      </c>
      <c r="M366" s="163">
        <f>56225+93965-2+58841+28041+5233+5910+1474+785+1182+198+319+388+171</f>
        <v>252730</v>
      </c>
      <c r="N366" s="292">
        <f>L366/M366</f>
        <v>9.098118545483322</v>
      </c>
      <c r="O366" s="433">
        <v>356</v>
      </c>
    </row>
    <row r="367" spans="1:15" s="68" customFormat="1" ht="12" customHeight="1">
      <c r="A367" s="433">
        <v>357</v>
      </c>
      <c r="B367" s="157" t="s">
        <v>318</v>
      </c>
      <c r="C367" s="2">
        <v>40480</v>
      </c>
      <c r="D367" s="11" t="s">
        <v>8</v>
      </c>
      <c r="E367" s="4">
        <v>21</v>
      </c>
      <c r="F367" s="4">
        <v>1</v>
      </c>
      <c r="G367" s="4">
        <v>19</v>
      </c>
      <c r="H367" s="498">
        <v>1048</v>
      </c>
      <c r="I367" s="499">
        <v>152</v>
      </c>
      <c r="J367" s="72">
        <f>+I367/F367</f>
        <v>152</v>
      </c>
      <c r="K367" s="161">
        <f>+H367/I367</f>
        <v>6.894736842105263</v>
      </c>
      <c r="L367" s="5">
        <v>310524</v>
      </c>
      <c r="M367" s="6">
        <v>28856</v>
      </c>
      <c r="N367" s="160">
        <f>+L367/M367</f>
        <v>10.761158857776545</v>
      </c>
      <c r="O367" s="433">
        <v>357</v>
      </c>
    </row>
    <row r="368" spans="1:15" s="68" customFormat="1" ht="12" customHeight="1">
      <c r="A368" s="433">
        <v>358</v>
      </c>
      <c r="B368" s="150" t="s">
        <v>253</v>
      </c>
      <c r="C368" s="22">
        <v>40529</v>
      </c>
      <c r="D368" s="137" t="s">
        <v>254</v>
      </c>
      <c r="E368" s="139">
        <v>5</v>
      </c>
      <c r="F368" s="139">
        <v>4</v>
      </c>
      <c r="G368" s="139">
        <v>7</v>
      </c>
      <c r="H368" s="475">
        <v>1031</v>
      </c>
      <c r="I368" s="476">
        <v>163</v>
      </c>
      <c r="J368" s="28">
        <f>I368/F368</f>
        <v>40.75</v>
      </c>
      <c r="K368" s="180">
        <f>H368/I368</f>
        <v>6.325153374233129</v>
      </c>
      <c r="L368" s="26">
        <v>26687</v>
      </c>
      <c r="M368" s="28">
        <v>2758</v>
      </c>
      <c r="N368" s="181">
        <f>L368/M368</f>
        <v>9.676214648295867</v>
      </c>
      <c r="O368" s="433">
        <v>358</v>
      </c>
    </row>
    <row r="369" spans="1:15" s="68" customFormat="1" ht="12" customHeight="1">
      <c r="A369" s="433">
        <v>359</v>
      </c>
      <c r="B369" s="157" t="s">
        <v>318</v>
      </c>
      <c r="C369" s="2">
        <v>40480</v>
      </c>
      <c r="D369" s="10" t="s">
        <v>8</v>
      </c>
      <c r="E369" s="4">
        <v>21</v>
      </c>
      <c r="F369" s="4">
        <v>1</v>
      </c>
      <c r="G369" s="4">
        <v>14</v>
      </c>
      <c r="H369" s="502">
        <v>1028</v>
      </c>
      <c r="I369" s="503">
        <v>201</v>
      </c>
      <c r="J369" s="186">
        <f>+I369/F369</f>
        <v>201</v>
      </c>
      <c r="K369" s="161">
        <f>+H369/I369</f>
        <v>5.114427860696518</v>
      </c>
      <c r="L369" s="13">
        <v>303102</v>
      </c>
      <c r="M369" s="312">
        <v>27773</v>
      </c>
      <c r="N369" s="160">
        <f aca="true" t="shared" si="34" ref="N369:N374">+L369/M369</f>
        <v>10.913549130450438</v>
      </c>
      <c r="O369" s="433">
        <v>359</v>
      </c>
    </row>
    <row r="370" spans="1:15" s="68" customFormat="1" ht="12" customHeight="1">
      <c r="A370" s="433">
        <v>360</v>
      </c>
      <c r="B370" s="136" t="s">
        <v>305</v>
      </c>
      <c r="C370" s="22">
        <v>40466</v>
      </c>
      <c r="D370" s="183" t="s">
        <v>23</v>
      </c>
      <c r="E370" s="23">
        <v>119</v>
      </c>
      <c r="F370" s="23">
        <v>3</v>
      </c>
      <c r="G370" s="23">
        <v>12</v>
      </c>
      <c r="H370" s="467">
        <v>999</v>
      </c>
      <c r="I370" s="476">
        <v>212</v>
      </c>
      <c r="J370" s="28">
        <f aca="true" t="shared" si="35" ref="J370:J375">I370/F370</f>
        <v>70.66666666666667</v>
      </c>
      <c r="K370" s="188">
        <f>+H370/I370</f>
        <v>4.712264150943396</v>
      </c>
      <c r="L370" s="18">
        <v>2010636</v>
      </c>
      <c r="M370" s="28">
        <v>174432</v>
      </c>
      <c r="N370" s="181">
        <f t="shared" si="34"/>
        <v>11.526761144744084</v>
      </c>
      <c r="O370" s="433">
        <v>360</v>
      </c>
    </row>
    <row r="371" spans="1:15" s="68" customFormat="1" ht="12" customHeight="1">
      <c r="A371" s="433">
        <v>361</v>
      </c>
      <c r="B371" s="157" t="s">
        <v>142</v>
      </c>
      <c r="C371" s="2">
        <v>40529</v>
      </c>
      <c r="D371" s="10" t="s">
        <v>134</v>
      </c>
      <c r="E371" s="4">
        <v>81</v>
      </c>
      <c r="F371" s="4">
        <v>1</v>
      </c>
      <c r="G371" s="4">
        <v>8</v>
      </c>
      <c r="H371" s="494">
        <v>997</v>
      </c>
      <c r="I371" s="493">
        <v>367</v>
      </c>
      <c r="J371" s="168">
        <f t="shared" si="35"/>
        <v>367</v>
      </c>
      <c r="K371" s="169">
        <f aca="true" t="shared" si="36" ref="K371:K377">H371/I371</f>
        <v>2.7166212534059944</v>
      </c>
      <c r="L371" s="170">
        <v>485472</v>
      </c>
      <c r="M371" s="171">
        <v>58973</v>
      </c>
      <c r="N371" s="172">
        <f t="shared" si="34"/>
        <v>8.232106218099808</v>
      </c>
      <c r="O371" s="433">
        <v>361</v>
      </c>
    </row>
    <row r="372" spans="1:15" s="68" customFormat="1" ht="12" customHeight="1">
      <c r="A372" s="433">
        <v>362</v>
      </c>
      <c r="B372" s="208" t="s">
        <v>311</v>
      </c>
      <c r="C372" s="84">
        <v>40536</v>
      </c>
      <c r="D372" s="85" t="s">
        <v>23</v>
      </c>
      <c r="E372" s="86">
        <v>112</v>
      </c>
      <c r="F372" s="86">
        <v>1</v>
      </c>
      <c r="G372" s="86">
        <v>22</v>
      </c>
      <c r="H372" s="515">
        <v>974</v>
      </c>
      <c r="I372" s="516">
        <v>161</v>
      </c>
      <c r="J372" s="72">
        <f t="shared" si="35"/>
        <v>161</v>
      </c>
      <c r="K372" s="73">
        <f t="shared" si="36"/>
        <v>6.049689440993789</v>
      </c>
      <c r="L372" s="436">
        <v>2756939</v>
      </c>
      <c r="M372" s="83">
        <v>246874</v>
      </c>
      <c r="N372" s="74">
        <f t="shared" si="34"/>
        <v>11.167393083111223</v>
      </c>
      <c r="O372" s="433">
        <v>362</v>
      </c>
    </row>
    <row r="373" spans="1:15" s="68" customFormat="1" ht="12" customHeight="1">
      <c r="A373" s="433">
        <v>363</v>
      </c>
      <c r="B373" s="208" t="s">
        <v>311</v>
      </c>
      <c r="C373" s="84">
        <v>40536</v>
      </c>
      <c r="D373" s="85" t="s">
        <v>23</v>
      </c>
      <c r="E373" s="86">
        <v>112</v>
      </c>
      <c r="F373" s="86">
        <v>1</v>
      </c>
      <c r="G373" s="86">
        <v>22</v>
      </c>
      <c r="H373" s="515">
        <v>974</v>
      </c>
      <c r="I373" s="516">
        <v>161</v>
      </c>
      <c r="J373" s="72">
        <f t="shared" si="35"/>
        <v>161</v>
      </c>
      <c r="K373" s="73">
        <f t="shared" si="36"/>
        <v>6.049689440993789</v>
      </c>
      <c r="L373" s="436">
        <v>2756939</v>
      </c>
      <c r="M373" s="83">
        <v>246874</v>
      </c>
      <c r="N373" s="74">
        <f t="shared" si="34"/>
        <v>11.167393083111223</v>
      </c>
      <c r="O373" s="433">
        <v>363</v>
      </c>
    </row>
    <row r="374" spans="1:15" s="68" customFormat="1" ht="12" customHeight="1">
      <c r="A374" s="433">
        <v>364</v>
      </c>
      <c r="B374" s="332" t="s">
        <v>284</v>
      </c>
      <c r="C374" s="143">
        <v>40473</v>
      </c>
      <c r="D374" s="85" t="s">
        <v>30</v>
      </c>
      <c r="E374" s="144">
        <v>30</v>
      </c>
      <c r="F374" s="144">
        <v>1</v>
      </c>
      <c r="G374" s="144">
        <v>17</v>
      </c>
      <c r="H374" s="477">
        <v>973</v>
      </c>
      <c r="I374" s="478">
        <v>109</v>
      </c>
      <c r="J374" s="186">
        <f t="shared" si="35"/>
        <v>109</v>
      </c>
      <c r="K374" s="234">
        <f t="shared" si="36"/>
        <v>8.926605504587156</v>
      </c>
      <c r="L374" s="8">
        <f>140269+106844+7979+4849+4700.5+7059+2232+1390+2769+13917+8357+891.5+4704+1307+1076+311+973</f>
        <v>309628</v>
      </c>
      <c r="M374" s="7">
        <f>11518+8629+641+577+660+1341+325+348+324+2259+1374+332+506+327+114+46+109</f>
        <v>29430</v>
      </c>
      <c r="N374" s="76">
        <f t="shared" si="34"/>
        <v>10.520829085966701</v>
      </c>
      <c r="O374" s="433">
        <v>364</v>
      </c>
    </row>
    <row r="375" spans="1:15" s="68" customFormat="1" ht="12" customHeight="1">
      <c r="A375" s="433">
        <v>365</v>
      </c>
      <c r="B375" s="208" t="s">
        <v>243</v>
      </c>
      <c r="C375" s="84">
        <v>40445</v>
      </c>
      <c r="D375" s="85" t="s">
        <v>244</v>
      </c>
      <c r="E375" s="88">
        <v>3</v>
      </c>
      <c r="F375" s="88">
        <v>1</v>
      </c>
      <c r="G375" s="88">
        <v>11</v>
      </c>
      <c r="H375" s="477">
        <v>968</v>
      </c>
      <c r="I375" s="478">
        <v>96</v>
      </c>
      <c r="J375" s="72">
        <f t="shared" si="35"/>
        <v>96</v>
      </c>
      <c r="K375" s="73">
        <f t="shared" si="36"/>
        <v>10.083333333333334</v>
      </c>
      <c r="L375" s="164">
        <v>25133</v>
      </c>
      <c r="M375" s="163">
        <v>2678</v>
      </c>
      <c r="N375" s="76">
        <f>L375/M375</f>
        <v>9.384988797610157</v>
      </c>
      <c r="O375" s="433">
        <v>365</v>
      </c>
    </row>
    <row r="376" spans="1:15" s="68" customFormat="1" ht="12" customHeight="1">
      <c r="A376" s="433">
        <v>366</v>
      </c>
      <c r="B376" s="133" t="s">
        <v>163</v>
      </c>
      <c r="C376" s="22">
        <v>40445</v>
      </c>
      <c r="D376" s="137" t="s">
        <v>30</v>
      </c>
      <c r="E376" s="23">
        <v>99</v>
      </c>
      <c r="F376" s="23">
        <v>1</v>
      </c>
      <c r="G376" s="23">
        <v>13</v>
      </c>
      <c r="H376" s="477">
        <v>966</v>
      </c>
      <c r="I376" s="478">
        <v>317</v>
      </c>
      <c r="J376" s="81">
        <f>(I376/F376)</f>
        <v>317</v>
      </c>
      <c r="K376" s="134">
        <f t="shared" si="36"/>
        <v>3.047318611987382</v>
      </c>
      <c r="L376" s="8">
        <f>321502+248658+168337.5+120626.5+93787.5+82596.5+8900+14133+4789+1421+2440+594+966</f>
        <v>1068751</v>
      </c>
      <c r="M376" s="7">
        <f>37510+29635+22309+17930+15012+11746+1292+2243+804+260+600+115+317</f>
        <v>139773</v>
      </c>
      <c r="N376" s="135">
        <f>L376/M376</f>
        <v>7.64633369821067</v>
      </c>
      <c r="O376" s="433">
        <v>366</v>
      </c>
    </row>
    <row r="377" spans="1:15" s="68" customFormat="1" ht="12" customHeight="1">
      <c r="A377" s="433">
        <v>367</v>
      </c>
      <c r="B377" s="154" t="s">
        <v>656</v>
      </c>
      <c r="C377" s="371">
        <v>40312</v>
      </c>
      <c r="D377" s="345" t="s">
        <v>21</v>
      </c>
      <c r="E377" s="14">
        <v>76</v>
      </c>
      <c r="F377" s="12">
        <v>1</v>
      </c>
      <c r="G377" s="12">
        <v>29</v>
      </c>
      <c r="H377" s="511">
        <v>966</v>
      </c>
      <c r="I377" s="512">
        <v>103</v>
      </c>
      <c r="J377" s="186">
        <f>I377/F377</f>
        <v>103</v>
      </c>
      <c r="K377" s="161">
        <f t="shared" si="36"/>
        <v>9.37864077669903</v>
      </c>
      <c r="L377" s="24">
        <f>380002+966</f>
        <v>380968</v>
      </c>
      <c r="M377" s="19">
        <f>34659+103</f>
        <v>34762</v>
      </c>
      <c r="N377" s="216">
        <f>+L377/M377</f>
        <v>10.959323399113975</v>
      </c>
      <c r="O377" s="433">
        <v>367</v>
      </c>
    </row>
    <row r="378" spans="1:15" s="68" customFormat="1" ht="12" customHeight="1">
      <c r="A378" s="433">
        <v>368</v>
      </c>
      <c r="B378" s="173" t="s">
        <v>160</v>
      </c>
      <c r="C378" s="2">
        <v>40529</v>
      </c>
      <c r="D378" s="15" t="s">
        <v>8</v>
      </c>
      <c r="E378" s="4">
        <v>32</v>
      </c>
      <c r="F378" s="4">
        <v>5</v>
      </c>
      <c r="G378" s="4">
        <v>3</v>
      </c>
      <c r="H378" s="502">
        <v>964</v>
      </c>
      <c r="I378" s="499">
        <v>140</v>
      </c>
      <c r="J378" s="72">
        <f>+I378/F378</f>
        <v>28</v>
      </c>
      <c r="K378" s="161">
        <f>+H378/I378</f>
        <v>6.885714285714286</v>
      </c>
      <c r="L378" s="13">
        <v>18563</v>
      </c>
      <c r="M378" s="6">
        <v>1767</v>
      </c>
      <c r="N378" s="160">
        <f>+L378/M378</f>
        <v>10.505376344086022</v>
      </c>
      <c r="O378" s="433">
        <v>368</v>
      </c>
    </row>
    <row r="379" spans="1:15" s="68" customFormat="1" ht="12" customHeight="1">
      <c r="A379" s="433">
        <v>369</v>
      </c>
      <c r="B379" s="311" t="s">
        <v>276</v>
      </c>
      <c r="C379" s="279">
        <v>40480</v>
      </c>
      <c r="D379" s="87" t="s">
        <v>8</v>
      </c>
      <c r="E379" s="88">
        <v>1</v>
      </c>
      <c r="F379" s="4">
        <v>1</v>
      </c>
      <c r="G379" s="4">
        <v>15</v>
      </c>
      <c r="H379" s="498">
        <v>961</v>
      </c>
      <c r="I379" s="499">
        <v>135</v>
      </c>
      <c r="J379" s="186">
        <f>I379/F379</f>
        <v>135</v>
      </c>
      <c r="K379" s="234">
        <f aca="true" t="shared" si="37" ref="K379:K401">H379/I379</f>
        <v>7.118518518518519</v>
      </c>
      <c r="L379" s="5">
        <v>16922</v>
      </c>
      <c r="M379" s="6">
        <v>1420</v>
      </c>
      <c r="N379" s="74">
        <f>+L379/M379</f>
        <v>11.916901408450704</v>
      </c>
      <c r="O379" s="433">
        <v>369</v>
      </c>
    </row>
    <row r="380" spans="1:15" s="68" customFormat="1" ht="12" customHeight="1">
      <c r="A380" s="433">
        <v>370</v>
      </c>
      <c r="B380" s="150" t="s">
        <v>247</v>
      </c>
      <c r="C380" s="22">
        <v>40095</v>
      </c>
      <c r="D380" s="399" t="s">
        <v>30</v>
      </c>
      <c r="E380" s="139">
        <v>22</v>
      </c>
      <c r="F380" s="139">
        <v>1</v>
      </c>
      <c r="G380" s="139">
        <v>20</v>
      </c>
      <c r="H380" s="477">
        <v>952</v>
      </c>
      <c r="I380" s="478">
        <v>238</v>
      </c>
      <c r="J380" s="81">
        <f aca="true" t="shared" si="38" ref="J380:J395">(I380/F380)</f>
        <v>238</v>
      </c>
      <c r="K380" s="134">
        <f t="shared" si="37"/>
        <v>4</v>
      </c>
      <c r="L380" s="8">
        <f>158809.5+140713.25+103696.25+38523+19360+17458+1188+196+2484+3158+1780+2933+1780+2461+6600.5+2668.5+440+441+476+952</f>
        <v>506118</v>
      </c>
      <c r="M380" s="7">
        <f>14214+13110+10683+4685+3074+2645+297+16+571+596+445+584+445+466+837+295+44+65+72+238</f>
        <v>53382</v>
      </c>
      <c r="N380" s="135">
        <f aca="true" t="shared" si="39" ref="N380:N393">L380/M380</f>
        <v>9.481061031808474</v>
      </c>
      <c r="O380" s="433">
        <v>370</v>
      </c>
    </row>
    <row r="381" spans="1:15" s="68" customFormat="1" ht="12" customHeight="1">
      <c r="A381" s="433">
        <v>371</v>
      </c>
      <c r="B381" s="150" t="s">
        <v>255</v>
      </c>
      <c r="C381" s="22">
        <v>40298</v>
      </c>
      <c r="D381" s="137" t="s">
        <v>30</v>
      </c>
      <c r="E381" s="139">
        <v>10</v>
      </c>
      <c r="F381" s="139">
        <v>1</v>
      </c>
      <c r="G381" s="139">
        <v>22</v>
      </c>
      <c r="H381" s="477">
        <v>952</v>
      </c>
      <c r="I381" s="478">
        <v>238</v>
      </c>
      <c r="J381" s="81">
        <f t="shared" si="38"/>
        <v>238</v>
      </c>
      <c r="K381" s="134">
        <f t="shared" si="37"/>
        <v>4</v>
      </c>
      <c r="L381" s="8">
        <f>83892.5+865+192+477+220.5+1901+2138.5+1307+952</f>
        <v>91945.5</v>
      </c>
      <c r="M381" s="7">
        <f>10300+144+24+59+48+475+534+327+238</f>
        <v>12149</v>
      </c>
      <c r="N381" s="135">
        <f t="shared" si="39"/>
        <v>7.568153757510906</v>
      </c>
      <c r="O381" s="433">
        <v>371</v>
      </c>
    </row>
    <row r="382" spans="1:15" s="68" customFormat="1" ht="12" customHeight="1">
      <c r="A382" s="433">
        <v>372</v>
      </c>
      <c r="B382" s="150" t="s">
        <v>260</v>
      </c>
      <c r="C382" s="22">
        <v>40102</v>
      </c>
      <c r="D382" s="137" t="s">
        <v>30</v>
      </c>
      <c r="E382" s="139">
        <v>22</v>
      </c>
      <c r="F382" s="139">
        <v>1</v>
      </c>
      <c r="G382" s="139">
        <v>13</v>
      </c>
      <c r="H382" s="477">
        <v>952</v>
      </c>
      <c r="I382" s="478">
        <v>238</v>
      </c>
      <c r="J382" s="81">
        <f t="shared" si="38"/>
        <v>238</v>
      </c>
      <c r="K382" s="134">
        <f t="shared" si="37"/>
        <v>4</v>
      </c>
      <c r="L382" s="8">
        <f>129717.5+110957+18478+6527+6853.5+1081.5+738.5+250+165+404+829.5+186+952</f>
        <v>277139.5</v>
      </c>
      <c r="M382" s="7">
        <f>10402+8975+1885+691+1109+369+262+48+23+69+109+24+238</f>
        <v>24204</v>
      </c>
      <c r="N382" s="135">
        <f t="shared" si="39"/>
        <v>11.450152867294662</v>
      </c>
      <c r="O382" s="433">
        <v>372</v>
      </c>
    </row>
    <row r="383" spans="1:15" s="68" customFormat="1" ht="12" customHeight="1">
      <c r="A383" s="433">
        <v>373</v>
      </c>
      <c r="B383" s="150" t="s">
        <v>271</v>
      </c>
      <c r="C383" s="22">
        <v>39892</v>
      </c>
      <c r="D383" s="137" t="s">
        <v>30</v>
      </c>
      <c r="E383" s="139">
        <v>5</v>
      </c>
      <c r="F383" s="139">
        <v>1</v>
      </c>
      <c r="G383" s="139">
        <v>24</v>
      </c>
      <c r="H383" s="498">
        <v>952</v>
      </c>
      <c r="I383" s="499">
        <v>238</v>
      </c>
      <c r="J383" s="27">
        <f t="shared" si="38"/>
        <v>238</v>
      </c>
      <c r="K383" s="406">
        <f t="shared" si="37"/>
        <v>4</v>
      </c>
      <c r="L383" s="5">
        <f>18881.5+13473+6553+4173.5+2378+3269+2172+792+240+60+1236+552+1321+1757+465+884+565+65+261+952+114+51+2376+952</f>
        <v>63543</v>
      </c>
      <c r="M383" s="6">
        <f>2268+1745+795+568+579+610+541+209+80+20+215+68+169+337+93+144+93+15+56+238+23+20+594+238</f>
        <v>9718</v>
      </c>
      <c r="N383" s="305">
        <f t="shared" si="39"/>
        <v>6.538691088701379</v>
      </c>
      <c r="O383" s="433">
        <v>373</v>
      </c>
    </row>
    <row r="384" spans="1:15" s="68" customFormat="1" ht="12" customHeight="1">
      <c r="A384" s="433">
        <v>374</v>
      </c>
      <c r="B384" s="133" t="s">
        <v>272</v>
      </c>
      <c r="C384" s="22">
        <v>40004</v>
      </c>
      <c r="D384" s="20" t="s">
        <v>30</v>
      </c>
      <c r="E384" s="23">
        <v>20</v>
      </c>
      <c r="F384" s="23">
        <v>1</v>
      </c>
      <c r="G384" s="23">
        <v>15</v>
      </c>
      <c r="H384" s="498">
        <v>952</v>
      </c>
      <c r="I384" s="499">
        <v>238</v>
      </c>
      <c r="J384" s="27">
        <f t="shared" si="38"/>
        <v>238</v>
      </c>
      <c r="K384" s="406">
        <f t="shared" si="37"/>
        <v>4</v>
      </c>
      <c r="L384" s="5">
        <f>27239+16683+9866+18646.5+11021.5+18905.5+11305+6948.5+5971.5+3862.5+1777+1145+520+193+952</f>
        <v>135036</v>
      </c>
      <c r="M384" s="6">
        <f>2632+2092+1344+2829+1912+3115+1963+1173+1001+690+304+193+74+27+238</f>
        <v>19587</v>
      </c>
      <c r="N384" s="305">
        <f t="shared" si="39"/>
        <v>6.894164496860163</v>
      </c>
      <c r="O384" s="433">
        <v>374</v>
      </c>
    </row>
    <row r="385" spans="1:15" s="68" customFormat="1" ht="12" customHeight="1">
      <c r="A385" s="433">
        <v>375</v>
      </c>
      <c r="B385" s="299" t="s">
        <v>273</v>
      </c>
      <c r="C385" s="294">
        <v>39995</v>
      </c>
      <c r="D385" s="20" t="s">
        <v>30</v>
      </c>
      <c r="E385" s="300">
        <v>209</v>
      </c>
      <c r="F385" s="300">
        <v>1</v>
      </c>
      <c r="G385" s="300">
        <v>63</v>
      </c>
      <c r="H385" s="477">
        <v>952</v>
      </c>
      <c r="I385" s="478">
        <v>238</v>
      </c>
      <c r="J385" s="81">
        <f t="shared" si="38"/>
        <v>238</v>
      </c>
      <c r="K385" s="134">
        <f t="shared" si="37"/>
        <v>4</v>
      </c>
      <c r="L385" s="8">
        <f>11405777.5+385+1188+6614+2968+1417+277+2612+1424+952+1780+952</f>
        <v>11426346.5</v>
      </c>
      <c r="M385" s="7">
        <f>1424397+63+297+1638+742+364+66+653+356+238+445+238</f>
        <v>1429497</v>
      </c>
      <c r="N385" s="135">
        <f t="shared" si="39"/>
        <v>7.993263714439415</v>
      </c>
      <c r="O385" s="433">
        <v>375</v>
      </c>
    </row>
    <row r="386" spans="1:15" s="68" customFormat="1" ht="12" customHeight="1">
      <c r="A386" s="433">
        <v>376</v>
      </c>
      <c r="B386" s="299" t="s">
        <v>273</v>
      </c>
      <c r="C386" s="294">
        <v>39995</v>
      </c>
      <c r="D386" s="137" t="s">
        <v>30</v>
      </c>
      <c r="E386" s="300">
        <v>209</v>
      </c>
      <c r="F386" s="300">
        <v>1</v>
      </c>
      <c r="G386" s="300">
        <v>61</v>
      </c>
      <c r="H386" s="477">
        <v>952</v>
      </c>
      <c r="I386" s="478">
        <v>238</v>
      </c>
      <c r="J386" s="81">
        <f t="shared" si="38"/>
        <v>238</v>
      </c>
      <c r="K386" s="134">
        <f t="shared" si="37"/>
        <v>4</v>
      </c>
      <c r="L386" s="8">
        <f>11405777.5+385+1188+6614+2968+1417+277+2612+1424+952</f>
        <v>11423614.5</v>
      </c>
      <c r="M386" s="7">
        <f>1424397+63+297+1638+742+364+66+653+356+238</f>
        <v>1428814</v>
      </c>
      <c r="N386" s="135">
        <f t="shared" si="39"/>
        <v>7.995172569697665</v>
      </c>
      <c r="O386" s="433">
        <v>376</v>
      </c>
    </row>
    <row r="387" spans="1:15" s="68" customFormat="1" ht="12" customHeight="1">
      <c r="A387" s="433">
        <v>377</v>
      </c>
      <c r="B387" s="133" t="s">
        <v>274</v>
      </c>
      <c r="C387" s="22">
        <v>39738</v>
      </c>
      <c r="D387" s="137" t="s">
        <v>30</v>
      </c>
      <c r="E387" s="23">
        <v>67</v>
      </c>
      <c r="F387" s="23">
        <v>1</v>
      </c>
      <c r="G387" s="23">
        <v>43</v>
      </c>
      <c r="H387" s="477">
        <v>952</v>
      </c>
      <c r="I387" s="478">
        <v>238</v>
      </c>
      <c r="J387" s="81">
        <f t="shared" si="38"/>
        <v>238</v>
      </c>
      <c r="K387" s="134">
        <f t="shared" si="37"/>
        <v>4</v>
      </c>
      <c r="L387" s="8">
        <f>575413.5+2968+2376+2737+2376+2376+4752+2376+952</f>
        <v>596326.5</v>
      </c>
      <c r="M387" s="7">
        <f>83313+742+594+635+594+594+1188+594+238</f>
        <v>88492</v>
      </c>
      <c r="N387" s="135">
        <f t="shared" si="39"/>
        <v>6.738761695972517</v>
      </c>
      <c r="O387" s="433">
        <v>377</v>
      </c>
    </row>
    <row r="388" spans="1:15" s="68" customFormat="1" ht="12" customHeight="1">
      <c r="A388" s="433">
        <v>378</v>
      </c>
      <c r="B388" s="150" t="s">
        <v>278</v>
      </c>
      <c r="C388" s="22">
        <v>39997</v>
      </c>
      <c r="D388" s="137" t="s">
        <v>30</v>
      </c>
      <c r="E388" s="139">
        <v>5</v>
      </c>
      <c r="F388" s="139">
        <v>1</v>
      </c>
      <c r="G388" s="139">
        <v>21</v>
      </c>
      <c r="H388" s="477">
        <v>952</v>
      </c>
      <c r="I388" s="478">
        <v>238</v>
      </c>
      <c r="J388" s="81">
        <f t="shared" si="38"/>
        <v>238</v>
      </c>
      <c r="K388" s="134">
        <f t="shared" si="37"/>
        <v>4</v>
      </c>
      <c r="L388" s="8">
        <f>18914.5+7321+4028.5+1674+6130+4818.5+6984.5+5012.5+1695+4556+3587.5+1286+2931+2868+2878.5+3369+1780+1780+162+63+952</f>
        <v>82791.5</v>
      </c>
      <c r="M388" s="7">
        <f>1467+674+673+324+645+765+779+620+311+670+508+195+503+424+502+755+445+445+35+21+238</f>
        <v>10999</v>
      </c>
      <c r="N388" s="135">
        <f t="shared" si="39"/>
        <v>7.527184289480862</v>
      </c>
      <c r="O388" s="433">
        <v>378</v>
      </c>
    </row>
    <row r="389" spans="1:15" s="68" customFormat="1" ht="12" customHeight="1">
      <c r="A389" s="433">
        <v>379</v>
      </c>
      <c r="B389" s="150" t="s">
        <v>286</v>
      </c>
      <c r="C389" s="22">
        <v>39871</v>
      </c>
      <c r="D389" s="137" t="s">
        <v>30</v>
      </c>
      <c r="E389" s="139">
        <v>1</v>
      </c>
      <c r="F389" s="139">
        <v>1</v>
      </c>
      <c r="G389" s="139">
        <v>24</v>
      </c>
      <c r="H389" s="477">
        <v>952</v>
      </c>
      <c r="I389" s="478">
        <v>238</v>
      </c>
      <c r="J389" s="81">
        <f t="shared" si="38"/>
        <v>238</v>
      </c>
      <c r="K389" s="134">
        <f t="shared" si="37"/>
        <v>4</v>
      </c>
      <c r="L389" s="8">
        <f>1088+1510+1304+856+387+214+424+106+162+130+476+60.5+118+96+1664+1780+454+259.5+1188+119.5+1188+1780+1780+1780+952</f>
        <v>19876.5</v>
      </c>
      <c r="M389" s="7">
        <f>267+175+155+102+46+26+51+12+18+16+57+8+22+16+416+445+57+31+297+19+297+445+445+445+238</f>
        <v>4106</v>
      </c>
      <c r="N389" s="135">
        <f t="shared" si="39"/>
        <v>4.840842669264491</v>
      </c>
      <c r="O389" s="433">
        <v>379</v>
      </c>
    </row>
    <row r="390" spans="1:15" s="68" customFormat="1" ht="12" customHeight="1">
      <c r="A390" s="433">
        <v>380</v>
      </c>
      <c r="B390" s="150" t="s">
        <v>300</v>
      </c>
      <c r="C390" s="22">
        <v>40025</v>
      </c>
      <c r="D390" s="137" t="s">
        <v>30</v>
      </c>
      <c r="E390" s="139">
        <v>1</v>
      </c>
      <c r="F390" s="139">
        <v>1</v>
      </c>
      <c r="G390" s="139">
        <v>9</v>
      </c>
      <c r="H390" s="477">
        <v>952</v>
      </c>
      <c r="I390" s="478">
        <v>238</v>
      </c>
      <c r="J390" s="81">
        <f t="shared" si="38"/>
        <v>238</v>
      </c>
      <c r="K390" s="134">
        <f t="shared" si="37"/>
        <v>4</v>
      </c>
      <c r="L390" s="8">
        <f>6157+1979.5+2138+815+825+343+114+159+952</f>
        <v>13482.5</v>
      </c>
      <c r="M390" s="7">
        <f>452+147+247+163+165+40+19+36+238</f>
        <v>1507</v>
      </c>
      <c r="N390" s="135">
        <f t="shared" si="39"/>
        <v>8.946582614465827</v>
      </c>
      <c r="O390" s="433">
        <v>380</v>
      </c>
    </row>
    <row r="391" spans="1:15" s="68" customFormat="1" ht="12" customHeight="1">
      <c r="A391" s="433">
        <v>381</v>
      </c>
      <c r="B391" s="133" t="s">
        <v>304</v>
      </c>
      <c r="C391" s="22">
        <v>40081</v>
      </c>
      <c r="D391" s="137" t="s">
        <v>30</v>
      </c>
      <c r="E391" s="23">
        <v>10</v>
      </c>
      <c r="F391" s="23">
        <v>1</v>
      </c>
      <c r="G391" s="23">
        <v>9</v>
      </c>
      <c r="H391" s="477">
        <v>952</v>
      </c>
      <c r="I391" s="478">
        <v>238</v>
      </c>
      <c r="J391" s="81">
        <f t="shared" si="38"/>
        <v>238</v>
      </c>
      <c r="K391" s="134">
        <f t="shared" si="37"/>
        <v>4</v>
      </c>
      <c r="L391" s="8">
        <f>15355.5+7416.5+5376.5+1210+1050.5+1780+1780+1780+952</f>
        <v>36701</v>
      </c>
      <c r="M391" s="7">
        <f>1226+729+733+198+202+445+445+445+238</f>
        <v>4661</v>
      </c>
      <c r="N391" s="135">
        <f t="shared" si="39"/>
        <v>7.874061360223128</v>
      </c>
      <c r="O391" s="433">
        <v>381</v>
      </c>
    </row>
    <row r="392" spans="1:15" s="68" customFormat="1" ht="12" customHeight="1">
      <c r="A392" s="433">
        <v>382</v>
      </c>
      <c r="B392" s="150" t="s">
        <v>309</v>
      </c>
      <c r="C392" s="22">
        <v>40053</v>
      </c>
      <c r="D392" s="137" t="s">
        <v>30</v>
      </c>
      <c r="E392" s="139">
        <v>14</v>
      </c>
      <c r="F392" s="139">
        <v>1</v>
      </c>
      <c r="G392" s="139">
        <v>11</v>
      </c>
      <c r="H392" s="477">
        <v>952</v>
      </c>
      <c r="I392" s="478">
        <v>238</v>
      </c>
      <c r="J392" s="81">
        <f t="shared" si="38"/>
        <v>238</v>
      </c>
      <c r="K392" s="134">
        <f t="shared" si="37"/>
        <v>4</v>
      </c>
      <c r="L392" s="8">
        <f>46744+27773.5+29652+15092+1850+3126+1717.5+468+83+54+952</f>
        <v>127512</v>
      </c>
      <c r="M392" s="7">
        <f>3724+2772+2752+1903+308+472+380+135+20+18+238</f>
        <v>12722</v>
      </c>
      <c r="N392" s="135">
        <f t="shared" si="39"/>
        <v>10.022952365980192</v>
      </c>
      <c r="O392" s="433">
        <v>382</v>
      </c>
    </row>
    <row r="393" spans="1:15" s="68" customFormat="1" ht="12" customHeight="1">
      <c r="A393" s="433">
        <v>383</v>
      </c>
      <c r="B393" s="150" t="s">
        <v>314</v>
      </c>
      <c r="C393" s="22">
        <v>40039</v>
      </c>
      <c r="D393" s="137" t="s">
        <v>30</v>
      </c>
      <c r="E393" s="139">
        <v>8</v>
      </c>
      <c r="F393" s="139">
        <v>1</v>
      </c>
      <c r="G393" s="139">
        <v>11</v>
      </c>
      <c r="H393" s="477">
        <v>952</v>
      </c>
      <c r="I393" s="478">
        <v>238</v>
      </c>
      <c r="J393" s="81">
        <f t="shared" si="38"/>
        <v>238</v>
      </c>
      <c r="K393" s="134">
        <f t="shared" si="37"/>
        <v>4</v>
      </c>
      <c r="L393" s="8">
        <f>29121.25+9335.5+10783.5+6805.5+6780.5+3746+1541.5+84+273+1188+952</f>
        <v>70610.75</v>
      </c>
      <c r="M393" s="7">
        <f>2428+976+1509+1029+1087+466+273+24+62+297+238</f>
        <v>8389</v>
      </c>
      <c r="N393" s="135">
        <f t="shared" si="39"/>
        <v>8.417064012397187</v>
      </c>
      <c r="O393" s="433">
        <v>383</v>
      </c>
    </row>
    <row r="394" spans="1:15" s="68" customFormat="1" ht="12" customHeight="1">
      <c r="A394" s="433">
        <v>384</v>
      </c>
      <c r="B394" s="133" t="s">
        <v>251</v>
      </c>
      <c r="C394" s="22">
        <v>40165</v>
      </c>
      <c r="D394" s="20" t="s">
        <v>30</v>
      </c>
      <c r="E394" s="23">
        <v>150</v>
      </c>
      <c r="F394" s="23">
        <v>1</v>
      </c>
      <c r="G394" s="23">
        <v>45</v>
      </c>
      <c r="H394" s="477">
        <v>950.5</v>
      </c>
      <c r="I394" s="478">
        <v>238</v>
      </c>
      <c r="J394" s="81">
        <f t="shared" si="38"/>
        <v>238</v>
      </c>
      <c r="K394" s="134">
        <f t="shared" si="37"/>
        <v>3.9936974789915967</v>
      </c>
      <c r="L394" s="8">
        <f>26351050.5+1782+1045+250+135084.5+75530.5+42949.5+5302.5+6113+4133+420+7038.5+950.5</f>
        <v>26631649.5</v>
      </c>
      <c r="M394" s="7">
        <f>2457871+446+113+30+11058+6318+3444+432+464+353+42+964+238</f>
        <v>2481773</v>
      </c>
      <c r="N394" s="135">
        <v>10.72108768116797</v>
      </c>
      <c r="O394" s="433">
        <v>384</v>
      </c>
    </row>
    <row r="395" spans="1:15" s="68" customFormat="1" ht="12" customHeight="1">
      <c r="A395" s="433">
        <v>385</v>
      </c>
      <c r="B395" s="133" t="s">
        <v>258</v>
      </c>
      <c r="C395" s="22">
        <v>40333</v>
      </c>
      <c r="D395" s="137" t="s">
        <v>30</v>
      </c>
      <c r="E395" s="23">
        <v>5</v>
      </c>
      <c r="F395" s="23">
        <v>1</v>
      </c>
      <c r="G395" s="23">
        <v>17</v>
      </c>
      <c r="H395" s="477">
        <v>950.5</v>
      </c>
      <c r="I395" s="478">
        <v>238</v>
      </c>
      <c r="J395" s="81">
        <f t="shared" si="38"/>
        <v>238</v>
      </c>
      <c r="K395" s="134">
        <f t="shared" si="37"/>
        <v>3.9936974789915967</v>
      </c>
      <c r="L395" s="8">
        <f>36730.5+564+1413+1445+1680+605+2036+437+950.5</f>
        <v>45861</v>
      </c>
      <c r="M395" s="7">
        <f>3877+97+237+234+280+110+317+78+238</f>
        <v>5468</v>
      </c>
      <c r="N395" s="135">
        <f>L395/M395</f>
        <v>8.38716166788588</v>
      </c>
      <c r="O395" s="433">
        <v>385</v>
      </c>
    </row>
    <row r="396" spans="1:15" s="68" customFormat="1" ht="12" customHeight="1">
      <c r="A396" s="433">
        <v>386</v>
      </c>
      <c r="B396" s="133" t="s">
        <v>293</v>
      </c>
      <c r="C396" s="22">
        <v>40389</v>
      </c>
      <c r="D396" s="85" t="s">
        <v>30</v>
      </c>
      <c r="E396" s="23">
        <v>19</v>
      </c>
      <c r="F396" s="23">
        <v>1</v>
      </c>
      <c r="G396" s="23">
        <v>14</v>
      </c>
      <c r="H396" s="477">
        <v>950.5</v>
      </c>
      <c r="I396" s="478">
        <v>238</v>
      </c>
      <c r="J396" s="72">
        <f>I396/F396</f>
        <v>238</v>
      </c>
      <c r="K396" s="73">
        <f t="shared" si="37"/>
        <v>3.9936974789915967</v>
      </c>
      <c r="L396" s="8">
        <f>69032+15425.5+9802+4755.5+7049.5+3610.5+8536+6024.5+2322+245+405.5+1307+950.5</f>
        <v>129465.5</v>
      </c>
      <c r="M396" s="7">
        <f>5509+1589+1417+704+842+602+1038+829+323+37+46+327+238</f>
        <v>13501</v>
      </c>
      <c r="N396" s="74">
        <f>+L396/M396</f>
        <v>9.589326716539516</v>
      </c>
      <c r="O396" s="433">
        <v>386</v>
      </c>
    </row>
    <row r="397" spans="1:15" s="68" customFormat="1" ht="12" customHeight="1">
      <c r="A397" s="433">
        <v>387</v>
      </c>
      <c r="B397" s="133" t="s">
        <v>313</v>
      </c>
      <c r="C397" s="22">
        <v>40410</v>
      </c>
      <c r="D397" s="137" t="s">
        <v>30</v>
      </c>
      <c r="E397" s="23">
        <v>100</v>
      </c>
      <c r="F397" s="23">
        <v>1</v>
      </c>
      <c r="G397" s="23">
        <v>17</v>
      </c>
      <c r="H397" s="477">
        <v>950.5</v>
      </c>
      <c r="I397" s="478">
        <v>238</v>
      </c>
      <c r="J397" s="81">
        <f>(I397/F397)</f>
        <v>238</v>
      </c>
      <c r="K397" s="134">
        <f t="shared" si="37"/>
        <v>3.9936974789915967</v>
      </c>
      <c r="L397" s="8">
        <f>4793.5+233907+173006+95171+69286+22212.5+11921.5+10683+6473+5548+3621+5930+360+5346+2138.5+6058.5+4752+950.5</f>
        <v>662158</v>
      </c>
      <c r="M397" s="7">
        <f>312+25267+17706+10642+10638+3791+2335+2134+1501+1673+635+1434+72+1336+534+1515+1188+238</f>
        <v>82951</v>
      </c>
      <c r="N397" s="135">
        <f>L397/M397</f>
        <v>7.9825198008462825</v>
      </c>
      <c r="O397" s="433">
        <v>387</v>
      </c>
    </row>
    <row r="398" spans="1:15" s="68" customFormat="1" ht="12" customHeight="1">
      <c r="A398" s="433">
        <v>388</v>
      </c>
      <c r="B398" s="133" t="s">
        <v>165</v>
      </c>
      <c r="C398" s="22">
        <v>40235</v>
      </c>
      <c r="D398" s="137" t="s">
        <v>30</v>
      </c>
      <c r="E398" s="23">
        <v>227</v>
      </c>
      <c r="F398" s="23">
        <v>1</v>
      </c>
      <c r="G398" s="23">
        <v>30</v>
      </c>
      <c r="H398" s="477">
        <v>950.5</v>
      </c>
      <c r="I398" s="478">
        <v>238</v>
      </c>
      <c r="J398" s="81">
        <f>(I398/F398)</f>
        <v>238</v>
      </c>
      <c r="K398" s="134">
        <f t="shared" si="37"/>
        <v>3.9936974789915967</v>
      </c>
      <c r="L398" s="8">
        <f>8240207.5+202+255+7892+2376+1782+1782+2376+950.5</f>
        <v>8257823</v>
      </c>
      <c r="M398" s="7">
        <f>1023896+40+51+1967+594+445+445+594+238</f>
        <v>1028270</v>
      </c>
      <c r="N398" s="135">
        <f>L398/M398</f>
        <v>8.030792496134284</v>
      </c>
      <c r="O398" s="433">
        <v>388</v>
      </c>
    </row>
    <row r="399" spans="1:15" s="68" customFormat="1" ht="12" customHeight="1">
      <c r="A399" s="433">
        <v>389</v>
      </c>
      <c r="B399" s="529" t="s">
        <v>135</v>
      </c>
      <c r="C399" s="458">
        <v>40522</v>
      </c>
      <c r="D399" s="451" t="s">
        <v>30</v>
      </c>
      <c r="E399" s="466">
        <v>127</v>
      </c>
      <c r="F399" s="466">
        <v>1</v>
      </c>
      <c r="G399" s="466">
        <v>22</v>
      </c>
      <c r="H399" s="469">
        <v>950.5</v>
      </c>
      <c r="I399" s="470">
        <v>238</v>
      </c>
      <c r="J399" s="452">
        <f>I399/F399</f>
        <v>238</v>
      </c>
      <c r="K399" s="453">
        <f t="shared" si="37"/>
        <v>3.9936974789915967</v>
      </c>
      <c r="L399" s="455">
        <f>1048675+809166.5+457718.5+70165.5+7102+12164+8619.5+11777.5+6559.5+3338.5+10420.5+3303+3205+2076+1722.5+314+264+550+5455+5583.5+1818.5+950.5</f>
        <v>2470949</v>
      </c>
      <c r="M399" s="456">
        <f>92481+73795+43350+8841+1153+2869+1615+2831+1620+630+2477+726+513+481+318+38+33+104+1359+1394+447+238</f>
        <v>237313</v>
      </c>
      <c r="N399" s="454">
        <f>+L399/M399</f>
        <v>10.41219402224067</v>
      </c>
      <c r="O399" s="433">
        <v>389</v>
      </c>
    </row>
    <row r="400" spans="1:15" s="68" customFormat="1" ht="12" customHeight="1">
      <c r="A400" s="433">
        <v>390</v>
      </c>
      <c r="B400" s="154" t="s">
        <v>385</v>
      </c>
      <c r="C400" s="371">
        <v>40102</v>
      </c>
      <c r="D400" s="345" t="s">
        <v>21</v>
      </c>
      <c r="E400" s="363">
        <v>319</v>
      </c>
      <c r="F400" s="363">
        <v>1</v>
      </c>
      <c r="G400" s="363">
        <v>38</v>
      </c>
      <c r="H400" s="489">
        <v>950</v>
      </c>
      <c r="I400" s="497">
        <v>136</v>
      </c>
      <c r="J400" s="186">
        <f>I400/F400</f>
        <v>136</v>
      </c>
      <c r="K400" s="161">
        <f t="shared" si="37"/>
        <v>6.985294117647059</v>
      </c>
      <c r="L400" s="24">
        <f>19814046.25+1782+950</f>
        <v>19816778.25</v>
      </c>
      <c r="M400" s="19">
        <f>2436288+356+136</f>
        <v>2436780</v>
      </c>
      <c r="N400" s="216">
        <f>+L400/M400</f>
        <v>8.132362482456356</v>
      </c>
      <c r="O400" s="433">
        <v>390</v>
      </c>
    </row>
    <row r="401" spans="1:15" s="68" customFormat="1" ht="12" customHeight="1">
      <c r="A401" s="433">
        <v>391</v>
      </c>
      <c r="B401" s="157" t="s">
        <v>317</v>
      </c>
      <c r="C401" s="2">
        <v>40417</v>
      </c>
      <c r="D401" s="10" t="s">
        <v>10</v>
      </c>
      <c r="E401" s="4">
        <v>119</v>
      </c>
      <c r="F401" s="4">
        <v>1</v>
      </c>
      <c r="G401" s="4">
        <v>15</v>
      </c>
      <c r="H401" s="485">
        <v>941</v>
      </c>
      <c r="I401" s="486">
        <v>843</v>
      </c>
      <c r="J401" s="80">
        <f>I401/F401</f>
        <v>843</v>
      </c>
      <c r="K401" s="141">
        <f t="shared" si="37"/>
        <v>1.1162514827995256</v>
      </c>
      <c r="L401" s="30">
        <v>859853</v>
      </c>
      <c r="M401" s="29">
        <v>97516</v>
      </c>
      <c r="N401" s="153">
        <f>+L401/M401</f>
        <v>8.817558144304524</v>
      </c>
      <c r="O401" s="433">
        <v>391</v>
      </c>
    </row>
    <row r="402" spans="1:15" s="68" customFormat="1" ht="12" customHeight="1">
      <c r="A402" s="433">
        <v>392</v>
      </c>
      <c r="B402" s="150" t="s">
        <v>155</v>
      </c>
      <c r="C402" s="22">
        <v>40473</v>
      </c>
      <c r="D402" s="137" t="s">
        <v>28</v>
      </c>
      <c r="E402" s="139">
        <v>36</v>
      </c>
      <c r="F402" s="139">
        <v>1</v>
      </c>
      <c r="G402" s="139">
        <v>9</v>
      </c>
      <c r="H402" s="467">
        <v>926</v>
      </c>
      <c r="I402" s="468">
        <v>136</v>
      </c>
      <c r="J402" s="186">
        <f>+I402/F402</f>
        <v>136</v>
      </c>
      <c r="K402" s="161">
        <f>+H402/I402</f>
        <v>6.8088235294117645</v>
      </c>
      <c r="L402" s="18">
        <f>34961.5+23009.5+1351+805+533+530+156+172+926</f>
        <v>62444</v>
      </c>
      <c r="M402" s="19">
        <f>4408+3132+214+122+62+78+26+27+136</f>
        <v>8205</v>
      </c>
      <c r="N402" s="160">
        <f>+L402/M402</f>
        <v>7.61048141377209</v>
      </c>
      <c r="O402" s="433">
        <v>392</v>
      </c>
    </row>
    <row r="403" spans="1:15" s="68" customFormat="1" ht="12" customHeight="1">
      <c r="A403" s="433">
        <v>393</v>
      </c>
      <c r="B403" s="299" t="s">
        <v>262</v>
      </c>
      <c r="C403" s="294">
        <v>40396</v>
      </c>
      <c r="D403" s="20" t="s">
        <v>30</v>
      </c>
      <c r="E403" s="300">
        <v>4</v>
      </c>
      <c r="F403" s="300">
        <v>1</v>
      </c>
      <c r="G403" s="300">
        <v>24</v>
      </c>
      <c r="H403" s="477">
        <v>915</v>
      </c>
      <c r="I403" s="478">
        <v>126</v>
      </c>
      <c r="J403" s="81">
        <f>(I403/F403)</f>
        <v>126</v>
      </c>
      <c r="K403" s="134">
        <f>H403/I403</f>
        <v>7.261904761904762</v>
      </c>
      <c r="L403" s="8">
        <f>14959+9646+7725+4386+3960+14571+6049+4818+2605+3811+4797+6372+2996+165+950.5+1598.5+276+381+768+800+1224+1323+280+915</f>
        <v>95376</v>
      </c>
      <c r="M403" s="7">
        <f>1646+1123+1125+547+522+2218+896+595+438+656+743+1047+452+23+148+219+42+85+83+91+196+206+40+126</f>
        <v>13267</v>
      </c>
      <c r="N403" s="135">
        <f>L403/M403</f>
        <v>7.188965101379362</v>
      </c>
      <c r="O403" s="433">
        <v>393</v>
      </c>
    </row>
    <row r="404" spans="1:15" s="68" customFormat="1" ht="12" customHeight="1">
      <c r="A404" s="433">
        <v>394</v>
      </c>
      <c r="B404" s="133" t="s">
        <v>290</v>
      </c>
      <c r="C404" s="22">
        <v>40536</v>
      </c>
      <c r="D404" s="189" t="s">
        <v>23</v>
      </c>
      <c r="E404" s="23">
        <v>91</v>
      </c>
      <c r="F404" s="23">
        <v>1</v>
      </c>
      <c r="G404" s="23">
        <v>6</v>
      </c>
      <c r="H404" s="475">
        <v>901</v>
      </c>
      <c r="I404" s="476">
        <v>123</v>
      </c>
      <c r="J404" s="28">
        <f>I404/F404</f>
        <v>123</v>
      </c>
      <c r="K404" s="180">
        <f>+H404/I404</f>
        <v>7.32520325203252</v>
      </c>
      <c r="L404" s="26">
        <v>1195880</v>
      </c>
      <c r="M404" s="28">
        <v>104549</v>
      </c>
      <c r="N404" s="153">
        <f>+L404/M404</f>
        <v>11.438464260777243</v>
      </c>
      <c r="O404" s="433">
        <v>394</v>
      </c>
    </row>
    <row r="405" spans="1:15" s="68" customFormat="1" ht="12" customHeight="1">
      <c r="A405" s="433">
        <v>395</v>
      </c>
      <c r="B405" s="349" t="s">
        <v>276</v>
      </c>
      <c r="C405" s="359">
        <v>40480</v>
      </c>
      <c r="D405" s="346" t="s">
        <v>8</v>
      </c>
      <c r="E405" s="14">
        <v>1</v>
      </c>
      <c r="F405" s="14">
        <v>1</v>
      </c>
      <c r="G405" s="14">
        <v>20</v>
      </c>
      <c r="H405" s="502">
        <v>898</v>
      </c>
      <c r="I405" s="503">
        <v>122</v>
      </c>
      <c r="J405" s="186">
        <f>I405/F405</f>
        <v>122</v>
      </c>
      <c r="K405" s="234">
        <f>H405/I405</f>
        <v>7.360655737704918</v>
      </c>
      <c r="L405" s="13">
        <v>19242</v>
      </c>
      <c r="M405" s="312">
        <v>1707</v>
      </c>
      <c r="N405" s="244">
        <f>+L405/M405</f>
        <v>11.272407732864675</v>
      </c>
      <c r="O405" s="433">
        <v>395</v>
      </c>
    </row>
    <row r="406" spans="1:15" s="68" customFormat="1" ht="12" customHeight="1">
      <c r="A406" s="433">
        <v>396</v>
      </c>
      <c r="B406" s="133" t="s">
        <v>284</v>
      </c>
      <c r="C406" s="22">
        <v>40473</v>
      </c>
      <c r="D406" s="137" t="s">
        <v>30</v>
      </c>
      <c r="E406" s="23">
        <v>30</v>
      </c>
      <c r="F406" s="23">
        <v>1</v>
      </c>
      <c r="G406" s="23">
        <v>12</v>
      </c>
      <c r="H406" s="477">
        <v>891.5</v>
      </c>
      <c r="I406" s="478">
        <v>332</v>
      </c>
      <c r="J406" s="81">
        <f>(I406/F406)</f>
        <v>332</v>
      </c>
      <c r="K406" s="134">
        <f>H406/I406</f>
        <v>2.6852409638554215</v>
      </c>
      <c r="L406" s="8">
        <f>140269+106844+7979+4849+4700.5+7059+2232+1390+2769+13917+8357+891.5</f>
        <v>301257</v>
      </c>
      <c r="M406" s="7">
        <f>11518+8629+641+577+660+1341+325+348+324+2259+1374+332</f>
        <v>28328</v>
      </c>
      <c r="N406" s="135">
        <f>L406/M406</f>
        <v>10.63460180739904</v>
      </c>
      <c r="O406" s="433">
        <v>396</v>
      </c>
    </row>
    <row r="407" spans="1:15" s="68" customFormat="1" ht="12" customHeight="1">
      <c r="A407" s="433">
        <v>397</v>
      </c>
      <c r="B407" s="136" t="s">
        <v>297</v>
      </c>
      <c r="C407" s="22">
        <v>40473</v>
      </c>
      <c r="D407" s="183" t="s">
        <v>23</v>
      </c>
      <c r="E407" s="23">
        <v>100</v>
      </c>
      <c r="F407" s="23">
        <v>1</v>
      </c>
      <c r="G407" s="23">
        <v>11</v>
      </c>
      <c r="H407" s="467">
        <v>846</v>
      </c>
      <c r="I407" s="476">
        <v>141</v>
      </c>
      <c r="J407" s="28">
        <f>I407/F407</f>
        <v>141</v>
      </c>
      <c r="K407" s="188">
        <f>+H407/I407</f>
        <v>6</v>
      </c>
      <c r="L407" s="18">
        <v>1818047</v>
      </c>
      <c r="M407" s="28">
        <v>188946</v>
      </c>
      <c r="N407" s="181">
        <f>+L407/M407</f>
        <v>9.622045452139766</v>
      </c>
      <c r="O407" s="433">
        <v>397</v>
      </c>
    </row>
    <row r="408" spans="1:15" s="68" customFormat="1" ht="12" customHeight="1">
      <c r="A408" s="433">
        <v>398</v>
      </c>
      <c r="B408" s="208" t="s">
        <v>243</v>
      </c>
      <c r="C408" s="84">
        <v>40445</v>
      </c>
      <c r="D408" s="85" t="s">
        <v>244</v>
      </c>
      <c r="E408" s="88">
        <v>3</v>
      </c>
      <c r="F408" s="88">
        <v>1</v>
      </c>
      <c r="G408" s="88">
        <v>12</v>
      </c>
      <c r="H408" s="504">
        <v>844</v>
      </c>
      <c r="I408" s="505">
        <v>84</v>
      </c>
      <c r="J408" s="72">
        <f>I408/F408</f>
        <v>84</v>
      </c>
      <c r="K408" s="73">
        <f aca="true" t="shared" si="40" ref="K408:K427">H408/I408</f>
        <v>10.047619047619047</v>
      </c>
      <c r="L408" s="277">
        <v>25977</v>
      </c>
      <c r="M408" s="278">
        <v>9405</v>
      </c>
      <c r="N408" s="74">
        <f>+L408/M408</f>
        <v>2.762041467304625</v>
      </c>
      <c r="O408" s="433">
        <v>398</v>
      </c>
    </row>
    <row r="409" spans="1:15" s="68" customFormat="1" ht="12" customHeight="1">
      <c r="A409" s="433">
        <v>399</v>
      </c>
      <c r="B409" s="133" t="s">
        <v>144</v>
      </c>
      <c r="C409" s="22">
        <v>40466</v>
      </c>
      <c r="D409" s="21" t="s">
        <v>28</v>
      </c>
      <c r="E409" s="23">
        <v>22</v>
      </c>
      <c r="F409" s="23">
        <v>1</v>
      </c>
      <c r="G409" s="23">
        <v>13</v>
      </c>
      <c r="H409" s="475">
        <v>820.5</v>
      </c>
      <c r="I409" s="476">
        <v>274</v>
      </c>
      <c r="J409" s="28">
        <f>I409/F409</f>
        <v>274</v>
      </c>
      <c r="K409" s="180">
        <f t="shared" si="40"/>
        <v>2.9945255474452557</v>
      </c>
      <c r="L409" s="26">
        <f>75899.5+52129.5+37227.5+14454+10905+6815+10220.5+4115+4193+1577.5+113+940+2002+820.5</f>
        <v>221412</v>
      </c>
      <c r="M409" s="28">
        <f>7028+5164+3832+1471+1190+1095+1727+519+460+216+17+109+232+274</f>
        <v>23334</v>
      </c>
      <c r="N409" s="181">
        <f>L409/M409</f>
        <v>9.48881460529699</v>
      </c>
      <c r="O409" s="433">
        <v>399</v>
      </c>
    </row>
    <row r="410" spans="1:15" s="68" customFormat="1" ht="12" customHeight="1">
      <c r="A410" s="433">
        <v>400</v>
      </c>
      <c r="B410" s="136" t="s">
        <v>248</v>
      </c>
      <c r="C410" s="22">
        <v>40417</v>
      </c>
      <c r="D410" s="137" t="s">
        <v>30</v>
      </c>
      <c r="E410" s="23">
        <v>25</v>
      </c>
      <c r="F410" s="23">
        <v>1</v>
      </c>
      <c r="G410" s="23">
        <v>15</v>
      </c>
      <c r="H410" s="479">
        <v>807</v>
      </c>
      <c r="I410" s="478">
        <v>102</v>
      </c>
      <c r="J410" s="81">
        <f>(I410/F410)</f>
        <v>102</v>
      </c>
      <c r="K410" s="138">
        <f t="shared" si="40"/>
        <v>7.911764705882353</v>
      </c>
      <c r="L410" s="16">
        <f>87475.5+57473+42134+23624+14854.5+21662+13363.5+5246+6057+2099+300.5+763+292.5+496.5+807</f>
        <v>276648</v>
      </c>
      <c r="M410" s="7">
        <f>7817+5228+5394+3109+2109+2845+2026+770+762+416+44+111+45+73+102</f>
        <v>30851</v>
      </c>
      <c r="N410" s="135">
        <f>L410/M410</f>
        <v>8.96722958737156</v>
      </c>
      <c r="O410" s="433">
        <v>400</v>
      </c>
    </row>
    <row r="411" spans="1:15" s="68" customFormat="1" ht="12" customHeight="1">
      <c r="A411" s="433">
        <v>401</v>
      </c>
      <c r="B411" s="301" t="s">
        <v>262</v>
      </c>
      <c r="C411" s="294">
        <v>40396</v>
      </c>
      <c r="D411" s="137" t="s">
        <v>30</v>
      </c>
      <c r="E411" s="300">
        <v>4</v>
      </c>
      <c r="F411" s="300">
        <v>1</v>
      </c>
      <c r="G411" s="300">
        <v>20</v>
      </c>
      <c r="H411" s="477">
        <v>800</v>
      </c>
      <c r="I411" s="478">
        <v>91</v>
      </c>
      <c r="J411" s="81">
        <f>(I411/F411)</f>
        <v>91</v>
      </c>
      <c r="K411" s="134">
        <f t="shared" si="40"/>
        <v>8.791208791208792</v>
      </c>
      <c r="L411" s="8">
        <f>14959+9646+7725+4386+3960+14571+6049+4818+2605+3811+4797+6372+2996+165+950.5+1598.5+276+381+768+800</f>
        <v>91634</v>
      </c>
      <c r="M411" s="7">
        <f>1646+1123+1125+547+522+2218+896+595+438+656+743+1047+452+23+148+219+42+85+83+91</f>
        <v>12699</v>
      </c>
      <c r="N411" s="135">
        <f>L411/M411</f>
        <v>7.215843767225766</v>
      </c>
      <c r="O411" s="433">
        <v>401</v>
      </c>
    </row>
    <row r="412" spans="1:15" s="68" customFormat="1" ht="12" customHeight="1">
      <c r="A412" s="433">
        <v>402</v>
      </c>
      <c r="B412" s="311" t="s">
        <v>364</v>
      </c>
      <c r="C412" s="84">
        <v>40522</v>
      </c>
      <c r="D412" s="87" t="s">
        <v>8</v>
      </c>
      <c r="E412" s="4">
        <v>110</v>
      </c>
      <c r="F412" s="4">
        <v>1</v>
      </c>
      <c r="G412" s="4">
        <v>15</v>
      </c>
      <c r="H412" s="498">
        <v>800</v>
      </c>
      <c r="I412" s="499">
        <v>80</v>
      </c>
      <c r="J412" s="72">
        <f>I412/F412</f>
        <v>80</v>
      </c>
      <c r="K412" s="73">
        <f t="shared" si="40"/>
        <v>10</v>
      </c>
      <c r="L412" s="5">
        <v>5015911</v>
      </c>
      <c r="M412" s="6">
        <v>477409</v>
      </c>
      <c r="N412" s="74">
        <f>+L412/M412</f>
        <v>10.506527945639903</v>
      </c>
      <c r="O412" s="433">
        <v>402</v>
      </c>
    </row>
    <row r="413" spans="1:15" s="68" customFormat="1" ht="12" customHeight="1">
      <c r="A413" s="433">
        <v>403</v>
      </c>
      <c r="B413" s="152" t="s">
        <v>139</v>
      </c>
      <c r="C413" s="2">
        <v>40515</v>
      </c>
      <c r="D413" s="9" t="s">
        <v>10</v>
      </c>
      <c r="E413" s="3">
        <v>337</v>
      </c>
      <c r="F413" s="3">
        <v>2</v>
      </c>
      <c r="G413" s="3">
        <v>11</v>
      </c>
      <c r="H413" s="485">
        <v>778</v>
      </c>
      <c r="I413" s="486">
        <v>78</v>
      </c>
      <c r="J413" s="80">
        <f>I413/F413</f>
        <v>39</v>
      </c>
      <c r="K413" s="141">
        <f t="shared" si="40"/>
        <v>9.974358974358974</v>
      </c>
      <c r="L413" s="30">
        <v>19629092</v>
      </c>
      <c r="M413" s="29">
        <v>2094027</v>
      </c>
      <c r="N413" s="153">
        <f>+L413/M413</f>
        <v>9.373848570242886</v>
      </c>
      <c r="O413" s="433">
        <v>403</v>
      </c>
    </row>
    <row r="414" spans="1:15" s="68" customFormat="1" ht="12" customHeight="1">
      <c r="A414" s="433">
        <v>404</v>
      </c>
      <c r="B414" s="133" t="s">
        <v>296</v>
      </c>
      <c r="C414" s="22">
        <v>40515</v>
      </c>
      <c r="D414" s="20" t="s">
        <v>30</v>
      </c>
      <c r="E414" s="23">
        <v>62</v>
      </c>
      <c r="F414" s="23">
        <v>2</v>
      </c>
      <c r="G414" s="23">
        <v>24</v>
      </c>
      <c r="H414" s="477">
        <v>777</v>
      </c>
      <c r="I414" s="478">
        <v>166</v>
      </c>
      <c r="J414" s="81">
        <f>(I414/F414)</f>
        <v>83</v>
      </c>
      <c r="K414" s="134">
        <f t="shared" si="40"/>
        <v>4.680722891566265</v>
      </c>
      <c r="L414" s="8">
        <f>353151+191248+132731.5+71376+47862+26248.5+19265+34650.5+35095.5+42312+25849+10987+7528+3248+2395.5+3280.5+3141.5+4280+3042+1597+6128+4358+2107+777</f>
        <v>1032658.5</v>
      </c>
      <c r="M414" s="7">
        <f>34650+19352+14525+10591+7581+5012+3223+6065+6865+6589+3930+1782+1091+624+468+512+688+987+804+306+1395+991+478+166</f>
        <v>128675</v>
      </c>
      <c r="N414" s="135">
        <f>L414/M414</f>
        <v>8.025323489411308</v>
      </c>
      <c r="O414" s="433">
        <v>404</v>
      </c>
    </row>
    <row r="415" spans="1:15" s="68" customFormat="1" ht="12" customHeight="1">
      <c r="A415" s="433">
        <v>405</v>
      </c>
      <c r="B415" s="208" t="s">
        <v>311</v>
      </c>
      <c r="C415" s="84">
        <v>40536</v>
      </c>
      <c r="D415" s="85" t="s">
        <v>23</v>
      </c>
      <c r="E415" s="88">
        <v>112</v>
      </c>
      <c r="F415" s="88">
        <v>1</v>
      </c>
      <c r="G415" s="421">
        <v>25</v>
      </c>
      <c r="H415" s="471">
        <v>777</v>
      </c>
      <c r="I415" s="472">
        <v>127</v>
      </c>
      <c r="J415" s="186">
        <f>I415/F415</f>
        <v>127</v>
      </c>
      <c r="K415" s="234">
        <f t="shared" si="40"/>
        <v>6.118110236220472</v>
      </c>
      <c r="L415" s="164">
        <v>2759867</v>
      </c>
      <c r="M415" s="163">
        <v>247327</v>
      </c>
      <c r="N415" s="74">
        <f>+L415/M415</f>
        <v>11.15877765064065</v>
      </c>
      <c r="O415" s="433">
        <v>405</v>
      </c>
    </row>
    <row r="416" spans="1:15" s="68" customFormat="1" ht="12" customHeight="1">
      <c r="A416" s="433">
        <v>406</v>
      </c>
      <c r="B416" s="152" t="s">
        <v>321</v>
      </c>
      <c r="C416" s="2">
        <v>40473</v>
      </c>
      <c r="D416" s="9" t="s">
        <v>10</v>
      </c>
      <c r="E416" s="3">
        <v>74</v>
      </c>
      <c r="F416" s="3">
        <v>1</v>
      </c>
      <c r="G416" s="3">
        <v>10</v>
      </c>
      <c r="H416" s="485">
        <v>775</v>
      </c>
      <c r="I416" s="486">
        <v>79</v>
      </c>
      <c r="J416" s="80">
        <f>I416/F416</f>
        <v>79</v>
      </c>
      <c r="K416" s="141">
        <f t="shared" si="40"/>
        <v>9.810126582278482</v>
      </c>
      <c r="L416" s="30">
        <f>981252+775</f>
        <v>982027</v>
      </c>
      <c r="M416" s="29">
        <f>84379+79</f>
        <v>84458</v>
      </c>
      <c r="N416" s="153">
        <f>+L416/M416</f>
        <v>11.627400601482394</v>
      </c>
      <c r="O416" s="433">
        <v>406</v>
      </c>
    </row>
    <row r="417" spans="1:15" s="68" customFormat="1" ht="12" customHeight="1">
      <c r="A417" s="433">
        <v>407</v>
      </c>
      <c r="B417" s="142" t="s">
        <v>301</v>
      </c>
      <c r="C417" s="143">
        <v>40466</v>
      </c>
      <c r="D417" s="137" t="s">
        <v>30</v>
      </c>
      <c r="E417" s="144">
        <v>139</v>
      </c>
      <c r="F417" s="144">
        <v>1</v>
      </c>
      <c r="G417" s="144">
        <v>12</v>
      </c>
      <c r="H417" s="477">
        <v>770</v>
      </c>
      <c r="I417" s="478">
        <v>44</v>
      </c>
      <c r="J417" s="81">
        <f>(I417/F417)</f>
        <v>44</v>
      </c>
      <c r="K417" s="134">
        <f t="shared" si="40"/>
        <v>17.5</v>
      </c>
      <c r="L417" s="8">
        <f>859399.5+611922.5+597511+92540.5+35432.5+12313+8417+3230+2786+1901+208.5+770</f>
        <v>2226431.5</v>
      </c>
      <c r="M417" s="7">
        <f>81834+61457+58453+8463+3493+2070+1395+1040+668+474+59+44</f>
        <v>219450</v>
      </c>
      <c r="N417" s="135">
        <f>L417/M417</f>
        <v>10.14550694919116</v>
      </c>
      <c r="O417" s="433">
        <v>407</v>
      </c>
    </row>
    <row r="418" spans="1:15" s="68" customFormat="1" ht="12" customHeight="1">
      <c r="A418" s="433">
        <v>408</v>
      </c>
      <c r="B418" s="296" t="s">
        <v>262</v>
      </c>
      <c r="C418" s="297">
        <v>40396</v>
      </c>
      <c r="D418" s="137" t="s">
        <v>30</v>
      </c>
      <c r="E418" s="298">
        <v>4</v>
      </c>
      <c r="F418" s="298">
        <v>1</v>
      </c>
      <c r="G418" s="298">
        <v>19</v>
      </c>
      <c r="H418" s="481">
        <v>768</v>
      </c>
      <c r="I418" s="482">
        <v>83</v>
      </c>
      <c r="J418" s="145">
        <f>(I418/F418)</f>
        <v>83</v>
      </c>
      <c r="K418" s="146">
        <f t="shared" si="40"/>
        <v>9.25301204819277</v>
      </c>
      <c r="L418" s="147">
        <f>14959+9646+7725+4386+3960+14571+6049+4818+2605+3811+4797+6372+2996+165+950.5+1598.5+276+381+768</f>
        <v>90834</v>
      </c>
      <c r="M418" s="148">
        <f>1646+1123+1125+547+522+2218+896+595+438+656+743+1047+452+23+148+219+42+85+83</f>
        <v>12608</v>
      </c>
      <c r="N418" s="149">
        <f>L418/M418</f>
        <v>7.204473350253807</v>
      </c>
      <c r="O418" s="433">
        <v>408</v>
      </c>
    </row>
    <row r="419" spans="1:15" s="68" customFormat="1" ht="12" customHeight="1">
      <c r="A419" s="433">
        <v>409</v>
      </c>
      <c r="B419" s="133" t="s">
        <v>329</v>
      </c>
      <c r="C419" s="22">
        <v>40508</v>
      </c>
      <c r="D419" s="20" t="s">
        <v>30</v>
      </c>
      <c r="E419" s="23">
        <v>34</v>
      </c>
      <c r="F419" s="23">
        <v>1</v>
      </c>
      <c r="G419" s="23">
        <v>10</v>
      </c>
      <c r="H419" s="477">
        <v>767</v>
      </c>
      <c r="I419" s="478">
        <v>115</v>
      </c>
      <c r="J419" s="81">
        <f>(I419/F419)</f>
        <v>115</v>
      </c>
      <c r="K419" s="134">
        <f t="shared" si="40"/>
        <v>6.6695652173913045</v>
      </c>
      <c r="L419" s="8">
        <f>122173+87330+23120+25637+29159.5+14630.5+403+1246+229+767</f>
        <v>304695</v>
      </c>
      <c r="M419" s="7">
        <f>10588+8153+2702+3877+4807+2283+58+199+33+115</f>
        <v>32815</v>
      </c>
      <c r="N419" s="135">
        <f>L419/M419</f>
        <v>9.28523541063538</v>
      </c>
      <c r="O419" s="433">
        <v>409</v>
      </c>
    </row>
    <row r="420" spans="1:15" s="68" customFormat="1" ht="12" customHeight="1">
      <c r="A420" s="433">
        <v>410</v>
      </c>
      <c r="B420" s="133" t="s">
        <v>253</v>
      </c>
      <c r="C420" s="22">
        <v>40529</v>
      </c>
      <c r="D420" s="20" t="s">
        <v>59</v>
      </c>
      <c r="E420" s="23">
        <v>5</v>
      </c>
      <c r="F420" s="23">
        <v>1</v>
      </c>
      <c r="G420" s="23">
        <v>8</v>
      </c>
      <c r="H420" s="475">
        <v>747</v>
      </c>
      <c r="I420" s="476">
        <v>103</v>
      </c>
      <c r="J420" s="28">
        <f>I420/F420</f>
        <v>103</v>
      </c>
      <c r="K420" s="180">
        <f t="shared" si="40"/>
        <v>7.252427184466019</v>
      </c>
      <c r="L420" s="26">
        <v>27434</v>
      </c>
      <c r="M420" s="28">
        <v>2861</v>
      </c>
      <c r="N420" s="181">
        <f>L420/M420</f>
        <v>9.588954910870324</v>
      </c>
      <c r="O420" s="433">
        <v>410</v>
      </c>
    </row>
    <row r="421" spans="1:15" s="68" customFormat="1" ht="12" customHeight="1">
      <c r="A421" s="433">
        <v>411</v>
      </c>
      <c r="B421" s="157" t="s">
        <v>145</v>
      </c>
      <c r="C421" s="2">
        <v>40501</v>
      </c>
      <c r="D421" s="10" t="s">
        <v>134</v>
      </c>
      <c r="E421" s="4">
        <v>261</v>
      </c>
      <c r="F421" s="4">
        <v>1</v>
      </c>
      <c r="G421" s="4">
        <v>65</v>
      </c>
      <c r="H421" s="494">
        <v>723.6</v>
      </c>
      <c r="I421" s="493">
        <v>200</v>
      </c>
      <c r="J421" s="168">
        <f>I421/F421</f>
        <v>200</v>
      </c>
      <c r="K421" s="182">
        <f t="shared" si="40"/>
        <v>3.6180000000000003</v>
      </c>
      <c r="L421" s="5">
        <v>5323397</v>
      </c>
      <c r="M421" s="6">
        <v>861323</v>
      </c>
      <c r="N421" s="172">
        <f>+L421/M421</f>
        <v>6.180488620413016</v>
      </c>
      <c r="O421" s="433">
        <v>411</v>
      </c>
    </row>
    <row r="422" spans="1:15" s="68" customFormat="1" ht="12" customHeight="1">
      <c r="A422" s="433">
        <v>412</v>
      </c>
      <c r="B422" s="365" t="s">
        <v>246</v>
      </c>
      <c r="C422" s="361">
        <v>40529</v>
      </c>
      <c r="D422" s="344" t="s">
        <v>30</v>
      </c>
      <c r="E422" s="362">
        <v>147</v>
      </c>
      <c r="F422" s="21">
        <v>1</v>
      </c>
      <c r="G422" s="362">
        <v>15</v>
      </c>
      <c r="H422" s="479">
        <v>713</v>
      </c>
      <c r="I422" s="480">
        <v>178</v>
      </c>
      <c r="J422" s="186">
        <f>I422/F422</f>
        <v>178</v>
      </c>
      <c r="K422" s="234">
        <f t="shared" si="40"/>
        <v>4.00561797752809</v>
      </c>
      <c r="L422" s="16">
        <f>691567.5+648414.5+518408+71321.5+45526+17480+7409+4406.5+1874+5613.5+4027+1099+82+1188+713</f>
        <v>2019129.5</v>
      </c>
      <c r="M422" s="17">
        <f>79327+75064+61133+10266+7792+4345+1731+935+303+1204+784+172+12+297+178</f>
        <v>243543</v>
      </c>
      <c r="N422" s="235">
        <f>+L422/M422</f>
        <v>8.290648879253355</v>
      </c>
      <c r="O422" s="433">
        <v>412</v>
      </c>
    </row>
    <row r="423" spans="1:15" s="68" customFormat="1" ht="12" customHeight="1">
      <c r="A423" s="433">
        <v>413</v>
      </c>
      <c r="B423" s="301" t="s">
        <v>299</v>
      </c>
      <c r="C423" s="395">
        <v>40347</v>
      </c>
      <c r="D423" s="344" t="s">
        <v>30</v>
      </c>
      <c r="E423" s="394">
        <v>66</v>
      </c>
      <c r="F423" s="394">
        <v>1</v>
      </c>
      <c r="G423" s="394">
        <v>32</v>
      </c>
      <c r="H423" s="479">
        <v>713</v>
      </c>
      <c r="I423" s="478">
        <v>178</v>
      </c>
      <c r="J423" s="186">
        <f>I423/F423</f>
        <v>178</v>
      </c>
      <c r="K423" s="234">
        <f t="shared" si="40"/>
        <v>4.00561797752809</v>
      </c>
      <c r="L423" s="16">
        <f>478213+7083+3309.5+6055+4900+8378+4378.5+2349+3103+2074+7679.5+6108+2991.5+2180+2234+642+2775.5+1757+1151+3382+60+1782+2851+1188+713</f>
        <v>557337.5</v>
      </c>
      <c r="M423" s="7">
        <f>55327+1259+553+1133+756+1285+650+408+682+334+1688+1394+539+483+475+201+677+260+202+852+20+445+712+297+178</f>
        <v>70810</v>
      </c>
      <c r="N423" s="244">
        <f>+L423/M423</f>
        <v>7.870886880384126</v>
      </c>
      <c r="O423" s="433">
        <v>413</v>
      </c>
    </row>
    <row r="424" spans="1:15" s="68" customFormat="1" ht="12" customHeight="1">
      <c r="A424" s="433">
        <v>414</v>
      </c>
      <c r="B424" s="335" t="s">
        <v>684</v>
      </c>
      <c r="C424" s="360">
        <v>40179</v>
      </c>
      <c r="D424" s="345" t="s">
        <v>30</v>
      </c>
      <c r="E424" s="21">
        <v>42</v>
      </c>
      <c r="F424" s="21">
        <v>1</v>
      </c>
      <c r="G424" s="21">
        <v>28</v>
      </c>
      <c r="H424" s="469">
        <v>713</v>
      </c>
      <c r="I424" s="470">
        <v>178</v>
      </c>
      <c r="J424" s="186">
        <f>I424/F424</f>
        <v>178</v>
      </c>
      <c r="K424" s="161">
        <f t="shared" si="40"/>
        <v>4.00561797752809</v>
      </c>
      <c r="L424" s="16">
        <f>310442.5+275157.5+119153+26271.5+19971.5+13231+6468+3094+3122+818+3348+2300+3563+967.5+3712+860+1689+2039.5+386+1501+1918+1782+950.5+1188+40.5+1880.5+3564+713</f>
        <v>810131.5</v>
      </c>
      <c r="M424" s="17">
        <f>26771+24068+11328+2954+1983+1309+737+492+663+147+552+369+891+351+402+113+203+279+61+213+429+446+238+297+3+319+891+178</f>
        <v>76687</v>
      </c>
      <c r="N424" s="396">
        <f>L424/M424</f>
        <v>10.564130817478842</v>
      </c>
      <c r="O424" s="433">
        <v>414</v>
      </c>
    </row>
    <row r="425" spans="1:15" s="68" customFormat="1" ht="12" customHeight="1">
      <c r="A425" s="433">
        <v>415</v>
      </c>
      <c r="B425" s="136" t="s">
        <v>310</v>
      </c>
      <c r="C425" s="22">
        <v>40347</v>
      </c>
      <c r="D425" s="137" t="s">
        <v>30</v>
      </c>
      <c r="E425" s="23">
        <v>2</v>
      </c>
      <c r="F425" s="23">
        <v>1</v>
      </c>
      <c r="G425" s="23">
        <v>20</v>
      </c>
      <c r="H425" s="479">
        <v>713</v>
      </c>
      <c r="I425" s="478">
        <v>178</v>
      </c>
      <c r="J425" s="81">
        <f>(I425/F425)</f>
        <v>178</v>
      </c>
      <c r="K425" s="138">
        <f t="shared" si="40"/>
        <v>4.00561797752809</v>
      </c>
      <c r="L425" s="16">
        <f>15693+762+1031+1133+707+492+1323.5+1397+447+357+524+229+713</f>
        <v>24808.5</v>
      </c>
      <c r="M425" s="7">
        <f>1559+119+194+179+86+57+150+195+165+58+85+48+178</f>
        <v>3073</v>
      </c>
      <c r="N425" s="135">
        <f>L425/M425</f>
        <v>8.073055645948584</v>
      </c>
      <c r="O425" s="433">
        <v>415</v>
      </c>
    </row>
    <row r="426" spans="1:15" s="68" customFormat="1" ht="12" customHeight="1">
      <c r="A426" s="433">
        <v>416</v>
      </c>
      <c r="B426" s="335" t="s">
        <v>685</v>
      </c>
      <c r="C426" s="360">
        <v>39836</v>
      </c>
      <c r="D426" s="345" t="s">
        <v>30</v>
      </c>
      <c r="E426" s="21">
        <v>13</v>
      </c>
      <c r="F426" s="21">
        <v>1</v>
      </c>
      <c r="G426" s="21">
        <v>28</v>
      </c>
      <c r="H426" s="469">
        <v>712</v>
      </c>
      <c r="I426" s="470">
        <v>178</v>
      </c>
      <c r="J426" s="186">
        <f>I426/F426</f>
        <v>178</v>
      </c>
      <c r="K426" s="161">
        <f t="shared" si="40"/>
        <v>4</v>
      </c>
      <c r="L426" s="16">
        <f>57133.5+23554+18557+9186+29743.5+13631.5+13446+7072+7029+8018.5+7220.5+2856.5+1828+102+3517+635+324+30+2146+1842+376+154+799+463.52+415.64+339.28+4160+712</f>
        <v>215291.44</v>
      </c>
      <c r="M426" s="17">
        <f>5405+2651+2356+1389+3583+1713+1661+1216+1174+1324+1425+542+453+16+757+96+108+10+508+436+35+14+67+102+95+80+1040+178</f>
        <v>28434</v>
      </c>
      <c r="N426" s="396">
        <f>L426/M426</f>
        <v>7.571619891678976</v>
      </c>
      <c r="O426" s="433">
        <v>416</v>
      </c>
    </row>
    <row r="427" spans="1:15" s="68" customFormat="1" ht="12" customHeight="1">
      <c r="A427" s="433">
        <v>417</v>
      </c>
      <c r="B427" s="335" t="s">
        <v>386</v>
      </c>
      <c r="C427" s="360">
        <v>39801</v>
      </c>
      <c r="D427" s="345" t="s">
        <v>30</v>
      </c>
      <c r="E427" s="21">
        <v>42</v>
      </c>
      <c r="F427" s="21">
        <v>1</v>
      </c>
      <c r="G427" s="21">
        <v>42</v>
      </c>
      <c r="H427" s="469">
        <v>712</v>
      </c>
      <c r="I427" s="470">
        <v>178</v>
      </c>
      <c r="J427" s="186">
        <f>I427/F427</f>
        <v>178</v>
      </c>
      <c r="K427" s="161">
        <f t="shared" si="40"/>
        <v>4</v>
      </c>
      <c r="L427" s="16">
        <f>295344+204961.5+145464.5+116108.5+111972.5+49984+26327+32042+18579+20005+19180+15980+2686.5+3166.5+366+13433+4493+735.5+607.5+2528+83+198+248+2348+825+2700+2268+393+2002+2063+343+1188+2020+398.46+291.4+240.58+592+2376+1308+1780+1188+712</f>
        <v>1109529.44</v>
      </c>
      <c r="M427" s="17">
        <f>36142+24747+19417+15404+14719+7567+3314+5289+3173+3275+3534+2826+540+724+52+2536+882+130+150+615+21+66+51+497+165+675+506+78+241+404+59+297+505+86+63+59+148+594+327+445+297+178</f>
        <v>150798</v>
      </c>
      <c r="N427" s="396">
        <f>L427/M427</f>
        <v>7.3577198636586685</v>
      </c>
      <c r="O427" s="433">
        <v>417</v>
      </c>
    </row>
    <row r="428" spans="1:15" s="68" customFormat="1" ht="12" customHeight="1">
      <c r="A428" s="433">
        <v>418</v>
      </c>
      <c r="B428" s="133" t="s">
        <v>256</v>
      </c>
      <c r="C428" s="22">
        <v>39577</v>
      </c>
      <c r="D428" s="20" t="s">
        <v>133</v>
      </c>
      <c r="E428" s="23">
        <v>11</v>
      </c>
      <c r="F428" s="23">
        <v>1</v>
      </c>
      <c r="G428" s="23">
        <v>19</v>
      </c>
      <c r="H428" s="490">
        <v>712</v>
      </c>
      <c r="I428" s="491">
        <v>142</v>
      </c>
      <c r="J428" s="83">
        <v>142</v>
      </c>
      <c r="K428" s="207">
        <v>5.014084507042254</v>
      </c>
      <c r="L428" s="165">
        <v>102695</v>
      </c>
      <c r="M428" s="166">
        <v>11305</v>
      </c>
      <c r="N428" s="167">
        <v>9.084033613445378</v>
      </c>
      <c r="O428" s="433">
        <v>418</v>
      </c>
    </row>
    <row r="429" spans="1:15" s="68" customFormat="1" ht="12" customHeight="1">
      <c r="A429" s="433">
        <v>419</v>
      </c>
      <c r="B429" s="133" t="s">
        <v>259</v>
      </c>
      <c r="C429" s="22">
        <v>40123</v>
      </c>
      <c r="D429" s="20" t="s">
        <v>133</v>
      </c>
      <c r="E429" s="23">
        <v>25</v>
      </c>
      <c r="F429" s="23">
        <v>1</v>
      </c>
      <c r="G429" s="23">
        <v>15</v>
      </c>
      <c r="H429" s="490">
        <v>712</v>
      </c>
      <c r="I429" s="491">
        <v>142</v>
      </c>
      <c r="J429" s="83">
        <v>142</v>
      </c>
      <c r="K429" s="207">
        <v>5.014084507042254</v>
      </c>
      <c r="L429" s="165">
        <v>274310</v>
      </c>
      <c r="M429" s="166">
        <v>22843</v>
      </c>
      <c r="N429" s="167">
        <v>12.008492754892089</v>
      </c>
      <c r="O429" s="433">
        <v>419</v>
      </c>
    </row>
    <row r="430" spans="1:15" s="68" customFormat="1" ht="12" customHeight="1">
      <c r="A430" s="433">
        <v>420</v>
      </c>
      <c r="B430" s="133" t="s">
        <v>269</v>
      </c>
      <c r="C430" s="22">
        <v>39878</v>
      </c>
      <c r="D430" s="20" t="s">
        <v>30</v>
      </c>
      <c r="E430" s="23">
        <v>39</v>
      </c>
      <c r="F430" s="23">
        <v>1</v>
      </c>
      <c r="G430" s="23">
        <v>38</v>
      </c>
      <c r="H430" s="477">
        <v>708</v>
      </c>
      <c r="I430" s="478">
        <v>164</v>
      </c>
      <c r="J430" s="81">
        <f>(I430/F430)</f>
        <v>164</v>
      </c>
      <c r="K430" s="134">
        <f aca="true" t="shared" si="41" ref="K430:K436">H430/I430</f>
        <v>4.317073170731708</v>
      </c>
      <c r="L430" s="8">
        <f>143992.5+82756.5+42509+41229+27290.5+16668+27602+17675+4710+8504.5+2403+4164+2272+3469+1997+135+299+674+178+30+240+1413+1006+209+393+680+1780+4040+1780+1780+952+745+2376+2376+2376+4752+2376+708</f>
        <v>458540</v>
      </c>
      <c r="M430" s="7">
        <f>15320+9228+5096+5970+4485+3115+5134+3946+1139+2307+509+879+411+637+472+29+62+165+32+6+48+348+139+43+54+68+445+1010+445+445+238+149+594+594+594+1188+594+164</f>
        <v>66102</v>
      </c>
      <c r="N430" s="135">
        <f>L430/M430</f>
        <v>6.93685516323258</v>
      </c>
      <c r="O430" s="433">
        <v>420</v>
      </c>
    </row>
    <row r="431" spans="1:15" s="68" customFormat="1" ht="12" customHeight="1">
      <c r="A431" s="433">
        <v>421</v>
      </c>
      <c r="B431" s="299" t="s">
        <v>262</v>
      </c>
      <c r="C431" s="294">
        <v>40396</v>
      </c>
      <c r="D431" s="20" t="s">
        <v>30</v>
      </c>
      <c r="E431" s="300">
        <v>4</v>
      </c>
      <c r="F431" s="300">
        <v>1</v>
      </c>
      <c r="G431" s="300">
        <v>25</v>
      </c>
      <c r="H431" s="477">
        <v>691</v>
      </c>
      <c r="I431" s="478">
        <v>100</v>
      </c>
      <c r="J431" s="81">
        <f>(I431/F431)</f>
        <v>100</v>
      </c>
      <c r="K431" s="134">
        <f t="shared" si="41"/>
        <v>6.91</v>
      </c>
      <c r="L431" s="8">
        <f>14959+9646+7725+4386+3960+14571+6049+4818+2605+3811+4797+6372+2996+165+950.5+1598.5+276+381+768+800+1224+1323+280+915+691</f>
        <v>96067</v>
      </c>
      <c r="M431" s="7">
        <f>1646+1123+1125+547+522+2218+896+595+438+656+743+1047+452+23+148+219+42+85+83+91+196+206+40+126+100</f>
        <v>13367</v>
      </c>
      <c r="N431" s="135">
        <f>L431/M431</f>
        <v>7.186878132714895</v>
      </c>
      <c r="O431" s="433">
        <v>421</v>
      </c>
    </row>
    <row r="432" spans="1:15" s="68" customFormat="1" ht="12" customHeight="1">
      <c r="A432" s="433">
        <v>422</v>
      </c>
      <c r="B432" s="150" t="s">
        <v>163</v>
      </c>
      <c r="C432" s="22">
        <v>40445</v>
      </c>
      <c r="D432" s="137" t="s">
        <v>30</v>
      </c>
      <c r="E432" s="139">
        <v>99</v>
      </c>
      <c r="F432" s="139">
        <v>1</v>
      </c>
      <c r="G432" s="139">
        <v>14</v>
      </c>
      <c r="H432" s="477">
        <v>678</v>
      </c>
      <c r="I432" s="478">
        <v>102</v>
      </c>
      <c r="J432" s="81">
        <f>(I432/F432)</f>
        <v>102</v>
      </c>
      <c r="K432" s="134">
        <f t="shared" si="41"/>
        <v>6.647058823529412</v>
      </c>
      <c r="L432" s="8">
        <f>321502+248658+168337.5+120626.5+93787.5+82596.5+8900+14133+4789+1421+2440+594+966+678</f>
        <v>1069429</v>
      </c>
      <c r="M432" s="7">
        <f>37510+29635+22309+17930+15012+11746+1292+2243+804+260+600+115+317+102</f>
        <v>139875</v>
      </c>
      <c r="N432" s="135">
        <f>L432/M432</f>
        <v>7.645605004468275</v>
      </c>
      <c r="O432" s="433">
        <v>422</v>
      </c>
    </row>
    <row r="433" spans="1:15" s="68" customFormat="1" ht="12" customHeight="1">
      <c r="A433" s="433">
        <v>423</v>
      </c>
      <c r="B433" s="133" t="s">
        <v>330</v>
      </c>
      <c r="C433" s="22">
        <v>40480</v>
      </c>
      <c r="D433" s="20" t="s">
        <v>30</v>
      </c>
      <c r="E433" s="23">
        <v>100</v>
      </c>
      <c r="F433" s="23">
        <v>1</v>
      </c>
      <c r="G433" s="23">
        <v>17</v>
      </c>
      <c r="H433" s="477">
        <v>670</v>
      </c>
      <c r="I433" s="478">
        <v>109</v>
      </c>
      <c r="J433" s="81">
        <f>(I433/F433)</f>
        <v>109</v>
      </c>
      <c r="K433" s="134">
        <f t="shared" si="41"/>
        <v>6.146788990825688</v>
      </c>
      <c r="L433" s="8">
        <f>1221166+429124.5+378100+240009.5+108018.5+26890.5+15319+16968+7345.5+4160+1262+1510+3920.5+2732.5+8910+571+670</f>
        <v>2466677.5</v>
      </c>
      <c r="M433" s="7">
        <f>114702+40612+35598+23284+12543+4168+3055+2661+1161+850+210+377+981+684+2228+92+109</f>
        <v>243315</v>
      </c>
      <c r="N433" s="135">
        <f>L433/M433</f>
        <v>10.13779462836241</v>
      </c>
      <c r="O433" s="433">
        <v>423</v>
      </c>
    </row>
    <row r="434" spans="1:15" s="68" customFormat="1" ht="12" customHeight="1">
      <c r="A434" s="433">
        <v>424</v>
      </c>
      <c r="B434" s="133" t="s">
        <v>295</v>
      </c>
      <c r="C434" s="22">
        <v>40102</v>
      </c>
      <c r="D434" s="20" t="s">
        <v>30</v>
      </c>
      <c r="E434" s="23">
        <v>9</v>
      </c>
      <c r="F434" s="23">
        <v>1</v>
      </c>
      <c r="G434" s="23">
        <v>12</v>
      </c>
      <c r="H434" s="477">
        <v>670</v>
      </c>
      <c r="I434" s="478">
        <v>67</v>
      </c>
      <c r="J434" s="81">
        <f>(I434/F434)</f>
        <v>67</v>
      </c>
      <c r="K434" s="134">
        <f t="shared" si="41"/>
        <v>10</v>
      </c>
      <c r="L434" s="8">
        <f>140093+133065.5+53545.5+8843.5+1143.5+938+558+224+456+4065+1500+670</f>
        <v>345102</v>
      </c>
      <c r="M434" s="7">
        <f>10984+10700+4415+806+91+134+57+28+33+335+150+67</f>
        <v>27800</v>
      </c>
      <c r="N434" s="135">
        <f>L434/M434</f>
        <v>12.413741007194245</v>
      </c>
      <c r="O434" s="433">
        <v>424</v>
      </c>
    </row>
    <row r="435" spans="1:15" s="68" customFormat="1" ht="12" customHeight="1">
      <c r="A435" s="433">
        <v>425</v>
      </c>
      <c r="B435" s="311" t="s">
        <v>294</v>
      </c>
      <c r="C435" s="84">
        <v>40459</v>
      </c>
      <c r="D435" s="87" t="s">
        <v>8</v>
      </c>
      <c r="E435" s="88">
        <v>50</v>
      </c>
      <c r="F435" s="4">
        <v>1</v>
      </c>
      <c r="G435" s="246">
        <v>15</v>
      </c>
      <c r="H435" s="498">
        <v>653</v>
      </c>
      <c r="I435" s="499">
        <v>108</v>
      </c>
      <c r="J435" s="72">
        <f>I435/F435</f>
        <v>108</v>
      </c>
      <c r="K435" s="73">
        <f t="shared" si="41"/>
        <v>6.046296296296297</v>
      </c>
      <c r="L435" s="5">
        <v>378155</v>
      </c>
      <c r="M435" s="6">
        <v>34516</v>
      </c>
      <c r="N435" s="74">
        <f>+L435/M435</f>
        <v>10.955933480125159</v>
      </c>
      <c r="O435" s="433">
        <v>425</v>
      </c>
    </row>
    <row r="436" spans="1:15" s="68" customFormat="1" ht="12" customHeight="1">
      <c r="A436" s="433">
        <v>426</v>
      </c>
      <c r="B436" s="157" t="s">
        <v>158</v>
      </c>
      <c r="C436" s="2">
        <v>40501</v>
      </c>
      <c r="D436" s="10" t="s">
        <v>134</v>
      </c>
      <c r="E436" s="4">
        <v>121</v>
      </c>
      <c r="F436" s="4">
        <v>1</v>
      </c>
      <c r="G436" s="4">
        <v>23</v>
      </c>
      <c r="H436" s="494">
        <v>604</v>
      </c>
      <c r="I436" s="493">
        <v>180</v>
      </c>
      <c r="J436" s="168">
        <f>I436/F436</f>
        <v>180</v>
      </c>
      <c r="K436" s="169">
        <f t="shared" si="41"/>
        <v>3.3555555555555556</v>
      </c>
      <c r="L436" s="170">
        <v>1611412</v>
      </c>
      <c r="M436" s="171">
        <v>165732</v>
      </c>
      <c r="N436" s="172">
        <f>+L436/M436</f>
        <v>9.722998576014287</v>
      </c>
      <c r="O436" s="433">
        <v>426</v>
      </c>
    </row>
    <row r="437" spans="1:15" s="68" customFormat="1" ht="12" customHeight="1">
      <c r="A437" s="433">
        <v>427</v>
      </c>
      <c r="B437" s="136" t="s">
        <v>152</v>
      </c>
      <c r="C437" s="22">
        <v>40480</v>
      </c>
      <c r="D437" s="21" t="s">
        <v>28</v>
      </c>
      <c r="E437" s="23">
        <v>135</v>
      </c>
      <c r="F437" s="23">
        <v>5</v>
      </c>
      <c r="G437" s="23">
        <v>10</v>
      </c>
      <c r="H437" s="467">
        <v>604</v>
      </c>
      <c r="I437" s="476">
        <v>91</v>
      </c>
      <c r="J437" s="72">
        <f>IF(H437&lt;&gt;0,I437/F437,"")</f>
        <v>18.2</v>
      </c>
      <c r="K437" s="161">
        <f>IF(H437&lt;&gt;0,H437/I437,"")</f>
        <v>6.637362637362638</v>
      </c>
      <c r="L437" s="18">
        <f>151771.5+44278.5+20156+4831.5+5960.5+2697+3743.5+81+2518+2320+604</f>
        <v>238961.5</v>
      </c>
      <c r="M437" s="28">
        <f>19003+7410+3277+795+995+475+746+11+433+386+91</f>
        <v>33622</v>
      </c>
      <c r="N437" s="160">
        <f>IF(L437&lt;&gt;0,L437/M437,"")</f>
        <v>7.107295818214264</v>
      </c>
      <c r="O437" s="433">
        <v>427</v>
      </c>
    </row>
    <row r="438" spans="1:15" s="68" customFormat="1" ht="12" customHeight="1">
      <c r="A438" s="433">
        <v>428</v>
      </c>
      <c r="B438" s="331" t="s">
        <v>296</v>
      </c>
      <c r="C438" s="279">
        <v>40515</v>
      </c>
      <c r="D438" s="85" t="s">
        <v>30</v>
      </c>
      <c r="E438" s="309">
        <v>62</v>
      </c>
      <c r="F438" s="144">
        <v>1</v>
      </c>
      <c r="G438" s="309">
        <v>28</v>
      </c>
      <c r="H438" s="477">
        <v>594</v>
      </c>
      <c r="I438" s="478">
        <v>148</v>
      </c>
      <c r="J438" s="186">
        <f>I438/F438</f>
        <v>148</v>
      </c>
      <c r="K438" s="234">
        <f aca="true" t="shared" si="42" ref="K438:K443">H438/I438</f>
        <v>4.013513513513513</v>
      </c>
      <c r="L438" s="8">
        <f>353151+191248+132731.5+71376+47862+26248.5+19265+34650.5+35095.5+42312+25849+10987+7528+3248+2395.5+3280.5+3141.5+4280+3042+1597+6128+4358+2107+777+4230+4335.5+1718.5+594</f>
        <v>1043536.5</v>
      </c>
      <c r="M438" s="7">
        <f>34650+19352+14525+10591+7581+5012+3223+6065+6865+6589+3930+1782+1091+624+468+512+688+987+804+306+1395+991+478+166+1058+1084+430+148</f>
        <v>131395</v>
      </c>
      <c r="N438" s="76">
        <f>L438/M438</f>
        <v>7.9419802884432436</v>
      </c>
      <c r="O438" s="433">
        <v>428</v>
      </c>
    </row>
    <row r="439" spans="1:15" s="68" customFormat="1" ht="12" customHeight="1">
      <c r="A439" s="433">
        <v>429</v>
      </c>
      <c r="B439" s="133" t="s">
        <v>257</v>
      </c>
      <c r="C439" s="22">
        <v>40473</v>
      </c>
      <c r="D439" s="137" t="s">
        <v>30</v>
      </c>
      <c r="E439" s="23">
        <v>28</v>
      </c>
      <c r="F439" s="23">
        <v>1</v>
      </c>
      <c r="G439" s="23">
        <v>13</v>
      </c>
      <c r="H439" s="477">
        <v>594</v>
      </c>
      <c r="I439" s="478">
        <v>115</v>
      </c>
      <c r="J439" s="81">
        <f>(I439/F439)</f>
        <v>115</v>
      </c>
      <c r="K439" s="134">
        <f t="shared" si="42"/>
        <v>5.165217391304348</v>
      </c>
      <c r="L439" s="8">
        <f>152569.5+122205.5+10562+6863.5+9619+5655+1726.5+3593+4508+310+2166+2675+594</f>
        <v>323047</v>
      </c>
      <c r="M439" s="7">
        <f>12992+10278+1201+886+1535+877+246+644+1351+56+302+301+115</f>
        <v>30784</v>
      </c>
      <c r="N439" s="135">
        <f>L439/M439</f>
        <v>10.493990384615385</v>
      </c>
      <c r="O439" s="433">
        <v>429</v>
      </c>
    </row>
    <row r="440" spans="1:15" s="68" customFormat="1" ht="12" customHeight="1">
      <c r="A440" s="433">
        <v>430</v>
      </c>
      <c r="B440" s="133" t="s">
        <v>163</v>
      </c>
      <c r="C440" s="22">
        <v>40445</v>
      </c>
      <c r="D440" s="137" t="s">
        <v>30</v>
      </c>
      <c r="E440" s="23">
        <v>99</v>
      </c>
      <c r="F440" s="23">
        <v>1</v>
      </c>
      <c r="G440" s="23">
        <v>12</v>
      </c>
      <c r="H440" s="477">
        <v>594</v>
      </c>
      <c r="I440" s="478">
        <v>115</v>
      </c>
      <c r="J440" s="81">
        <f>(I440/F440)</f>
        <v>115</v>
      </c>
      <c r="K440" s="134">
        <f t="shared" si="42"/>
        <v>5.165217391304348</v>
      </c>
      <c r="L440" s="8">
        <f>321502+248658+168337.5+120626.5+93787.5+82596.5+8900+14133+4789+1421+2440+594</f>
        <v>1067785</v>
      </c>
      <c r="M440" s="7">
        <f>37510+29635+22309+17930+15012+11746+1292+2243+804+260+600+115</f>
        <v>139456</v>
      </c>
      <c r="N440" s="135">
        <f>L440/M440</f>
        <v>7.65678780403855</v>
      </c>
      <c r="O440" s="433">
        <v>430</v>
      </c>
    </row>
    <row r="441" spans="1:15" s="68" customFormat="1" ht="12" customHeight="1">
      <c r="A441" s="433">
        <v>431</v>
      </c>
      <c r="B441" s="142" t="s">
        <v>138</v>
      </c>
      <c r="C441" s="143">
        <v>40459</v>
      </c>
      <c r="D441" s="137" t="s">
        <v>30</v>
      </c>
      <c r="E441" s="144">
        <v>142</v>
      </c>
      <c r="F441" s="144">
        <v>1</v>
      </c>
      <c r="G441" s="144">
        <v>14</v>
      </c>
      <c r="H441" s="481">
        <v>594</v>
      </c>
      <c r="I441" s="482">
        <v>113</v>
      </c>
      <c r="J441" s="145">
        <f>(I441/F441)</f>
        <v>113</v>
      </c>
      <c r="K441" s="146">
        <f t="shared" si="42"/>
        <v>5.256637168141593</v>
      </c>
      <c r="L441" s="147">
        <f>569713+434829.5+295345.5+223420+26108+12415.5+5998+1904+1368+799+648+306+1782+594</f>
        <v>1575230.5</v>
      </c>
      <c r="M441" s="148">
        <f>61050+47827+36467+29781+4601+2405+1000+284+287+123+103+51+445+113</f>
        <v>184537</v>
      </c>
      <c r="N441" s="149">
        <f>L441/M441</f>
        <v>8.53612283715461</v>
      </c>
      <c r="O441" s="433">
        <v>431</v>
      </c>
    </row>
    <row r="442" spans="1:15" s="68" customFormat="1" ht="12" customHeight="1">
      <c r="A442" s="433">
        <v>432</v>
      </c>
      <c r="B442" s="311" t="s">
        <v>276</v>
      </c>
      <c r="C442" s="84">
        <v>40480</v>
      </c>
      <c r="D442" s="87" t="s">
        <v>8</v>
      </c>
      <c r="E442" s="88">
        <v>1</v>
      </c>
      <c r="F442" s="4">
        <v>1</v>
      </c>
      <c r="G442" s="246">
        <v>16</v>
      </c>
      <c r="H442" s="498">
        <v>574</v>
      </c>
      <c r="I442" s="499">
        <v>81</v>
      </c>
      <c r="J442" s="72">
        <f>I442/F442</f>
        <v>81</v>
      </c>
      <c r="K442" s="73">
        <f t="shared" si="42"/>
        <v>7.08641975308642</v>
      </c>
      <c r="L442" s="5">
        <v>17076</v>
      </c>
      <c r="M442" s="6">
        <v>1441</v>
      </c>
      <c r="N442" s="74">
        <f>+L442/M442</f>
        <v>11.850104094378903</v>
      </c>
      <c r="O442" s="433">
        <v>432</v>
      </c>
    </row>
    <row r="443" spans="1:15" s="68" customFormat="1" ht="12" customHeight="1">
      <c r="A443" s="433">
        <v>433</v>
      </c>
      <c r="B443" s="133" t="s">
        <v>330</v>
      </c>
      <c r="C443" s="22">
        <v>40480</v>
      </c>
      <c r="D443" s="20" t="s">
        <v>30</v>
      </c>
      <c r="E443" s="23">
        <v>100</v>
      </c>
      <c r="F443" s="23">
        <v>1</v>
      </c>
      <c r="G443" s="23">
        <v>16</v>
      </c>
      <c r="H443" s="477">
        <v>571</v>
      </c>
      <c r="I443" s="478">
        <v>92</v>
      </c>
      <c r="J443" s="81">
        <f>(I443/F443)</f>
        <v>92</v>
      </c>
      <c r="K443" s="134">
        <f t="shared" si="42"/>
        <v>6.206521739130435</v>
      </c>
      <c r="L443" s="8">
        <f>1221166+429124.5+378100+240009.5+108018.5+26890.5+15319+16968+7345.5+4160+1262+1510+3920.5+2732.5+8910+571</f>
        <v>2466007.5</v>
      </c>
      <c r="M443" s="7">
        <f>114702+40612+35598+23284+12543+4168+3055+2661+1161+850+210+377+981+684+2228+92</f>
        <v>243206</v>
      </c>
      <c r="N443" s="135">
        <f>L443/M443</f>
        <v>10.139583316201081</v>
      </c>
      <c r="O443" s="433">
        <v>433</v>
      </c>
    </row>
    <row r="444" spans="1:15" s="68" customFormat="1" ht="12" customHeight="1">
      <c r="A444" s="433">
        <v>434</v>
      </c>
      <c r="B444" s="173" t="s">
        <v>303</v>
      </c>
      <c r="C444" s="2">
        <v>40431</v>
      </c>
      <c r="D444" s="15" t="s">
        <v>8</v>
      </c>
      <c r="E444" s="4">
        <v>124</v>
      </c>
      <c r="F444" s="4">
        <v>1</v>
      </c>
      <c r="G444" s="4">
        <v>12</v>
      </c>
      <c r="H444" s="502">
        <v>567</v>
      </c>
      <c r="I444" s="499">
        <v>95</v>
      </c>
      <c r="J444" s="72">
        <f>+I444/F444</f>
        <v>95</v>
      </c>
      <c r="K444" s="161">
        <f>+H444/I444</f>
        <v>5.968421052631579</v>
      </c>
      <c r="L444" s="13">
        <v>3688296</v>
      </c>
      <c r="M444" s="6">
        <v>331614</v>
      </c>
      <c r="N444" s="160">
        <f>+L444/M444</f>
        <v>11.12225659954043</v>
      </c>
      <c r="O444" s="433">
        <v>434</v>
      </c>
    </row>
    <row r="445" spans="1:15" s="68" customFormat="1" ht="12" customHeight="1">
      <c r="A445" s="433">
        <v>435</v>
      </c>
      <c r="B445" s="287" t="s">
        <v>305</v>
      </c>
      <c r="C445" s="289">
        <v>40466</v>
      </c>
      <c r="D445" s="290" t="s">
        <v>23</v>
      </c>
      <c r="E445" s="162">
        <v>119</v>
      </c>
      <c r="F445" s="162">
        <v>1</v>
      </c>
      <c r="G445" s="162">
        <v>14</v>
      </c>
      <c r="H445" s="471">
        <v>558</v>
      </c>
      <c r="I445" s="472">
        <v>93</v>
      </c>
      <c r="J445" s="163">
        <f>I445/F445</f>
        <v>93</v>
      </c>
      <c r="K445" s="291">
        <f>+H445/I445</f>
        <v>6</v>
      </c>
      <c r="L445" s="164">
        <v>2011379</v>
      </c>
      <c r="M445" s="163">
        <v>174565</v>
      </c>
      <c r="N445" s="292">
        <f>+L445/M445</f>
        <v>11.522235270529603</v>
      </c>
      <c r="O445" s="433">
        <v>435</v>
      </c>
    </row>
    <row r="446" spans="1:15" s="68" customFormat="1" ht="12" customHeight="1">
      <c r="A446" s="433">
        <v>436</v>
      </c>
      <c r="B446" s="287" t="s">
        <v>290</v>
      </c>
      <c r="C446" s="289">
        <v>40536</v>
      </c>
      <c r="D446" s="290" t="s">
        <v>23</v>
      </c>
      <c r="E446" s="162">
        <v>91</v>
      </c>
      <c r="F446" s="162">
        <v>1</v>
      </c>
      <c r="G446" s="162">
        <v>8</v>
      </c>
      <c r="H446" s="471">
        <v>557</v>
      </c>
      <c r="I446" s="472">
        <v>81</v>
      </c>
      <c r="J446" s="163">
        <f>I446/F446</f>
        <v>81</v>
      </c>
      <c r="K446" s="291">
        <f>+H446/I446</f>
        <v>6.8765432098765435</v>
      </c>
      <c r="L446" s="164">
        <v>1196437</v>
      </c>
      <c r="M446" s="163">
        <v>104630</v>
      </c>
      <c r="N446" s="292">
        <f>+L446/M446</f>
        <v>11.43493261970754</v>
      </c>
      <c r="O446" s="433">
        <v>436</v>
      </c>
    </row>
    <row r="447" spans="1:15" s="68" customFormat="1" ht="12" customHeight="1">
      <c r="A447" s="433">
        <v>437</v>
      </c>
      <c r="B447" s="157" t="s">
        <v>158</v>
      </c>
      <c r="C447" s="2">
        <v>40501</v>
      </c>
      <c r="D447" s="10" t="s">
        <v>134</v>
      </c>
      <c r="E447" s="4">
        <v>121</v>
      </c>
      <c r="F447" s="4">
        <v>2</v>
      </c>
      <c r="G447" s="4">
        <v>11</v>
      </c>
      <c r="H447" s="494">
        <v>556</v>
      </c>
      <c r="I447" s="493">
        <v>89</v>
      </c>
      <c r="J447" s="168">
        <f>I447/F447</f>
        <v>44.5</v>
      </c>
      <c r="K447" s="169">
        <f>H447/I447</f>
        <v>6.247191011235955</v>
      </c>
      <c r="L447" s="170">
        <v>1597161</v>
      </c>
      <c r="M447" s="171">
        <v>161570</v>
      </c>
      <c r="N447" s="153">
        <f>+L447/M447</f>
        <v>9.88525716407749</v>
      </c>
      <c r="O447" s="433">
        <v>437</v>
      </c>
    </row>
    <row r="448" spans="1:15" s="68" customFormat="1" ht="12" customHeight="1">
      <c r="A448" s="433">
        <v>438</v>
      </c>
      <c r="B448" s="133" t="s">
        <v>257</v>
      </c>
      <c r="C448" s="22">
        <v>40473</v>
      </c>
      <c r="D448" s="20" t="s">
        <v>30</v>
      </c>
      <c r="E448" s="23">
        <v>28</v>
      </c>
      <c r="F448" s="23">
        <v>1</v>
      </c>
      <c r="G448" s="23">
        <v>14</v>
      </c>
      <c r="H448" s="477">
        <v>555.5</v>
      </c>
      <c r="I448" s="478">
        <v>69</v>
      </c>
      <c r="J448" s="81">
        <f>(I448/F448)</f>
        <v>69</v>
      </c>
      <c r="K448" s="134">
        <f>H448/I448</f>
        <v>8.05072463768116</v>
      </c>
      <c r="L448" s="8">
        <f>152569.5+122205.5+10562+6863.5+9619+5655+1726.5+3593+4508+310+2166+2675+594+555.5</f>
        <v>323602.5</v>
      </c>
      <c r="M448" s="7">
        <f>12992+10278+1201+886+1535+877+246+644+1351+56+302+301+115+69</f>
        <v>30853</v>
      </c>
      <c r="N448" s="135">
        <f>L448/M448</f>
        <v>10.488526237318899</v>
      </c>
      <c r="O448" s="433">
        <v>438</v>
      </c>
    </row>
    <row r="449" spans="1:15" s="68" customFormat="1" ht="12" customHeight="1">
      <c r="A449" s="433">
        <v>439</v>
      </c>
      <c r="B449" s="198" t="s">
        <v>135</v>
      </c>
      <c r="C449" s="22">
        <v>40522</v>
      </c>
      <c r="D449" s="20" t="s">
        <v>30</v>
      </c>
      <c r="E449" s="23">
        <v>127</v>
      </c>
      <c r="F449" s="23">
        <v>1</v>
      </c>
      <c r="G449" s="23">
        <v>18</v>
      </c>
      <c r="H449" s="477">
        <v>550</v>
      </c>
      <c r="I449" s="478">
        <v>104</v>
      </c>
      <c r="J449" s="81">
        <f>(I449/F449)</f>
        <v>104</v>
      </c>
      <c r="K449" s="134">
        <f>H449/I449</f>
        <v>5.288461538461538</v>
      </c>
      <c r="L449" s="8">
        <f>1048675+809166.5+457718.5+70165.5+7102+12164+8619.5+11777.5+6559.5+3338.5+10420.5+3303+3205+2076+1722.5+314+264+550</f>
        <v>2457141.5</v>
      </c>
      <c r="M449" s="7">
        <f>92481+73795+43350+8841+1153+2869+1615+2831+1620+630+2477+726+513+481+318+38+33+104</f>
        <v>233875</v>
      </c>
      <c r="N449" s="135">
        <f>L449/M449</f>
        <v>10.506216996258685</v>
      </c>
      <c r="O449" s="433">
        <v>439</v>
      </c>
    </row>
    <row r="450" spans="1:15" s="68" customFormat="1" ht="12" customHeight="1">
      <c r="A450" s="433">
        <v>440</v>
      </c>
      <c r="B450" s="152" t="s">
        <v>141</v>
      </c>
      <c r="C450" s="2">
        <v>40452</v>
      </c>
      <c r="D450" s="12" t="s">
        <v>21</v>
      </c>
      <c r="E450" s="3">
        <v>148</v>
      </c>
      <c r="F450" s="3">
        <v>1</v>
      </c>
      <c r="G450" s="3">
        <v>15</v>
      </c>
      <c r="H450" s="487">
        <v>528</v>
      </c>
      <c r="I450" s="488">
        <v>88</v>
      </c>
      <c r="J450" s="72">
        <f>IF(H450&lt;&gt;0,I450/F450,"")</f>
        <v>88</v>
      </c>
      <c r="K450" s="159">
        <f>IF(H450&lt;&gt;0,H450/I450,"")</f>
        <v>6</v>
      </c>
      <c r="L450" s="25">
        <f>896117+528</f>
        <v>896645</v>
      </c>
      <c r="M450" s="28">
        <f>104061+88</f>
        <v>104149</v>
      </c>
      <c r="N450" s="160">
        <f>IF(L450&lt;&gt;0,L450/M450,"")</f>
        <v>8.609252129161106</v>
      </c>
      <c r="O450" s="433">
        <v>440</v>
      </c>
    </row>
    <row r="451" spans="1:15" s="68" customFormat="1" ht="12" customHeight="1">
      <c r="A451" s="433">
        <v>441</v>
      </c>
      <c r="B451" s="154" t="s">
        <v>150</v>
      </c>
      <c r="C451" s="2">
        <v>40480</v>
      </c>
      <c r="D451" s="9" t="s">
        <v>21</v>
      </c>
      <c r="E451" s="3">
        <v>71</v>
      </c>
      <c r="F451" s="3">
        <v>1</v>
      </c>
      <c r="G451" s="3">
        <v>12</v>
      </c>
      <c r="H451" s="487">
        <v>526</v>
      </c>
      <c r="I451" s="488">
        <v>85</v>
      </c>
      <c r="J451" s="72">
        <f>IF(H451&lt;&gt;0,I451/F451,"")</f>
        <v>85</v>
      </c>
      <c r="K451" s="159">
        <f>IF(H451&lt;&gt;0,H451/I451,"")</f>
        <v>6.188235294117647</v>
      </c>
      <c r="L451" s="25">
        <f>72774.5+23673+5827+3625+7534.5+38620+936+11563+4979+496.5+3270+526</f>
        <v>173824.5</v>
      </c>
      <c r="M451" s="28">
        <f>8533+3652+916+601+1795+7393+145+2290+697+79+654+85</f>
        <v>26840</v>
      </c>
      <c r="N451" s="160">
        <f>IF(L451&lt;&gt;0,L451/M451,"")</f>
        <v>6.476322652757079</v>
      </c>
      <c r="O451" s="433">
        <v>441</v>
      </c>
    </row>
    <row r="452" spans="1:15" s="68" customFormat="1" ht="12" customHeight="1">
      <c r="A452" s="433">
        <v>442</v>
      </c>
      <c r="B452" s="157" t="s">
        <v>160</v>
      </c>
      <c r="C452" s="2">
        <v>40529</v>
      </c>
      <c r="D452" s="15" t="s">
        <v>8</v>
      </c>
      <c r="E452" s="4">
        <v>32</v>
      </c>
      <c r="F452" s="4">
        <v>1</v>
      </c>
      <c r="G452" s="4">
        <v>4</v>
      </c>
      <c r="H452" s="498">
        <v>523</v>
      </c>
      <c r="I452" s="499">
        <v>92</v>
      </c>
      <c r="J452" s="72">
        <f>+I452/F452</f>
        <v>92</v>
      </c>
      <c r="K452" s="159">
        <f>+H452/I452</f>
        <v>5.684782608695652</v>
      </c>
      <c r="L452" s="5">
        <v>19085</v>
      </c>
      <c r="M452" s="6">
        <v>1859</v>
      </c>
      <c r="N452" s="160">
        <f aca="true" t="shared" si="43" ref="N452:N457">+L452/M452</f>
        <v>10.266272189349113</v>
      </c>
      <c r="O452" s="433">
        <v>442</v>
      </c>
    </row>
    <row r="453" spans="1:15" s="68" customFormat="1" ht="12" customHeight="1">
      <c r="A453" s="433">
        <v>443</v>
      </c>
      <c r="B453" s="133" t="s">
        <v>151</v>
      </c>
      <c r="C453" s="22">
        <v>40515</v>
      </c>
      <c r="D453" s="189" t="s">
        <v>23</v>
      </c>
      <c r="E453" s="23">
        <v>122</v>
      </c>
      <c r="F453" s="23">
        <v>1</v>
      </c>
      <c r="G453" s="23">
        <v>13</v>
      </c>
      <c r="H453" s="475">
        <v>519</v>
      </c>
      <c r="I453" s="476">
        <v>74</v>
      </c>
      <c r="J453" s="28">
        <f>I453/F453</f>
        <v>74</v>
      </c>
      <c r="K453" s="180">
        <f>+H453/I453</f>
        <v>7.013513513513513</v>
      </c>
      <c r="L453" s="26">
        <v>613786</v>
      </c>
      <c r="M453" s="28">
        <v>73223</v>
      </c>
      <c r="N453" s="181">
        <f t="shared" si="43"/>
        <v>8.382420824058014</v>
      </c>
      <c r="O453" s="433">
        <v>443</v>
      </c>
    </row>
    <row r="454" spans="1:15" s="68" customFormat="1" ht="12" customHeight="1">
      <c r="A454" s="433">
        <v>444</v>
      </c>
      <c r="B454" s="157" t="s">
        <v>303</v>
      </c>
      <c r="C454" s="2">
        <v>40431</v>
      </c>
      <c r="D454" s="11" t="s">
        <v>8</v>
      </c>
      <c r="E454" s="4">
        <v>104</v>
      </c>
      <c r="F454" s="4">
        <v>1</v>
      </c>
      <c r="G454" s="4">
        <v>13</v>
      </c>
      <c r="H454" s="498">
        <v>516</v>
      </c>
      <c r="I454" s="499">
        <v>86</v>
      </c>
      <c r="J454" s="72">
        <f>+I454/F454</f>
        <v>86</v>
      </c>
      <c r="K454" s="159">
        <f>+H454/I454</f>
        <v>6</v>
      </c>
      <c r="L454" s="5">
        <v>3688812</v>
      </c>
      <c r="M454" s="6">
        <v>331700</v>
      </c>
      <c r="N454" s="160">
        <f t="shared" si="43"/>
        <v>11.120928549894483</v>
      </c>
      <c r="O454" s="433">
        <v>444</v>
      </c>
    </row>
    <row r="455" spans="1:15" s="68" customFormat="1" ht="12" customHeight="1">
      <c r="A455" s="433">
        <v>445</v>
      </c>
      <c r="B455" s="152" t="s">
        <v>265</v>
      </c>
      <c r="C455" s="2">
        <v>40508</v>
      </c>
      <c r="D455" s="12" t="s">
        <v>10</v>
      </c>
      <c r="E455" s="3">
        <v>72</v>
      </c>
      <c r="F455" s="3">
        <v>1</v>
      </c>
      <c r="G455" s="3">
        <v>7</v>
      </c>
      <c r="H455" s="485">
        <v>513</v>
      </c>
      <c r="I455" s="486">
        <v>59</v>
      </c>
      <c r="J455" s="80">
        <f>I455/F455</f>
        <v>59</v>
      </c>
      <c r="K455" s="141">
        <f>H455/I455</f>
        <v>8.694915254237289</v>
      </c>
      <c r="L455" s="30">
        <v>1209473</v>
      </c>
      <c r="M455" s="29">
        <v>105106</v>
      </c>
      <c r="N455" s="153">
        <f t="shared" si="43"/>
        <v>11.507173710349551</v>
      </c>
      <c r="O455" s="433">
        <v>445</v>
      </c>
    </row>
    <row r="456" spans="1:15" s="68" customFormat="1" ht="12" customHeight="1">
      <c r="A456" s="433">
        <v>446</v>
      </c>
      <c r="B456" s="332" t="s">
        <v>231</v>
      </c>
      <c r="C456" s="143">
        <v>40249</v>
      </c>
      <c r="D456" s="85" t="s">
        <v>28</v>
      </c>
      <c r="E456" s="144">
        <v>71</v>
      </c>
      <c r="F456" s="21">
        <v>1</v>
      </c>
      <c r="G456" s="21">
        <v>26</v>
      </c>
      <c r="H456" s="467">
        <v>500</v>
      </c>
      <c r="I456" s="468">
        <v>100</v>
      </c>
      <c r="J456" s="72">
        <f>+I456/F456</f>
        <v>100</v>
      </c>
      <c r="K456" s="159">
        <f>+H456/I456</f>
        <v>5</v>
      </c>
      <c r="L456" s="358">
        <f>432486.25+301574+151308+7+112893+51222.5+22996.5+15680+18589.5+18584+12838+4788+1663+4208+490+365+2398+36+790+1056+718+2330+3855+1170+2143+1876+3597</f>
        <v>1169661.75</v>
      </c>
      <c r="M456" s="517">
        <f>50407+35095+18523+1+15427+7108+3545+2281+2896+2839+2036+884+288+738+98+73+400+6+143+184+126+381+556+123+222+369+600</f>
        <v>145349</v>
      </c>
      <c r="N456" s="74">
        <f t="shared" si="43"/>
        <v>8.047263827064514</v>
      </c>
      <c r="O456" s="433">
        <v>446</v>
      </c>
    </row>
    <row r="457" spans="1:15" s="68" customFormat="1" ht="12" customHeight="1">
      <c r="A457" s="433">
        <v>447</v>
      </c>
      <c r="B457" s="157" t="s">
        <v>287</v>
      </c>
      <c r="C457" s="2">
        <v>40529</v>
      </c>
      <c r="D457" s="10" t="s">
        <v>10</v>
      </c>
      <c r="E457" s="4">
        <v>72</v>
      </c>
      <c r="F457" s="4">
        <v>1</v>
      </c>
      <c r="G457" s="4">
        <v>8</v>
      </c>
      <c r="H457" s="485">
        <v>500</v>
      </c>
      <c r="I457" s="486">
        <v>70</v>
      </c>
      <c r="J457" s="80">
        <f>I457/F457</f>
        <v>70</v>
      </c>
      <c r="K457" s="141">
        <f>H457/I457</f>
        <v>7.142857142857143</v>
      </c>
      <c r="L457" s="30">
        <v>919779</v>
      </c>
      <c r="M457" s="29">
        <v>84805</v>
      </c>
      <c r="N457" s="153">
        <f t="shared" si="43"/>
        <v>10.84581097812629</v>
      </c>
      <c r="O457" s="433">
        <v>447</v>
      </c>
    </row>
    <row r="458" spans="1:15" s="68" customFormat="1" ht="12" customHeight="1">
      <c r="A458" s="433">
        <v>448</v>
      </c>
      <c r="B458" s="154" t="s">
        <v>150</v>
      </c>
      <c r="C458" s="2">
        <v>40480</v>
      </c>
      <c r="D458" s="12" t="s">
        <v>21</v>
      </c>
      <c r="E458" s="3">
        <v>71</v>
      </c>
      <c r="F458" s="3">
        <v>8</v>
      </c>
      <c r="G458" s="3">
        <v>10</v>
      </c>
      <c r="H458" s="489">
        <v>496.5</v>
      </c>
      <c r="I458" s="488">
        <v>79</v>
      </c>
      <c r="J458" s="72">
        <f>IF(H458&lt;&gt;0,I458/F458,"")</f>
        <v>9.875</v>
      </c>
      <c r="K458" s="161">
        <f>IF(H458&lt;&gt;0,H458/I458,"")</f>
        <v>6.284810126582278</v>
      </c>
      <c r="L458" s="24">
        <f>72774.5+23673+5827+3625+7534.5+38620+936+11563+4979+H458</f>
        <v>170028.5</v>
      </c>
      <c r="M458" s="28">
        <f>8533+3652+916+601+1795+7393+145+2290+697+I458</f>
        <v>26101</v>
      </c>
      <c r="N458" s="160">
        <f>IF(L458&lt;&gt;0,L458/M458,"")</f>
        <v>6.514252327497031</v>
      </c>
      <c r="O458" s="433">
        <v>448</v>
      </c>
    </row>
    <row r="459" spans="1:15" s="68" customFormat="1" ht="12" customHeight="1">
      <c r="A459" s="433">
        <v>449</v>
      </c>
      <c r="B459" s="157" t="s">
        <v>323</v>
      </c>
      <c r="C459" s="2">
        <v>40522</v>
      </c>
      <c r="D459" s="10" t="s">
        <v>8</v>
      </c>
      <c r="E459" s="4">
        <v>110</v>
      </c>
      <c r="F459" s="4">
        <v>2</v>
      </c>
      <c r="G459" s="4">
        <v>12</v>
      </c>
      <c r="H459" s="502">
        <v>496</v>
      </c>
      <c r="I459" s="503">
        <v>75</v>
      </c>
      <c r="J459" s="186">
        <f>+I459/F459</f>
        <v>37.5</v>
      </c>
      <c r="K459" s="161">
        <f>+H459/I459</f>
        <v>6.613333333333333</v>
      </c>
      <c r="L459" s="13">
        <v>5012349</v>
      </c>
      <c r="M459" s="312">
        <v>476776</v>
      </c>
      <c r="N459" s="160">
        <f>+L459/M459</f>
        <v>10.513006107689984</v>
      </c>
      <c r="O459" s="433">
        <v>449</v>
      </c>
    </row>
    <row r="460" spans="1:15" s="68" customFormat="1" ht="12" customHeight="1">
      <c r="A460" s="433">
        <v>450</v>
      </c>
      <c r="B460" s="324" t="s">
        <v>288</v>
      </c>
      <c r="C460" s="313">
        <v>40480</v>
      </c>
      <c r="D460" s="325" t="s">
        <v>289</v>
      </c>
      <c r="E460" s="314">
        <v>15</v>
      </c>
      <c r="F460" s="314">
        <v>1</v>
      </c>
      <c r="G460" s="314">
        <v>8</v>
      </c>
      <c r="H460" s="490">
        <v>495</v>
      </c>
      <c r="I460" s="491">
        <v>70</v>
      </c>
      <c r="J460" s="81">
        <f>(I460/F460)</f>
        <v>70</v>
      </c>
      <c r="K460" s="134">
        <f>H460/I460</f>
        <v>7.071428571428571</v>
      </c>
      <c r="L460" s="165">
        <v>58008</v>
      </c>
      <c r="M460" s="166">
        <v>6269</v>
      </c>
      <c r="N460" s="135">
        <f>L460/M460</f>
        <v>9.253150422714947</v>
      </c>
      <c r="O460" s="433">
        <v>450</v>
      </c>
    </row>
    <row r="461" spans="1:15" s="68" customFormat="1" ht="12" customHeight="1">
      <c r="A461" s="433">
        <v>451</v>
      </c>
      <c r="B461" s="311" t="s">
        <v>276</v>
      </c>
      <c r="C461" s="84">
        <v>40480</v>
      </c>
      <c r="D461" s="87" t="s">
        <v>8</v>
      </c>
      <c r="E461" s="88">
        <v>1</v>
      </c>
      <c r="F461" s="88">
        <v>1</v>
      </c>
      <c r="G461" s="88">
        <v>13</v>
      </c>
      <c r="H461" s="502">
        <v>492</v>
      </c>
      <c r="I461" s="503">
        <v>72</v>
      </c>
      <c r="J461" s="186">
        <f>I461/F461</f>
        <v>72</v>
      </c>
      <c r="K461" s="234">
        <f>H461/I461</f>
        <v>6.833333333333333</v>
      </c>
      <c r="L461" s="13">
        <v>15720</v>
      </c>
      <c r="M461" s="312">
        <v>1252</v>
      </c>
      <c r="N461" s="244">
        <f>+L461/M461</f>
        <v>12.55591054313099</v>
      </c>
      <c r="O461" s="433">
        <v>451</v>
      </c>
    </row>
    <row r="462" spans="1:15" s="68" customFormat="1" ht="12" customHeight="1">
      <c r="A462" s="433">
        <v>452</v>
      </c>
      <c r="B462" s="157" t="s">
        <v>318</v>
      </c>
      <c r="C462" s="2">
        <v>40480</v>
      </c>
      <c r="D462" s="11" t="s">
        <v>8</v>
      </c>
      <c r="E462" s="4">
        <v>21</v>
      </c>
      <c r="F462" s="4">
        <v>1</v>
      </c>
      <c r="G462" s="4">
        <v>15</v>
      </c>
      <c r="H462" s="498">
        <v>484</v>
      </c>
      <c r="I462" s="499">
        <v>96</v>
      </c>
      <c r="J462" s="72">
        <f>+I462/F462</f>
        <v>96</v>
      </c>
      <c r="K462" s="159">
        <f>+H462/I462</f>
        <v>5.041666666666667</v>
      </c>
      <c r="L462" s="5">
        <v>303586</v>
      </c>
      <c r="M462" s="6">
        <v>27869</v>
      </c>
      <c r="N462" s="160">
        <f>+L462/M462</f>
        <v>10.89332232947002</v>
      </c>
      <c r="O462" s="433">
        <v>452</v>
      </c>
    </row>
    <row r="463" spans="1:15" s="68" customFormat="1" ht="12" customHeight="1">
      <c r="A463" s="433">
        <v>453</v>
      </c>
      <c r="B463" s="335" t="s">
        <v>657</v>
      </c>
      <c r="C463" s="22">
        <v>40452</v>
      </c>
      <c r="D463" s="345" t="s">
        <v>30</v>
      </c>
      <c r="E463" s="21">
        <v>3</v>
      </c>
      <c r="F463" s="21">
        <v>1</v>
      </c>
      <c r="G463" s="21">
        <v>8</v>
      </c>
      <c r="H463" s="500">
        <v>475</v>
      </c>
      <c r="I463" s="501">
        <v>119</v>
      </c>
      <c r="J463" s="186">
        <f>I463/F463</f>
        <v>119</v>
      </c>
      <c r="K463" s="161">
        <f>H463/I463</f>
        <v>3.991596638655462</v>
      </c>
      <c r="L463" s="8">
        <f>8509+2430+1878+289+2970+1069+1782+475</f>
        <v>19402</v>
      </c>
      <c r="M463" s="7">
        <f>696+238+219+33+743+216+446+119</f>
        <v>2710</v>
      </c>
      <c r="N463" s="396">
        <f>L463/M463</f>
        <v>7.159409594095941</v>
      </c>
      <c r="O463" s="433">
        <v>453</v>
      </c>
    </row>
    <row r="464" spans="1:15" s="68" customFormat="1" ht="12" customHeight="1">
      <c r="A464" s="433">
        <v>454</v>
      </c>
      <c r="B464" s="365" t="s">
        <v>433</v>
      </c>
      <c r="C464" s="361">
        <v>40193</v>
      </c>
      <c r="D464" s="345" t="s">
        <v>30</v>
      </c>
      <c r="E464" s="362">
        <v>17</v>
      </c>
      <c r="F464" s="21">
        <v>1</v>
      </c>
      <c r="G464" s="21">
        <v>18</v>
      </c>
      <c r="H464" s="479">
        <v>475</v>
      </c>
      <c r="I464" s="480">
        <v>119</v>
      </c>
      <c r="J464" s="186">
        <f>I464/F464</f>
        <v>119</v>
      </c>
      <c r="K464" s="161">
        <f>H464/I464</f>
        <v>3.991596638655462</v>
      </c>
      <c r="L464" s="16">
        <f>1080+95415+33267.75+2666+272+903+421+2653+1780+747+58+1376+1549+190+3317+520.5+1188+1188+475</f>
        <v>149066.25</v>
      </c>
      <c r="M464" s="17">
        <f>108+7515+2837+363+32+176+93+719+445+99+9+205+217+27+387+69+297+297+119</f>
        <v>14014</v>
      </c>
      <c r="N464" s="396">
        <f>L464/M464</f>
        <v>10.636952333380904</v>
      </c>
      <c r="O464" s="433">
        <v>454</v>
      </c>
    </row>
    <row r="465" spans="1:15" s="68" customFormat="1" ht="12" customHeight="1">
      <c r="A465" s="433">
        <v>455</v>
      </c>
      <c r="B465" s="133" t="s">
        <v>151</v>
      </c>
      <c r="C465" s="22">
        <v>40515</v>
      </c>
      <c r="D465" s="183" t="s">
        <v>23</v>
      </c>
      <c r="E465" s="23">
        <v>122</v>
      </c>
      <c r="F465" s="23">
        <v>2</v>
      </c>
      <c r="G465" s="23">
        <v>5</v>
      </c>
      <c r="H465" s="475">
        <v>474</v>
      </c>
      <c r="I465" s="476">
        <v>70</v>
      </c>
      <c r="J465" s="28">
        <f>I465/F465</f>
        <v>35</v>
      </c>
      <c r="K465" s="180">
        <f>+H465/I465</f>
        <v>6.771428571428571</v>
      </c>
      <c r="L465" s="26">
        <v>611649</v>
      </c>
      <c r="M465" s="28">
        <v>72375</v>
      </c>
      <c r="N465" s="181">
        <f>+L465/M465</f>
        <v>8.451108808290156</v>
      </c>
      <c r="O465" s="433">
        <v>455</v>
      </c>
    </row>
    <row r="466" spans="1:15" s="68" customFormat="1" ht="12" customHeight="1">
      <c r="A466" s="433">
        <v>456</v>
      </c>
      <c r="B466" s="142" t="s">
        <v>316</v>
      </c>
      <c r="C466" s="143">
        <v>40529</v>
      </c>
      <c r="D466" s="137" t="s">
        <v>30</v>
      </c>
      <c r="E466" s="144">
        <v>27</v>
      </c>
      <c r="F466" s="144">
        <v>1</v>
      </c>
      <c r="G466" s="144">
        <v>6</v>
      </c>
      <c r="H466" s="477">
        <v>470</v>
      </c>
      <c r="I466" s="478">
        <v>78</v>
      </c>
      <c r="J466" s="81">
        <f>(I466/F466)</f>
        <v>78</v>
      </c>
      <c r="K466" s="134">
        <f>H466/I466</f>
        <v>6.0256410256410255</v>
      </c>
      <c r="L466" s="8">
        <f>68045+25663+7073.5+5233+3859+470</f>
        <v>110343.5</v>
      </c>
      <c r="M466" s="7">
        <f>5442+2277+920+1185+711+78</f>
        <v>10613</v>
      </c>
      <c r="N466" s="135">
        <f>L466/M466</f>
        <v>10.397013097145011</v>
      </c>
      <c r="O466" s="433">
        <v>456</v>
      </c>
    </row>
    <row r="467" spans="1:15" s="68" customFormat="1" ht="12" customHeight="1">
      <c r="A467" s="433">
        <v>457</v>
      </c>
      <c r="B467" s="154" t="s">
        <v>141</v>
      </c>
      <c r="C467" s="2">
        <v>40452</v>
      </c>
      <c r="D467" s="9" t="s">
        <v>21</v>
      </c>
      <c r="E467" s="3">
        <v>148</v>
      </c>
      <c r="F467" s="3">
        <v>1</v>
      </c>
      <c r="G467" s="3">
        <v>17</v>
      </c>
      <c r="H467" s="487">
        <v>468</v>
      </c>
      <c r="I467" s="488">
        <v>78</v>
      </c>
      <c r="J467" s="72">
        <f>IF(H467&lt;&gt;0,I467/F467,"")</f>
        <v>78</v>
      </c>
      <c r="K467" s="159">
        <f>IF(H467&lt;&gt;0,H467/I467,"")</f>
        <v>6</v>
      </c>
      <c r="L467" s="25">
        <f>896117+528+390+468</f>
        <v>897503</v>
      </c>
      <c r="M467" s="28">
        <f>104061+88+65+78</f>
        <v>104292</v>
      </c>
      <c r="N467" s="160">
        <f>IF(L467&lt;&gt;0,L467/M467,"")</f>
        <v>8.605674452498754</v>
      </c>
      <c r="O467" s="433">
        <v>457</v>
      </c>
    </row>
    <row r="468" spans="1:15" s="68" customFormat="1" ht="12" customHeight="1">
      <c r="A468" s="433">
        <v>458</v>
      </c>
      <c r="B468" s="152" t="s">
        <v>321</v>
      </c>
      <c r="C468" s="2">
        <v>40473</v>
      </c>
      <c r="D468" s="9" t="s">
        <v>10</v>
      </c>
      <c r="E468" s="3">
        <v>74</v>
      </c>
      <c r="F468" s="3">
        <v>1</v>
      </c>
      <c r="G468" s="3">
        <v>12</v>
      </c>
      <c r="H468" s="485">
        <v>464</v>
      </c>
      <c r="I468" s="486">
        <v>380</v>
      </c>
      <c r="J468" s="80">
        <f>I468/F468</f>
        <v>380</v>
      </c>
      <c r="K468" s="141">
        <f>H468/I468</f>
        <v>1.2210526315789474</v>
      </c>
      <c r="L468" s="30">
        <v>983681</v>
      </c>
      <c r="M468" s="29">
        <v>85076</v>
      </c>
      <c r="N468" s="153">
        <f>+L468/M468</f>
        <v>11.562379519488458</v>
      </c>
      <c r="O468" s="433">
        <v>458</v>
      </c>
    </row>
    <row r="469" spans="1:15" s="68" customFormat="1" ht="12" customHeight="1">
      <c r="A469" s="433">
        <v>459</v>
      </c>
      <c r="B469" s="142" t="s">
        <v>329</v>
      </c>
      <c r="C469" s="143">
        <v>40508</v>
      </c>
      <c r="D469" s="282" t="s">
        <v>30</v>
      </c>
      <c r="E469" s="144">
        <v>34</v>
      </c>
      <c r="F469" s="144">
        <v>1</v>
      </c>
      <c r="G469" s="144">
        <v>13</v>
      </c>
      <c r="H469" s="477">
        <v>462</v>
      </c>
      <c r="I469" s="478">
        <v>77</v>
      </c>
      <c r="J469" s="81">
        <f>(I469/F469)</f>
        <v>77</v>
      </c>
      <c r="K469" s="134">
        <f>H469/I469</f>
        <v>6</v>
      </c>
      <c r="L469" s="8">
        <f>122173+87330+23120+25637+29159.5+14630.5+403+1246+229+767+1632.5+402+462</f>
        <v>307191.5</v>
      </c>
      <c r="M469" s="7">
        <f>10588+8153+2702+3877+4807+2283+58+199+33+115+203+67+77</f>
        <v>33162</v>
      </c>
      <c r="N469" s="135">
        <f>L469/M469</f>
        <v>9.263358663530546</v>
      </c>
      <c r="O469" s="433">
        <v>459</v>
      </c>
    </row>
    <row r="470" spans="1:15" s="68" customFormat="1" ht="12" customHeight="1">
      <c r="A470" s="433">
        <v>460</v>
      </c>
      <c r="B470" s="349" t="s">
        <v>276</v>
      </c>
      <c r="C470" s="84">
        <v>40480</v>
      </c>
      <c r="D470" s="346" t="s">
        <v>8</v>
      </c>
      <c r="E470" s="14">
        <v>1</v>
      </c>
      <c r="F470" s="14">
        <v>1</v>
      </c>
      <c r="G470" s="14">
        <v>19</v>
      </c>
      <c r="H470" s="502">
        <v>453</v>
      </c>
      <c r="I470" s="503">
        <v>47</v>
      </c>
      <c r="J470" s="186">
        <f>I470/F470</f>
        <v>47</v>
      </c>
      <c r="K470" s="234">
        <f>H470/I470</f>
        <v>9.638297872340425</v>
      </c>
      <c r="L470" s="13">
        <v>18344</v>
      </c>
      <c r="M470" s="312">
        <v>1585</v>
      </c>
      <c r="N470" s="244">
        <f>+L470/M470</f>
        <v>11.573501577287066</v>
      </c>
      <c r="O470" s="433">
        <v>460</v>
      </c>
    </row>
    <row r="471" spans="1:15" s="68" customFormat="1" ht="12" customHeight="1">
      <c r="A471" s="433">
        <v>461</v>
      </c>
      <c r="B471" s="185" t="s">
        <v>268</v>
      </c>
      <c r="C471" s="2">
        <v>40207</v>
      </c>
      <c r="D471" s="9" t="s">
        <v>21</v>
      </c>
      <c r="E471" s="3">
        <v>47</v>
      </c>
      <c r="F471" s="3">
        <v>1</v>
      </c>
      <c r="G471" s="3">
        <v>45</v>
      </c>
      <c r="H471" s="487">
        <v>450</v>
      </c>
      <c r="I471" s="488">
        <v>29</v>
      </c>
      <c r="J471" s="72">
        <f>IF(H471&lt;&gt;0,I471/F471,"")</f>
        <v>29</v>
      </c>
      <c r="K471" s="159">
        <f>IF(H471&lt;&gt;0,H471/I471,"")</f>
        <v>15.517241379310345</v>
      </c>
      <c r="L471" s="25">
        <f>1883790+184+100+80+110+450</f>
        <v>1884714</v>
      </c>
      <c r="M471" s="28">
        <f>162822+46+10+8+11+29</f>
        <v>162926</v>
      </c>
      <c r="N471" s="160">
        <f>IF(L471&lt;&gt;0,L471/M471,"")</f>
        <v>11.567914267827112</v>
      </c>
      <c r="O471" s="433">
        <v>461</v>
      </c>
    </row>
    <row r="472" spans="1:15" s="68" customFormat="1" ht="12" customHeight="1">
      <c r="A472" s="433">
        <v>462</v>
      </c>
      <c r="B472" s="349" t="s">
        <v>276</v>
      </c>
      <c r="C472" s="84">
        <v>40480</v>
      </c>
      <c r="D472" s="346" t="s">
        <v>8</v>
      </c>
      <c r="E472" s="14">
        <v>1</v>
      </c>
      <c r="F472" s="14">
        <v>1</v>
      </c>
      <c r="G472" s="14">
        <v>18</v>
      </c>
      <c r="H472" s="498">
        <v>436</v>
      </c>
      <c r="I472" s="499">
        <v>49</v>
      </c>
      <c r="J472" s="72">
        <f>I472/F472</f>
        <v>49</v>
      </c>
      <c r="K472" s="73">
        <f>H472/I472</f>
        <v>8.89795918367347</v>
      </c>
      <c r="L472" s="5">
        <v>17891</v>
      </c>
      <c r="M472" s="6">
        <v>1538</v>
      </c>
      <c r="N472" s="74">
        <f>+L472/M472</f>
        <v>11.632639791937581</v>
      </c>
      <c r="O472" s="433">
        <v>462</v>
      </c>
    </row>
    <row r="473" spans="1:15" s="68" customFormat="1" ht="12" customHeight="1">
      <c r="A473" s="433">
        <v>463</v>
      </c>
      <c r="B473" s="157" t="s">
        <v>142</v>
      </c>
      <c r="C473" s="2">
        <v>40529</v>
      </c>
      <c r="D473" s="14" t="s">
        <v>134</v>
      </c>
      <c r="E473" s="4">
        <v>81</v>
      </c>
      <c r="F473" s="4">
        <v>5</v>
      </c>
      <c r="G473" s="4">
        <v>4</v>
      </c>
      <c r="H473" s="494">
        <v>431</v>
      </c>
      <c r="I473" s="493">
        <v>43</v>
      </c>
      <c r="J473" s="168">
        <f>I473/F473</f>
        <v>8.6</v>
      </c>
      <c r="K473" s="169">
        <f>H473/I473</f>
        <v>10.023255813953488</v>
      </c>
      <c r="L473" s="170">
        <v>472729</v>
      </c>
      <c r="M473" s="171">
        <v>55977</v>
      </c>
      <c r="N473" s="172">
        <f>+L473/M473</f>
        <v>8.445057791592976</v>
      </c>
      <c r="O473" s="433">
        <v>463</v>
      </c>
    </row>
    <row r="474" spans="1:15" s="68" customFormat="1" ht="12" customHeight="1">
      <c r="A474" s="433">
        <v>464</v>
      </c>
      <c r="B474" s="198" t="s">
        <v>330</v>
      </c>
      <c r="C474" s="360">
        <v>40480</v>
      </c>
      <c r="D474" s="345" t="s">
        <v>30</v>
      </c>
      <c r="E474" s="21">
        <v>100</v>
      </c>
      <c r="F474" s="3">
        <v>1</v>
      </c>
      <c r="G474" s="21">
        <v>22</v>
      </c>
      <c r="H474" s="479">
        <v>430</v>
      </c>
      <c r="I474" s="480">
        <v>86</v>
      </c>
      <c r="J474" s="72">
        <f>+I474/F474</f>
        <v>86</v>
      </c>
      <c r="K474" s="161">
        <f>+H474/I474</f>
        <v>5</v>
      </c>
      <c r="L474" s="16">
        <f>1221166+429124.5+378100+240009.5+108018.5+26890.5+15319+16968+7345.5+4160+1262+1510+3920.5+2732.5+8910+571+670+102+4457+119+222+430</f>
        <v>2472007.5</v>
      </c>
      <c r="M474" s="17">
        <f>114702+40612+35598+23284+12543+4168+3055+2661+1161+850+210+377+981+684+2228+92+109+26+857+22+44+86</f>
        <v>244350</v>
      </c>
      <c r="N474" s="216">
        <f>+L474/M474</f>
        <v>10.116666666666667</v>
      </c>
      <c r="O474" s="433">
        <v>464</v>
      </c>
    </row>
    <row r="475" spans="1:15" s="68" customFormat="1" ht="12" customHeight="1">
      <c r="A475" s="433">
        <v>465</v>
      </c>
      <c r="B475" s="157" t="s">
        <v>142</v>
      </c>
      <c r="C475" s="2">
        <v>40529</v>
      </c>
      <c r="D475" s="10" t="s">
        <v>134</v>
      </c>
      <c r="E475" s="4">
        <v>81</v>
      </c>
      <c r="F475" s="4">
        <v>1</v>
      </c>
      <c r="G475" s="4">
        <v>9</v>
      </c>
      <c r="H475" s="494">
        <v>427</v>
      </c>
      <c r="I475" s="493">
        <v>52</v>
      </c>
      <c r="J475" s="168">
        <f>I475/F475</f>
        <v>52</v>
      </c>
      <c r="K475" s="169">
        <f>H475/I475</f>
        <v>8.211538461538462</v>
      </c>
      <c r="L475" s="170">
        <v>484902</v>
      </c>
      <c r="M475" s="171">
        <v>58658</v>
      </c>
      <c r="N475" s="172">
        <f>+L475/M475</f>
        <v>8.266596201711616</v>
      </c>
      <c r="O475" s="433">
        <v>465</v>
      </c>
    </row>
    <row r="476" spans="1:15" s="68" customFormat="1" ht="12" customHeight="1">
      <c r="A476" s="433">
        <v>466</v>
      </c>
      <c r="B476" s="150" t="s">
        <v>146</v>
      </c>
      <c r="C476" s="22">
        <v>39766</v>
      </c>
      <c r="D476" s="137" t="s">
        <v>133</v>
      </c>
      <c r="E476" s="139">
        <v>17</v>
      </c>
      <c r="F476" s="139">
        <v>1</v>
      </c>
      <c r="G476" s="139">
        <v>27</v>
      </c>
      <c r="H476" s="490">
        <v>403</v>
      </c>
      <c r="I476" s="491">
        <v>2016</v>
      </c>
      <c r="J476" s="83">
        <v>2016</v>
      </c>
      <c r="K476" s="187">
        <v>0.19990079365079366</v>
      </c>
      <c r="L476" s="165">
        <v>93607</v>
      </c>
      <c r="M476" s="166">
        <v>13556</v>
      </c>
      <c r="N476" s="167">
        <v>6.9052080259663615</v>
      </c>
      <c r="O476" s="433">
        <v>466</v>
      </c>
    </row>
    <row r="477" spans="1:15" s="68" customFormat="1" ht="12" customHeight="1">
      <c r="A477" s="433">
        <v>467</v>
      </c>
      <c r="B477" s="133" t="s">
        <v>329</v>
      </c>
      <c r="C477" s="22">
        <v>40508</v>
      </c>
      <c r="D477" s="137" t="s">
        <v>30</v>
      </c>
      <c r="E477" s="23">
        <v>34</v>
      </c>
      <c r="F477" s="23">
        <v>1</v>
      </c>
      <c r="G477" s="23">
        <v>7</v>
      </c>
      <c r="H477" s="477">
        <v>403</v>
      </c>
      <c r="I477" s="478">
        <v>58</v>
      </c>
      <c r="J477" s="81">
        <f>(I477/F477)</f>
        <v>58</v>
      </c>
      <c r="K477" s="134">
        <f>H477/I477</f>
        <v>6.948275862068965</v>
      </c>
      <c r="L477" s="8">
        <f>122173+87330+23120+25637+29159.5+14630.5+403</f>
        <v>302453</v>
      </c>
      <c r="M477" s="7">
        <f>10588+8153+2702+3877+4807+2283+58</f>
        <v>32468</v>
      </c>
      <c r="N477" s="135">
        <f>L477/M477</f>
        <v>9.315418257977084</v>
      </c>
      <c r="O477" s="433">
        <v>467</v>
      </c>
    </row>
    <row r="478" spans="1:15" s="68" customFormat="1" ht="12" customHeight="1">
      <c r="A478" s="433">
        <v>468</v>
      </c>
      <c r="B478" s="150" t="s">
        <v>329</v>
      </c>
      <c r="C478" s="22">
        <v>40508</v>
      </c>
      <c r="D478" s="137" t="s">
        <v>130</v>
      </c>
      <c r="E478" s="139">
        <v>34</v>
      </c>
      <c r="F478" s="139">
        <v>1</v>
      </c>
      <c r="G478" s="139">
        <v>12</v>
      </c>
      <c r="H478" s="477">
        <v>402</v>
      </c>
      <c r="I478" s="478">
        <v>67</v>
      </c>
      <c r="J478" s="81">
        <f>(I478/F478)</f>
        <v>67</v>
      </c>
      <c r="K478" s="151">
        <f>H478/I478</f>
        <v>6</v>
      </c>
      <c r="L478" s="8">
        <f>122173+87330+23120+25637+29159.5+14630.5+403+1246+229+767+1632.5+402</f>
        <v>306729.5</v>
      </c>
      <c r="M478" s="7">
        <f>10588+8153+2702+3877+4807+2283+58+199+33+115+203+67</f>
        <v>33085</v>
      </c>
      <c r="N478" s="135">
        <f>L478/M478</f>
        <v>9.270953604352426</v>
      </c>
      <c r="O478" s="433">
        <v>468</v>
      </c>
    </row>
    <row r="479" spans="1:15" s="68" customFormat="1" ht="12" customHeight="1">
      <c r="A479" s="433">
        <v>469</v>
      </c>
      <c r="B479" s="299" t="s">
        <v>327</v>
      </c>
      <c r="C479" s="294">
        <v>40473</v>
      </c>
      <c r="D479" s="137" t="s">
        <v>30</v>
      </c>
      <c r="E479" s="300">
        <v>2</v>
      </c>
      <c r="F479" s="300">
        <v>1</v>
      </c>
      <c r="G479" s="300">
        <v>7</v>
      </c>
      <c r="H479" s="477">
        <v>396</v>
      </c>
      <c r="I479" s="478">
        <v>89</v>
      </c>
      <c r="J479" s="81">
        <f>(I479/F479)</f>
        <v>89</v>
      </c>
      <c r="K479" s="134">
        <f>H479/I479</f>
        <v>4.449438202247191</v>
      </c>
      <c r="L479" s="8">
        <f>6832+2665+3612+1330+1973+129+396</f>
        <v>16937</v>
      </c>
      <c r="M479" s="7">
        <f>659+312+817+151+365+14+89</f>
        <v>2407</v>
      </c>
      <c r="N479" s="135">
        <f>L479/M479</f>
        <v>7.036560033236394</v>
      </c>
      <c r="O479" s="433">
        <v>469</v>
      </c>
    </row>
    <row r="480" spans="1:15" s="68" customFormat="1" ht="12" customHeight="1">
      <c r="A480" s="433">
        <v>470</v>
      </c>
      <c r="B480" s="157" t="s">
        <v>141</v>
      </c>
      <c r="C480" s="2">
        <v>40452</v>
      </c>
      <c r="D480" s="10" t="s">
        <v>21</v>
      </c>
      <c r="E480" s="4">
        <v>148</v>
      </c>
      <c r="F480" s="4">
        <v>1</v>
      </c>
      <c r="G480" s="4">
        <v>16</v>
      </c>
      <c r="H480" s="487">
        <v>390</v>
      </c>
      <c r="I480" s="488">
        <v>65</v>
      </c>
      <c r="J480" s="72">
        <f>+I480/F480</f>
        <v>65</v>
      </c>
      <c r="K480" s="159">
        <f>+H480/I480</f>
        <v>6</v>
      </c>
      <c r="L480" s="25">
        <f>896117+528+390</f>
        <v>897035</v>
      </c>
      <c r="M480" s="28">
        <f>104061+88+65</f>
        <v>104214</v>
      </c>
      <c r="N480" s="160">
        <f>IF(L480&lt;&gt;0,L480/M480,"")</f>
        <v>8.607624695338439</v>
      </c>
      <c r="O480" s="433">
        <v>470</v>
      </c>
    </row>
    <row r="481" spans="1:15" s="68" customFormat="1" ht="12" customHeight="1">
      <c r="A481" s="433">
        <v>471</v>
      </c>
      <c r="B481" s="157" t="s">
        <v>276</v>
      </c>
      <c r="C481" s="2">
        <v>40480</v>
      </c>
      <c r="D481" s="11" t="s">
        <v>8</v>
      </c>
      <c r="E481" s="4">
        <v>1</v>
      </c>
      <c r="F481" s="4">
        <v>1</v>
      </c>
      <c r="G481" s="4">
        <v>9</v>
      </c>
      <c r="H481" s="498">
        <v>368</v>
      </c>
      <c r="I481" s="499">
        <v>57</v>
      </c>
      <c r="J481" s="72">
        <f>+I481/F481</f>
        <v>57</v>
      </c>
      <c r="K481" s="159">
        <f>+H481/I481</f>
        <v>6.456140350877193</v>
      </c>
      <c r="L481" s="5">
        <v>14543</v>
      </c>
      <c r="M481" s="6">
        <v>1072</v>
      </c>
      <c r="N481" s="160">
        <f>+L481/M481</f>
        <v>13.566231343283581</v>
      </c>
      <c r="O481" s="433">
        <v>471</v>
      </c>
    </row>
    <row r="482" spans="1:15" s="68" customFormat="1" ht="12" customHeight="1">
      <c r="A482" s="433">
        <v>472</v>
      </c>
      <c r="B482" s="299" t="s">
        <v>273</v>
      </c>
      <c r="C482" s="294">
        <v>39995</v>
      </c>
      <c r="D482" s="310" t="s">
        <v>130</v>
      </c>
      <c r="E482" s="300">
        <v>209</v>
      </c>
      <c r="F482" s="300">
        <v>1</v>
      </c>
      <c r="G482" s="300">
        <v>64</v>
      </c>
      <c r="H482" s="479">
        <v>364.5</v>
      </c>
      <c r="I482" s="480">
        <v>27</v>
      </c>
      <c r="J482" s="186">
        <f>I482/F482</f>
        <v>27</v>
      </c>
      <c r="K482" s="234">
        <f>H482/I482</f>
        <v>13.5</v>
      </c>
      <c r="L482" s="16">
        <f>11405777.5+385+1188+6614+2968+1417+277+2612+1424+952+1780+952+364.5</f>
        <v>11426711</v>
      </c>
      <c r="M482" s="17">
        <f>1424397+63+297+1638+742+364+66+653+356+238+445+238+27</f>
        <v>1429524</v>
      </c>
      <c r="N482" s="235">
        <f>L482/M482</f>
        <v>7.993367722402702</v>
      </c>
      <c r="O482" s="433">
        <v>472</v>
      </c>
    </row>
    <row r="483" spans="1:15" s="68" customFormat="1" ht="12" customHeight="1">
      <c r="A483" s="433">
        <v>473</v>
      </c>
      <c r="B483" s="311" t="s">
        <v>323</v>
      </c>
      <c r="C483" s="84">
        <v>40522</v>
      </c>
      <c r="D483" s="87" t="s">
        <v>8</v>
      </c>
      <c r="E483" s="4">
        <v>110</v>
      </c>
      <c r="F483" s="4">
        <v>1</v>
      </c>
      <c r="G483" s="246">
        <v>14</v>
      </c>
      <c r="H483" s="498">
        <v>362</v>
      </c>
      <c r="I483" s="499">
        <v>61</v>
      </c>
      <c r="J483" s="72">
        <f>I483/F483</f>
        <v>61</v>
      </c>
      <c r="K483" s="73">
        <f>H483/I483</f>
        <v>5.934426229508197</v>
      </c>
      <c r="L483" s="5">
        <v>5015111</v>
      </c>
      <c r="M483" s="6">
        <v>477329</v>
      </c>
      <c r="N483" s="74">
        <f>+L483/M483</f>
        <v>10.506612839362369</v>
      </c>
      <c r="O483" s="433">
        <v>473</v>
      </c>
    </row>
    <row r="484" spans="1:15" s="68" customFormat="1" ht="12" customHeight="1">
      <c r="A484" s="433">
        <v>474</v>
      </c>
      <c r="B484" s="349" t="s">
        <v>384</v>
      </c>
      <c r="C484" s="359">
        <v>40221</v>
      </c>
      <c r="D484" s="346" t="s">
        <v>28</v>
      </c>
      <c r="E484" s="21">
        <v>378</v>
      </c>
      <c r="F484" s="21">
        <v>1</v>
      </c>
      <c r="G484" s="21">
        <v>22</v>
      </c>
      <c r="H484" s="473">
        <v>355</v>
      </c>
      <c r="I484" s="468">
        <v>71</v>
      </c>
      <c r="J484" s="186">
        <f>I484/F484</f>
        <v>71</v>
      </c>
      <c r="K484" s="234">
        <f>H484/I484</f>
        <v>5</v>
      </c>
      <c r="L484" s="355">
        <f>15262368+6874188.5+2847763.25-223+1769171+1008022.25+602324.75+244767.5+35902+50854+1772+740+466+1889+1178+72+1176+376+620+1922+3597+1315+371+355</f>
        <v>28710987.25</v>
      </c>
      <c r="M484" s="19">
        <f>1752204+788243+333771+209388+119359+72788+39635-10+7563+234+104+69+615+148+12+346+52+124+384+600+152+61+71</f>
        <v>3325913</v>
      </c>
      <c r="N484" s="244">
        <f>+L484/M484</f>
        <v>8.632513012216496</v>
      </c>
      <c r="O484" s="433">
        <v>474</v>
      </c>
    </row>
    <row r="485" spans="1:15" s="68" customFormat="1" ht="12" customHeight="1">
      <c r="A485" s="433">
        <v>475</v>
      </c>
      <c r="B485" s="202" t="s">
        <v>158</v>
      </c>
      <c r="C485" s="184">
        <v>40501</v>
      </c>
      <c r="D485" s="203" t="s">
        <v>134</v>
      </c>
      <c r="E485" s="204">
        <v>121</v>
      </c>
      <c r="F485" s="204">
        <v>1</v>
      </c>
      <c r="G485" s="204">
        <v>21</v>
      </c>
      <c r="H485" s="494">
        <v>342</v>
      </c>
      <c r="I485" s="493">
        <v>114</v>
      </c>
      <c r="J485" s="80">
        <v>114</v>
      </c>
      <c r="K485" s="141">
        <v>3</v>
      </c>
      <c r="L485" s="170">
        <v>1610808</v>
      </c>
      <c r="M485" s="171">
        <v>165552</v>
      </c>
      <c r="N485" s="172">
        <v>9.729921716439547</v>
      </c>
      <c r="O485" s="433">
        <v>475</v>
      </c>
    </row>
    <row r="486" spans="1:15" s="68" customFormat="1" ht="12" customHeight="1">
      <c r="A486" s="433">
        <v>476</v>
      </c>
      <c r="B486" s="157" t="s">
        <v>276</v>
      </c>
      <c r="C486" s="2">
        <v>40480</v>
      </c>
      <c r="D486" s="11" t="s">
        <v>8</v>
      </c>
      <c r="E486" s="4">
        <v>1</v>
      </c>
      <c r="F486" s="4">
        <v>1</v>
      </c>
      <c r="G486" s="4">
        <v>11</v>
      </c>
      <c r="H486" s="498">
        <v>341</v>
      </c>
      <c r="I486" s="499">
        <v>57</v>
      </c>
      <c r="J486" s="72">
        <f>+I486/F486</f>
        <v>57</v>
      </c>
      <c r="K486" s="159">
        <f>+H486/I486</f>
        <v>5.982456140350878</v>
      </c>
      <c r="L486" s="5">
        <v>15150</v>
      </c>
      <c r="M486" s="6">
        <v>1167</v>
      </c>
      <c r="N486" s="160">
        <f>+L486/M486</f>
        <v>12.982005141388175</v>
      </c>
      <c r="O486" s="433">
        <v>476</v>
      </c>
    </row>
    <row r="487" spans="1:15" s="68" customFormat="1" ht="12" customHeight="1">
      <c r="A487" s="433">
        <v>477</v>
      </c>
      <c r="B487" s="157" t="s">
        <v>332</v>
      </c>
      <c r="C487" s="2">
        <v>40284</v>
      </c>
      <c r="D487" s="11" t="s">
        <v>8</v>
      </c>
      <c r="E487" s="4">
        <v>1</v>
      </c>
      <c r="F487" s="4">
        <v>1</v>
      </c>
      <c r="G487" s="4">
        <v>22</v>
      </c>
      <c r="H487" s="498">
        <v>336</v>
      </c>
      <c r="I487" s="499">
        <v>48</v>
      </c>
      <c r="J487" s="72">
        <f>+I487/F487</f>
        <v>48</v>
      </c>
      <c r="K487" s="159">
        <f>+H487/I487</f>
        <v>7</v>
      </c>
      <c r="L487" s="5">
        <v>47577</v>
      </c>
      <c r="M487" s="6">
        <v>4083</v>
      </c>
      <c r="N487" s="160">
        <f>+L487/M487</f>
        <v>11.652461425422484</v>
      </c>
      <c r="O487" s="433">
        <v>477</v>
      </c>
    </row>
    <row r="488" spans="1:15" s="68" customFormat="1" ht="12" customHeight="1">
      <c r="A488" s="433">
        <v>478</v>
      </c>
      <c r="B488" s="311" t="s">
        <v>294</v>
      </c>
      <c r="C488" s="279">
        <v>40459</v>
      </c>
      <c r="D488" s="87" t="s">
        <v>8</v>
      </c>
      <c r="E488" s="88">
        <v>50</v>
      </c>
      <c r="F488" s="4">
        <v>1</v>
      </c>
      <c r="G488" s="4">
        <v>15</v>
      </c>
      <c r="H488" s="498">
        <v>334</v>
      </c>
      <c r="I488" s="499">
        <v>55</v>
      </c>
      <c r="J488" s="186">
        <f>I488/F488</f>
        <v>55</v>
      </c>
      <c r="K488" s="138">
        <f>H488/I488</f>
        <v>6.072727272727272</v>
      </c>
      <c r="L488" s="5">
        <v>377502</v>
      </c>
      <c r="M488" s="6">
        <v>34408</v>
      </c>
      <c r="N488" s="76">
        <f>L488/M488</f>
        <v>10.971343873517787</v>
      </c>
      <c r="O488" s="433">
        <v>478</v>
      </c>
    </row>
    <row r="489" spans="1:15" s="68" customFormat="1" ht="12" customHeight="1">
      <c r="A489" s="433">
        <v>479</v>
      </c>
      <c r="B489" s="365" t="s">
        <v>296</v>
      </c>
      <c r="C489" s="361">
        <v>40515</v>
      </c>
      <c r="D489" s="344" t="s">
        <v>30</v>
      </c>
      <c r="E489" s="362">
        <v>62</v>
      </c>
      <c r="F489" s="21">
        <v>1</v>
      </c>
      <c r="G489" s="362">
        <v>33</v>
      </c>
      <c r="H489" s="479">
        <v>329</v>
      </c>
      <c r="I489" s="480">
        <v>63</v>
      </c>
      <c r="J489" s="186">
        <f>I489/F489</f>
        <v>63</v>
      </c>
      <c r="K489" s="234">
        <f>H489/I489</f>
        <v>5.222222222222222</v>
      </c>
      <c r="L489" s="16">
        <f>353151+191248+132731.5+71376+47862+26248.5+19265+34650.5+35095.5+42312+25849+10987+7528+3248+2395.5+3280.5+3141.5+4280+3042+1597+6128+4358+2107+777+4230+4335.5+1718.5+594+1978+2020+7747.5+1188+329</f>
        <v>1056799</v>
      </c>
      <c r="M489" s="17">
        <f>34650+19352+14525+10591+7581+5012+3223+6065+6865+6589+3930+1782+1091+624+468+512+688+987+804+306+1395+991+478+166+1058+1084+430+148+474+261+1593+297+63</f>
        <v>134083</v>
      </c>
      <c r="N489" s="235">
        <f>+L489/M489</f>
        <v>7.881677766756412</v>
      </c>
      <c r="O489" s="433">
        <v>479</v>
      </c>
    </row>
    <row r="490" spans="1:15" s="68" customFormat="1" ht="12" customHeight="1">
      <c r="A490" s="433">
        <v>480</v>
      </c>
      <c r="B490" s="154" t="s">
        <v>252</v>
      </c>
      <c r="C490" s="2">
        <v>40466</v>
      </c>
      <c r="D490" s="12" t="s">
        <v>21</v>
      </c>
      <c r="E490" s="3">
        <v>10</v>
      </c>
      <c r="F490" s="3">
        <v>2</v>
      </c>
      <c r="G490" s="3">
        <v>7</v>
      </c>
      <c r="H490" s="489">
        <v>325</v>
      </c>
      <c r="I490" s="488">
        <v>44</v>
      </c>
      <c r="J490" s="72">
        <f>IF(H490&lt;&gt;0,I490/F490,"")</f>
        <v>22</v>
      </c>
      <c r="K490" s="161">
        <f>IF(H490&lt;&gt;0,H490/I490,"")</f>
        <v>7.386363636363637</v>
      </c>
      <c r="L490" s="24">
        <f>7088+2486+815+33+201+698+H490</f>
        <v>11646</v>
      </c>
      <c r="M490" s="28">
        <f>735+318+126+5+29+108+I490</f>
        <v>1365</v>
      </c>
      <c r="N490" s="160">
        <f>IF(L490&lt;&gt;0,L490/M490,"")</f>
        <v>8.531868131868132</v>
      </c>
      <c r="O490" s="433">
        <v>480</v>
      </c>
    </row>
    <row r="491" spans="1:15" s="68" customFormat="1" ht="12" customHeight="1">
      <c r="A491" s="433">
        <v>481</v>
      </c>
      <c r="B491" s="335" t="s">
        <v>394</v>
      </c>
      <c r="C491" s="360">
        <v>40165</v>
      </c>
      <c r="D491" s="344" t="s">
        <v>21</v>
      </c>
      <c r="E491" s="23">
        <v>38</v>
      </c>
      <c r="F491" s="3">
        <v>1</v>
      </c>
      <c r="G491" s="3">
        <v>35</v>
      </c>
      <c r="H491" s="487">
        <v>317</v>
      </c>
      <c r="I491" s="488">
        <v>55</v>
      </c>
      <c r="J491" s="72">
        <f>I491/F491</f>
        <v>55</v>
      </c>
      <c r="K491" s="73">
        <f>H491/I491</f>
        <v>5.763636363636364</v>
      </c>
      <c r="L491" s="25">
        <v>1139387</v>
      </c>
      <c r="M491" s="28">
        <v>139628</v>
      </c>
      <c r="N491" s="74">
        <f>+L491/M491</f>
        <v>8.160161285702008</v>
      </c>
      <c r="O491" s="433">
        <v>481</v>
      </c>
    </row>
    <row r="492" spans="1:15" s="68" customFormat="1" ht="12" customHeight="1">
      <c r="A492" s="433">
        <v>482</v>
      </c>
      <c r="B492" s="150" t="s">
        <v>135</v>
      </c>
      <c r="C492" s="22">
        <v>40522</v>
      </c>
      <c r="D492" s="137" t="s">
        <v>130</v>
      </c>
      <c r="E492" s="139">
        <v>127</v>
      </c>
      <c r="F492" s="139">
        <v>1</v>
      </c>
      <c r="G492" s="139">
        <v>16</v>
      </c>
      <c r="H492" s="477">
        <v>314</v>
      </c>
      <c r="I492" s="478">
        <v>38</v>
      </c>
      <c r="J492" s="81">
        <f>(I492/F492)</f>
        <v>38</v>
      </c>
      <c r="K492" s="151">
        <f>H492/I492</f>
        <v>8.263157894736842</v>
      </c>
      <c r="L492" s="8">
        <f>1048675+809166.5+457718.5+70165.5+7102+12164+8619.5+11777.5+6559.5+3338.5+10420.5+3303+3205+2076+1722.5+314</f>
        <v>2456327.5</v>
      </c>
      <c r="M492" s="7">
        <f>92481+73795+43350+8841+1153+2869+1615+2831+1620+630+2477+726+513+481+318+38</f>
        <v>233738</v>
      </c>
      <c r="N492" s="135">
        <f>L492/M492</f>
        <v>10.508892435119664</v>
      </c>
      <c r="O492" s="433">
        <v>482</v>
      </c>
    </row>
    <row r="493" spans="1:15" s="68" customFormat="1" ht="12" customHeight="1">
      <c r="A493" s="433">
        <v>483</v>
      </c>
      <c r="B493" s="150" t="s">
        <v>164</v>
      </c>
      <c r="C493" s="22">
        <v>40487</v>
      </c>
      <c r="D493" s="137" t="s">
        <v>28</v>
      </c>
      <c r="E493" s="139">
        <v>162</v>
      </c>
      <c r="F493" s="139">
        <v>1</v>
      </c>
      <c r="G493" s="139">
        <v>14</v>
      </c>
      <c r="H493" s="475">
        <v>313</v>
      </c>
      <c r="I493" s="476">
        <v>52</v>
      </c>
      <c r="J493" s="72">
        <f>+I493/F493</f>
        <v>52</v>
      </c>
      <c r="K493" s="159">
        <f>+H493/I493</f>
        <v>6.019230769230769</v>
      </c>
      <c r="L493" s="26">
        <f>525983.5+915356-20+520720.5+229861+37809.5+41066.5+9062.5+5020+8527+1340+1644+1941+1056+313</f>
        <v>2299680.5</v>
      </c>
      <c r="M493" s="28">
        <f>56225+93965-2+58841+28041+5233+5910+1474+785+1182+198+319+388+171+52</f>
        <v>252782</v>
      </c>
      <c r="N493" s="160">
        <f>+L493/M493</f>
        <v>9.097485184862846</v>
      </c>
      <c r="O493" s="433">
        <v>483</v>
      </c>
    </row>
    <row r="494" spans="1:15" s="68" customFormat="1" ht="12" customHeight="1">
      <c r="A494" s="433">
        <v>484</v>
      </c>
      <c r="B494" s="133" t="s">
        <v>284</v>
      </c>
      <c r="C494" s="22">
        <v>40473</v>
      </c>
      <c r="D494" s="20" t="s">
        <v>30</v>
      </c>
      <c r="E494" s="23">
        <v>30</v>
      </c>
      <c r="F494" s="23">
        <v>1</v>
      </c>
      <c r="G494" s="23">
        <v>16</v>
      </c>
      <c r="H494" s="477">
        <v>311</v>
      </c>
      <c r="I494" s="478">
        <v>46</v>
      </c>
      <c r="J494" s="81">
        <f>(I494/F494)</f>
        <v>46</v>
      </c>
      <c r="K494" s="134">
        <f aca="true" t="shared" si="44" ref="K494:K500">H494/I494</f>
        <v>6.760869565217392</v>
      </c>
      <c r="L494" s="8">
        <f>140269+106844+7979+4849+4700.5+7059+2232+1390+2769+13917+8357+891.5+4704+1307+1076+311</f>
        <v>308655</v>
      </c>
      <c r="M494" s="7">
        <f>11518+8629+641+577+660+1341+325+348+324+2259+1374+332+506+327+114+46</f>
        <v>29321</v>
      </c>
      <c r="N494" s="135">
        <f>L494/M494</f>
        <v>10.526755567681866</v>
      </c>
      <c r="O494" s="433">
        <v>484</v>
      </c>
    </row>
    <row r="495" spans="1:15" s="68" customFormat="1" ht="12" customHeight="1">
      <c r="A495" s="433">
        <v>485</v>
      </c>
      <c r="B495" s="335" t="s">
        <v>273</v>
      </c>
      <c r="C495" s="360">
        <v>39995</v>
      </c>
      <c r="D495" s="344" t="s">
        <v>30</v>
      </c>
      <c r="E495" s="23">
        <v>209</v>
      </c>
      <c r="F495" s="23">
        <v>1</v>
      </c>
      <c r="G495" s="23">
        <v>69</v>
      </c>
      <c r="H495" s="477">
        <v>305</v>
      </c>
      <c r="I495" s="478">
        <v>61</v>
      </c>
      <c r="J495" s="72">
        <f>I495/F495</f>
        <v>61</v>
      </c>
      <c r="K495" s="73">
        <f t="shared" si="44"/>
        <v>5</v>
      </c>
      <c r="L495" s="8">
        <f>11405777.5+385+1188+6614+2968+1417+277+2612+1424+952+1780+952+364.5+1188+1188+2852+3019.5+305</f>
        <v>11435263.5</v>
      </c>
      <c r="M495" s="7">
        <f>1424397+63+297+1638+742+364+66+653+356+238+445+238+27+297+297+713+734+61</f>
        <v>1431626</v>
      </c>
      <c r="N495" s="74">
        <f>+L495/M495</f>
        <v>7.98760535223585</v>
      </c>
      <c r="O495" s="433">
        <v>485</v>
      </c>
    </row>
    <row r="496" spans="1:15" s="68" customFormat="1" ht="12" customHeight="1">
      <c r="A496" s="433">
        <v>486</v>
      </c>
      <c r="B496" s="311" t="s">
        <v>245</v>
      </c>
      <c r="C496" s="84">
        <v>40487</v>
      </c>
      <c r="D496" s="87" t="s">
        <v>8</v>
      </c>
      <c r="E496" s="88">
        <v>383</v>
      </c>
      <c r="F496" s="4">
        <v>1</v>
      </c>
      <c r="G496" s="4">
        <v>13</v>
      </c>
      <c r="H496" s="498">
        <v>288</v>
      </c>
      <c r="I496" s="499">
        <v>36</v>
      </c>
      <c r="J496" s="72">
        <f>I496/F496</f>
        <v>36</v>
      </c>
      <c r="K496" s="73">
        <f t="shared" si="44"/>
        <v>8</v>
      </c>
      <c r="L496" s="5">
        <v>31645541</v>
      </c>
      <c r="M496" s="6">
        <v>3474495</v>
      </c>
      <c r="N496" s="74">
        <f>+L496/M496</f>
        <v>9.107954105560664</v>
      </c>
      <c r="O496" s="433">
        <v>486</v>
      </c>
    </row>
    <row r="497" spans="1:15" s="68" customFormat="1" ht="12" customHeight="1">
      <c r="A497" s="433">
        <v>487</v>
      </c>
      <c r="B497" s="311" t="s">
        <v>276</v>
      </c>
      <c r="C497" s="84">
        <v>40480</v>
      </c>
      <c r="D497" s="87" t="s">
        <v>8</v>
      </c>
      <c r="E497" s="4">
        <v>1</v>
      </c>
      <c r="F497" s="4">
        <v>1</v>
      </c>
      <c r="G497" s="4">
        <v>16</v>
      </c>
      <c r="H497" s="498">
        <v>288</v>
      </c>
      <c r="I497" s="499">
        <v>32</v>
      </c>
      <c r="J497" s="72">
        <f>I497/F497</f>
        <v>32</v>
      </c>
      <c r="K497" s="73">
        <f t="shared" si="44"/>
        <v>9</v>
      </c>
      <c r="L497" s="5">
        <v>1473</v>
      </c>
      <c r="M497" s="6">
        <v>17363</v>
      </c>
      <c r="N497" s="76">
        <f>L497/M497</f>
        <v>0.08483556988999597</v>
      </c>
      <c r="O497" s="433">
        <v>487</v>
      </c>
    </row>
    <row r="498" spans="1:15" s="68" customFormat="1" ht="12" customHeight="1">
      <c r="A498" s="433">
        <v>488</v>
      </c>
      <c r="B498" s="133" t="s">
        <v>274</v>
      </c>
      <c r="C498" s="22">
        <v>39738</v>
      </c>
      <c r="D498" s="345" t="s">
        <v>30</v>
      </c>
      <c r="E498" s="23">
        <v>67</v>
      </c>
      <c r="F498" s="23">
        <v>1</v>
      </c>
      <c r="G498" s="23">
        <v>46</v>
      </c>
      <c r="H498" s="477">
        <v>286</v>
      </c>
      <c r="I498" s="478">
        <v>42</v>
      </c>
      <c r="J498" s="72">
        <f>I498/F498</f>
        <v>42</v>
      </c>
      <c r="K498" s="159">
        <f t="shared" si="44"/>
        <v>6.809523809523809</v>
      </c>
      <c r="L498" s="8">
        <f>575413.5+2968+2376+2737+2376+2376+4752+2376+952+1780+226+286</f>
        <v>598618.5</v>
      </c>
      <c r="M498" s="7">
        <f>83313+742+594+635+594+594+1188+594+238+445+36+42</f>
        <v>89015</v>
      </c>
      <c r="N498" s="167">
        <f>L498/M498</f>
        <v>6.7249171487951465</v>
      </c>
      <c r="O498" s="433">
        <v>488</v>
      </c>
    </row>
    <row r="499" spans="1:15" s="68" customFormat="1" ht="12" customHeight="1">
      <c r="A499" s="433">
        <v>489</v>
      </c>
      <c r="B499" s="154" t="s">
        <v>270</v>
      </c>
      <c r="C499" s="2">
        <v>40499</v>
      </c>
      <c r="D499" s="9" t="s">
        <v>10</v>
      </c>
      <c r="E499" s="3">
        <v>216</v>
      </c>
      <c r="F499" s="3">
        <v>1</v>
      </c>
      <c r="G499" s="3">
        <v>10</v>
      </c>
      <c r="H499" s="485">
        <v>280</v>
      </c>
      <c r="I499" s="486">
        <v>46</v>
      </c>
      <c r="J499" s="80">
        <f>I499/F499</f>
        <v>46</v>
      </c>
      <c r="K499" s="141">
        <f t="shared" si="44"/>
        <v>6.086956521739131</v>
      </c>
      <c r="L499" s="30">
        <v>7555535</v>
      </c>
      <c r="M499" s="29">
        <v>797898</v>
      </c>
      <c r="N499" s="153">
        <f>+L499/M499</f>
        <v>9.469299334000086</v>
      </c>
      <c r="O499" s="433">
        <v>489</v>
      </c>
    </row>
    <row r="500" spans="1:15" s="68" customFormat="1" ht="12" customHeight="1">
      <c r="A500" s="433">
        <v>490</v>
      </c>
      <c r="B500" s="293" t="s">
        <v>262</v>
      </c>
      <c r="C500" s="294">
        <v>40396</v>
      </c>
      <c r="D500" s="137" t="s">
        <v>30</v>
      </c>
      <c r="E500" s="295">
        <v>4</v>
      </c>
      <c r="F500" s="295">
        <v>1</v>
      </c>
      <c r="G500" s="295">
        <v>23</v>
      </c>
      <c r="H500" s="479">
        <v>280</v>
      </c>
      <c r="I500" s="480">
        <v>40</v>
      </c>
      <c r="J500" s="140">
        <f>(I500/F500)</f>
        <v>40</v>
      </c>
      <c r="K500" s="138">
        <f t="shared" si="44"/>
        <v>7</v>
      </c>
      <c r="L500" s="16">
        <f>14959+9646+7725+4386+3960+14571+6049+4818+2605+3811+4797+6372+2996+165+950.5+1598.5+276+381+768+800+1224+1323+280</f>
        <v>94461</v>
      </c>
      <c r="M500" s="17">
        <f>1646+1123+1125+547+522+2218+896+595+438+656+743+1047+452+23+148+219+42+85+83+91+196+206+40</f>
        <v>13141</v>
      </c>
      <c r="N500" s="135">
        <f>L500/M500</f>
        <v>7.188265733201431</v>
      </c>
      <c r="O500" s="433">
        <v>490</v>
      </c>
    </row>
    <row r="501" spans="1:15" s="68" customFormat="1" ht="12" customHeight="1">
      <c r="A501" s="433">
        <v>491</v>
      </c>
      <c r="B501" s="157" t="s">
        <v>318</v>
      </c>
      <c r="C501" s="2">
        <v>40480</v>
      </c>
      <c r="D501" s="11" t="s">
        <v>8</v>
      </c>
      <c r="E501" s="4">
        <v>21</v>
      </c>
      <c r="F501" s="4">
        <v>1</v>
      </c>
      <c r="G501" s="4">
        <v>16</v>
      </c>
      <c r="H501" s="498">
        <v>273</v>
      </c>
      <c r="I501" s="499">
        <v>53</v>
      </c>
      <c r="J501" s="72">
        <f>+I501/F501</f>
        <v>53</v>
      </c>
      <c r="K501" s="159">
        <f>+H501/I501</f>
        <v>5.150943396226415</v>
      </c>
      <c r="L501" s="5">
        <v>303859</v>
      </c>
      <c r="M501" s="6">
        <v>27922</v>
      </c>
      <c r="N501" s="160">
        <f>+L501/M501</f>
        <v>10.882422462574315</v>
      </c>
      <c r="O501" s="433">
        <v>491</v>
      </c>
    </row>
    <row r="502" spans="1:15" s="68" customFormat="1" ht="12" customHeight="1">
      <c r="A502" s="433">
        <v>492</v>
      </c>
      <c r="B502" s="157" t="s">
        <v>276</v>
      </c>
      <c r="C502" s="2">
        <v>40480</v>
      </c>
      <c r="D502" s="11" t="s">
        <v>8</v>
      </c>
      <c r="E502" s="4">
        <v>1</v>
      </c>
      <c r="F502" s="4">
        <v>1</v>
      </c>
      <c r="G502" s="4">
        <v>10</v>
      </c>
      <c r="H502" s="498">
        <v>266</v>
      </c>
      <c r="I502" s="499">
        <v>38</v>
      </c>
      <c r="J502" s="72">
        <f>+I502/F502</f>
        <v>38</v>
      </c>
      <c r="K502" s="159">
        <f>+H502/I502</f>
        <v>7</v>
      </c>
      <c r="L502" s="5">
        <v>14809</v>
      </c>
      <c r="M502" s="6">
        <v>1110</v>
      </c>
      <c r="N502" s="160">
        <f>+L502/M502</f>
        <v>13.341441441441441</v>
      </c>
      <c r="O502" s="433">
        <v>492</v>
      </c>
    </row>
    <row r="503" spans="1:15" s="68" customFormat="1" ht="12" customHeight="1">
      <c r="A503" s="433">
        <v>493</v>
      </c>
      <c r="B503" s="133" t="s">
        <v>152</v>
      </c>
      <c r="C503" s="22">
        <v>40480</v>
      </c>
      <c r="D503" s="21" t="s">
        <v>28</v>
      </c>
      <c r="E503" s="23">
        <v>135</v>
      </c>
      <c r="F503" s="23">
        <v>1</v>
      </c>
      <c r="G503" s="23">
        <v>11</v>
      </c>
      <c r="H503" s="475">
        <v>265</v>
      </c>
      <c r="I503" s="476">
        <v>52</v>
      </c>
      <c r="J503" s="28">
        <f>I503/F503</f>
        <v>52</v>
      </c>
      <c r="K503" s="180">
        <f>H503/I503</f>
        <v>5.096153846153846</v>
      </c>
      <c r="L503" s="26">
        <f>151771.5+44278.5+20156+4831.5+5960.5+2697+3743.5+81+2518+2320+604+265</f>
        <v>239226.5</v>
      </c>
      <c r="M503" s="28">
        <f>19003+7410+3277+795+995+475+746+11+433+386+91+52</f>
        <v>33674</v>
      </c>
      <c r="N503" s="181">
        <f>L503/M503</f>
        <v>7.10419017639722</v>
      </c>
      <c r="O503" s="433">
        <v>493</v>
      </c>
    </row>
    <row r="504" spans="1:15" s="68" customFormat="1" ht="12" customHeight="1">
      <c r="A504" s="433">
        <v>494</v>
      </c>
      <c r="B504" s="157" t="s">
        <v>270</v>
      </c>
      <c r="C504" s="2">
        <v>40499</v>
      </c>
      <c r="D504" s="10" t="s">
        <v>10</v>
      </c>
      <c r="E504" s="4">
        <v>216</v>
      </c>
      <c r="F504" s="4">
        <v>1</v>
      </c>
      <c r="G504" s="4">
        <v>12</v>
      </c>
      <c r="H504" s="485">
        <v>265</v>
      </c>
      <c r="I504" s="486">
        <v>42</v>
      </c>
      <c r="J504" s="80">
        <f>I504/F504</f>
        <v>42</v>
      </c>
      <c r="K504" s="141">
        <f>H504/I504</f>
        <v>6.309523809523809</v>
      </c>
      <c r="L504" s="30">
        <v>7556060</v>
      </c>
      <c r="M504" s="29">
        <v>797983</v>
      </c>
      <c r="N504" s="153">
        <f>+L504/M504</f>
        <v>9.468948586624025</v>
      </c>
      <c r="O504" s="433">
        <v>494</v>
      </c>
    </row>
    <row r="505" spans="1:15" s="68" customFormat="1" ht="12" customHeight="1">
      <c r="A505" s="433">
        <v>495</v>
      </c>
      <c r="B505" s="332" t="s">
        <v>135</v>
      </c>
      <c r="C505" s="143">
        <v>40522</v>
      </c>
      <c r="D505" s="282" t="s">
        <v>30</v>
      </c>
      <c r="E505" s="144">
        <v>127</v>
      </c>
      <c r="F505" s="144">
        <v>1</v>
      </c>
      <c r="G505" s="144">
        <v>17</v>
      </c>
      <c r="H505" s="481">
        <v>264</v>
      </c>
      <c r="I505" s="482">
        <v>33</v>
      </c>
      <c r="J505" s="145">
        <f>(I505/F505)</f>
        <v>33</v>
      </c>
      <c r="K505" s="146">
        <f>H505/I505</f>
        <v>8</v>
      </c>
      <c r="L505" s="147">
        <f>1048675+809166.5+457718.5+70165.5+7102+12164+8619.5+11777.5+6559.5+3338.5+10420.5+3303+3205+2076+1722.5+314+264</f>
        <v>2456591.5</v>
      </c>
      <c r="M505" s="148">
        <f>92481+73795+43350+8841+1153+2869+1615+2831+1620+630+2477+726+513+481+318+38+33</f>
        <v>233771</v>
      </c>
      <c r="N505" s="149">
        <f>L505/M505</f>
        <v>10.5085382703586</v>
      </c>
      <c r="O505" s="433">
        <v>495</v>
      </c>
    </row>
    <row r="506" spans="1:15" s="68" customFormat="1" ht="12" customHeight="1">
      <c r="A506" s="433">
        <v>496</v>
      </c>
      <c r="B506" s="349" t="s">
        <v>370</v>
      </c>
      <c r="C506" s="84">
        <v>39500</v>
      </c>
      <c r="D506" s="346" t="s">
        <v>28</v>
      </c>
      <c r="E506" s="21">
        <v>230</v>
      </c>
      <c r="F506" s="21">
        <v>2</v>
      </c>
      <c r="G506" s="21">
        <v>32</v>
      </c>
      <c r="H506" s="473">
        <v>260</v>
      </c>
      <c r="I506" s="468">
        <v>52</v>
      </c>
      <c r="J506" s="186">
        <f>I506/F506</f>
        <v>26</v>
      </c>
      <c r="K506" s="234">
        <f>H506/I506</f>
        <v>5</v>
      </c>
      <c r="L506" s="355">
        <f>11178366+8377359.5+4672112.5+2362758+1366481.5+794201+526150+259383+162480.5+71477.5+186652+102815+31501+9708+8823.5+5724+3796+3024+2161+13986+11929.5+905+5825+547+419+6173.5+6130+150+355+12+864+260</f>
        <v>30172530</v>
      </c>
      <c r="M506" s="449">
        <f>1530255+1134702+635170+318515+192563+137173+96324+54461+35028+20139+72208+38598+10936+3213+2963+1896+1251+1004+711+4452+3769+206+1822+128+100+1906+1891+26+73+4+154+52</f>
        <v>4301693</v>
      </c>
      <c r="N506" s="244">
        <f>+L506/M506</f>
        <v>7.014105841583767</v>
      </c>
      <c r="O506" s="433">
        <v>496</v>
      </c>
    </row>
    <row r="507" spans="1:15" s="68" customFormat="1" ht="12" customHeight="1">
      <c r="A507" s="433">
        <v>497</v>
      </c>
      <c r="B507" s="152" t="s">
        <v>270</v>
      </c>
      <c r="C507" s="2">
        <v>40499</v>
      </c>
      <c r="D507" s="9" t="s">
        <v>10</v>
      </c>
      <c r="E507" s="3">
        <v>216</v>
      </c>
      <c r="F507" s="3">
        <v>1</v>
      </c>
      <c r="G507" s="3">
        <v>11</v>
      </c>
      <c r="H507" s="485">
        <v>260</v>
      </c>
      <c r="I507" s="486">
        <v>43</v>
      </c>
      <c r="J507" s="80">
        <f>I507/F507</f>
        <v>43</v>
      </c>
      <c r="K507" s="141">
        <f>H507/I507</f>
        <v>6.046511627906977</v>
      </c>
      <c r="L507" s="30">
        <v>7555795</v>
      </c>
      <c r="M507" s="29">
        <v>797941</v>
      </c>
      <c r="N507" s="153">
        <f>+L507/M507</f>
        <v>9.46911488443381</v>
      </c>
      <c r="O507" s="433">
        <v>497</v>
      </c>
    </row>
    <row r="508" spans="1:15" s="68" customFormat="1" ht="12" customHeight="1">
      <c r="A508" s="433">
        <v>498</v>
      </c>
      <c r="B508" s="154" t="s">
        <v>148</v>
      </c>
      <c r="C508" s="2">
        <v>40452</v>
      </c>
      <c r="D508" s="12" t="s">
        <v>21</v>
      </c>
      <c r="E508" s="3">
        <v>67</v>
      </c>
      <c r="F508" s="3">
        <v>3</v>
      </c>
      <c r="G508" s="3">
        <v>11</v>
      </c>
      <c r="H508" s="489">
        <v>258</v>
      </c>
      <c r="I508" s="488">
        <v>51</v>
      </c>
      <c r="J508" s="72">
        <f>IF(H508&lt;&gt;0,I508/F508,"")</f>
        <v>17</v>
      </c>
      <c r="K508" s="161">
        <f>IF(H508&lt;&gt;0,H508/I508,"")</f>
        <v>5.0588235294117645</v>
      </c>
      <c r="L508" s="24">
        <f>148907+7057+8529+4040+573.5+1227+412+727+521+H508</f>
        <v>172251.5</v>
      </c>
      <c r="M508" s="28">
        <f>14954+1128+1323+621+141+331+59+105+73+I508</f>
        <v>18786</v>
      </c>
      <c r="N508" s="160">
        <f>IF(L508&lt;&gt;0,L508/M508,"")</f>
        <v>9.16914191419142</v>
      </c>
      <c r="O508" s="433">
        <v>498</v>
      </c>
    </row>
    <row r="509" spans="1:15" s="68" customFormat="1" ht="12" customHeight="1">
      <c r="A509" s="433">
        <v>499</v>
      </c>
      <c r="B509" s="157" t="s">
        <v>252</v>
      </c>
      <c r="C509" s="2">
        <v>40466</v>
      </c>
      <c r="D509" s="10" t="s">
        <v>21</v>
      </c>
      <c r="E509" s="4">
        <v>10</v>
      </c>
      <c r="F509" s="4">
        <v>1</v>
      </c>
      <c r="G509" s="4">
        <v>8</v>
      </c>
      <c r="H509" s="487">
        <v>251</v>
      </c>
      <c r="I509" s="488">
        <v>68</v>
      </c>
      <c r="J509" s="72">
        <f>IF(H509&lt;&gt;0,I509/F509,"")</f>
        <v>68</v>
      </c>
      <c r="K509" s="159">
        <f>IF(H509&lt;&gt;0,H509/I509,"")</f>
        <v>3.6911764705882355</v>
      </c>
      <c r="L509" s="25">
        <f>7088+2486+815+33+201+698+325+251</f>
        <v>11897</v>
      </c>
      <c r="M509" s="28">
        <f>735+318+126+5+29+108+44+68</f>
        <v>1433</v>
      </c>
      <c r="N509" s="160">
        <f>IF(L509&lt;&gt;0,L509/M509,"")</f>
        <v>8.302163293789253</v>
      </c>
      <c r="O509" s="433">
        <v>499</v>
      </c>
    </row>
    <row r="510" spans="1:15" s="68" customFormat="1" ht="12" customHeight="1">
      <c r="A510" s="433">
        <v>500</v>
      </c>
      <c r="B510" s="133" t="s">
        <v>249</v>
      </c>
      <c r="C510" s="22">
        <v>40172</v>
      </c>
      <c r="D510" s="282" t="s">
        <v>30</v>
      </c>
      <c r="E510" s="23">
        <v>60</v>
      </c>
      <c r="F510" s="23">
        <v>1</v>
      </c>
      <c r="G510" s="23">
        <v>35</v>
      </c>
      <c r="H510" s="477">
        <v>250</v>
      </c>
      <c r="I510" s="478">
        <v>28</v>
      </c>
      <c r="J510" s="81">
        <f>(I510/F510)</f>
        <v>28</v>
      </c>
      <c r="K510" s="134">
        <f aca="true" t="shared" si="45" ref="K510:K516">H510/I510</f>
        <v>8.928571428571429</v>
      </c>
      <c r="L510" s="8">
        <f>421775.5+397095.5+287050+215248.5+189819.5+180729.5+86816.5+23840+19148+14942.5+8798.5+9599+13618.5+4298+4028+3310+8547+6712.5+1803+1172+973+2291+380.5+3015+1103.5+65+2061.5+1262+1020+2232+2970+5074+2970+1188+250</f>
        <v>1925207.5</v>
      </c>
      <c r="M510" s="7">
        <f>43739+40732+31780+27356+25902+24895+12153+4496+3179+3069+1650+2236+3335+954+829+540+1945+1297+429+261+173+594+53+613+200+10+480+240+102+533+743+1267+742+297+28</f>
        <v>236852</v>
      </c>
      <c r="N510" s="135">
        <f>L510/M510</f>
        <v>8.128314305980105</v>
      </c>
      <c r="O510" s="433">
        <v>500</v>
      </c>
    </row>
    <row r="511" spans="1:15" s="68" customFormat="1" ht="12" customHeight="1">
      <c r="A511" s="433">
        <v>501</v>
      </c>
      <c r="B511" s="150" t="s">
        <v>302</v>
      </c>
      <c r="C511" s="22">
        <v>40466</v>
      </c>
      <c r="D511" s="137" t="s">
        <v>30</v>
      </c>
      <c r="E511" s="139">
        <v>139</v>
      </c>
      <c r="F511" s="139">
        <v>1</v>
      </c>
      <c r="G511" s="139">
        <v>13</v>
      </c>
      <c r="H511" s="479">
        <v>241</v>
      </c>
      <c r="I511" s="480">
        <v>42</v>
      </c>
      <c r="J511" s="140">
        <f>(I511/F511)</f>
        <v>42</v>
      </c>
      <c r="K511" s="138">
        <f t="shared" si="45"/>
        <v>5.738095238095238</v>
      </c>
      <c r="L511" s="16">
        <f>859399.5+611922.5+597511+92540.5+35432.5+12313+8417+3230+2786+1901+208.5+770+241</f>
        <v>2226672.5</v>
      </c>
      <c r="M511" s="17">
        <f>81834+61457+58453+8463+3493+2070+1395+1040+668+474+59+44+42</f>
        <v>219492</v>
      </c>
      <c r="N511" s="135">
        <f>L511/M511</f>
        <v>10.144663586827766</v>
      </c>
      <c r="O511" s="433">
        <v>501</v>
      </c>
    </row>
    <row r="512" spans="1:15" s="68" customFormat="1" ht="12" customHeight="1">
      <c r="A512" s="433">
        <v>502</v>
      </c>
      <c r="B512" s="311" t="s">
        <v>276</v>
      </c>
      <c r="C512" s="84">
        <v>40480</v>
      </c>
      <c r="D512" s="87" t="s">
        <v>8</v>
      </c>
      <c r="E512" s="88">
        <v>1</v>
      </c>
      <c r="F512" s="4">
        <v>1</v>
      </c>
      <c r="G512" s="4">
        <v>14</v>
      </c>
      <c r="H512" s="498">
        <v>241</v>
      </c>
      <c r="I512" s="499">
        <v>33</v>
      </c>
      <c r="J512" s="186">
        <f>I512/F512</f>
        <v>33</v>
      </c>
      <c r="K512" s="234">
        <f t="shared" si="45"/>
        <v>7.303030303030303</v>
      </c>
      <c r="L512" s="5">
        <v>15961</v>
      </c>
      <c r="M512" s="6">
        <v>1285</v>
      </c>
      <c r="N512" s="76">
        <f>L512/M512</f>
        <v>12.421011673151751</v>
      </c>
      <c r="O512" s="433">
        <v>502</v>
      </c>
    </row>
    <row r="513" spans="1:15" s="68" customFormat="1" ht="12" customHeight="1">
      <c r="A513" s="433">
        <v>503</v>
      </c>
      <c r="B513" s="150" t="s">
        <v>277</v>
      </c>
      <c r="C513" s="22">
        <v>39710</v>
      </c>
      <c r="D513" s="137" t="s">
        <v>30</v>
      </c>
      <c r="E513" s="139">
        <v>1</v>
      </c>
      <c r="F513" s="139">
        <v>1</v>
      </c>
      <c r="G513" s="139">
        <v>16</v>
      </c>
      <c r="H513" s="479">
        <v>236</v>
      </c>
      <c r="I513" s="480">
        <v>59</v>
      </c>
      <c r="J513" s="140">
        <f>(I513/F513)</f>
        <v>59</v>
      </c>
      <c r="K513" s="138">
        <f t="shared" si="45"/>
        <v>4</v>
      </c>
      <c r="L513" s="16">
        <f>11305+5960+2538+2056+455+891+1621+1302+712+1484+1484+1424+1188+1188+1188+236</f>
        <v>35032</v>
      </c>
      <c r="M513" s="17">
        <f>835+676+295+239+136+275+187+148+178+371+371+356+297+297+297+59</f>
        <v>5017</v>
      </c>
      <c r="N513" s="135">
        <f>L513/M513</f>
        <v>6.982658959537572</v>
      </c>
      <c r="O513" s="433">
        <v>503</v>
      </c>
    </row>
    <row r="514" spans="1:15" s="68" customFormat="1" ht="12" customHeight="1">
      <c r="A514" s="433">
        <v>504</v>
      </c>
      <c r="B514" s="150" t="s">
        <v>309</v>
      </c>
      <c r="C514" s="22">
        <v>40053</v>
      </c>
      <c r="D514" s="137" t="s">
        <v>30</v>
      </c>
      <c r="E514" s="139">
        <v>14</v>
      </c>
      <c r="F514" s="139">
        <v>1</v>
      </c>
      <c r="G514" s="139">
        <v>12</v>
      </c>
      <c r="H514" s="479">
        <v>236</v>
      </c>
      <c r="I514" s="480">
        <v>59</v>
      </c>
      <c r="J514" s="140">
        <f>(I514/F514)</f>
        <v>59</v>
      </c>
      <c r="K514" s="138">
        <f t="shared" si="45"/>
        <v>4</v>
      </c>
      <c r="L514" s="16">
        <f>46744+27773.5+29652+15092+1850+3126+1717.5+468+83+54+952+236</f>
        <v>127748</v>
      </c>
      <c r="M514" s="17">
        <f>3724+2772+2752+1903+308+472+380+135+20+18+238+59</f>
        <v>12781</v>
      </c>
      <c r="N514" s="135">
        <f>L514/M514</f>
        <v>9.99514904937016</v>
      </c>
      <c r="O514" s="433">
        <v>504</v>
      </c>
    </row>
    <row r="515" spans="1:15" s="68" customFormat="1" ht="12" customHeight="1">
      <c r="A515" s="433">
        <v>505</v>
      </c>
      <c r="B515" s="349" t="s">
        <v>323</v>
      </c>
      <c r="C515" s="359">
        <v>40522</v>
      </c>
      <c r="D515" s="346" t="s">
        <v>8</v>
      </c>
      <c r="E515" s="14">
        <v>110</v>
      </c>
      <c r="F515" s="14">
        <v>1</v>
      </c>
      <c r="G515" s="14">
        <v>14</v>
      </c>
      <c r="H515" s="502">
        <v>234</v>
      </c>
      <c r="I515" s="503">
        <v>35</v>
      </c>
      <c r="J515" s="186">
        <f>I515/F515</f>
        <v>35</v>
      </c>
      <c r="K515" s="234">
        <f t="shared" si="45"/>
        <v>6.685714285714286</v>
      </c>
      <c r="L515" s="13">
        <v>5015345</v>
      </c>
      <c r="M515" s="312">
        <v>477364</v>
      </c>
      <c r="N515" s="235">
        <f>+L515/M515</f>
        <v>10.506332693709622</v>
      </c>
      <c r="O515" s="433">
        <v>505</v>
      </c>
    </row>
    <row r="516" spans="1:15" s="68" customFormat="1" ht="12" customHeight="1">
      <c r="A516" s="433">
        <v>506</v>
      </c>
      <c r="B516" s="335" t="s">
        <v>685</v>
      </c>
      <c r="C516" s="360">
        <v>39836</v>
      </c>
      <c r="D516" s="345" t="s">
        <v>30</v>
      </c>
      <c r="E516" s="21">
        <v>13</v>
      </c>
      <c r="F516" s="21">
        <v>1</v>
      </c>
      <c r="G516" s="21">
        <v>29</v>
      </c>
      <c r="H516" s="500">
        <v>230</v>
      </c>
      <c r="I516" s="470">
        <v>60</v>
      </c>
      <c r="J516" s="186">
        <f>I516/F516</f>
        <v>60</v>
      </c>
      <c r="K516" s="161">
        <f t="shared" si="45"/>
        <v>3.8333333333333335</v>
      </c>
      <c r="L516" s="8">
        <f>57133.5+23554+18557+9186+29743.5+13631.5+13446+7072+7029+8018.5+7220.5+2856.5+1828+102+3517+635+324+30+2146+1842+376+154+799+463.52+415.64+339.28+4160+712+230</f>
        <v>215521.44</v>
      </c>
      <c r="M516" s="17">
        <f>5405+2651+2356+1389+3583+1713+1661+1216+1174+1324+1425+542+453+16+757+96+108+10+508+436+35+14+67+102+95+80+1040+178+60</f>
        <v>28494</v>
      </c>
      <c r="N516" s="396">
        <f>L516/M516</f>
        <v>7.5637481575068435</v>
      </c>
      <c r="O516" s="433">
        <v>506</v>
      </c>
    </row>
    <row r="517" spans="1:15" s="68" customFormat="1" ht="12" customHeight="1">
      <c r="A517" s="433">
        <v>507</v>
      </c>
      <c r="B517" s="157" t="s">
        <v>159</v>
      </c>
      <c r="C517" s="2">
        <v>40529</v>
      </c>
      <c r="D517" s="10" t="s">
        <v>21</v>
      </c>
      <c r="E517" s="4">
        <v>134</v>
      </c>
      <c r="F517" s="4">
        <v>1</v>
      </c>
      <c r="G517" s="4">
        <v>8</v>
      </c>
      <c r="H517" s="487">
        <v>230</v>
      </c>
      <c r="I517" s="488">
        <v>38</v>
      </c>
      <c r="J517" s="72">
        <f>IF(H517&lt;&gt;0,I517/F517,"")</f>
        <v>38</v>
      </c>
      <c r="K517" s="159">
        <f>IF(H517&lt;&gt;0,H517/I517,"")</f>
        <v>6.052631578947368</v>
      </c>
      <c r="L517" s="25">
        <f>415183+3929+3246+2363+1074+230</f>
        <v>426025</v>
      </c>
      <c r="M517" s="28">
        <f>52315+638+476+361+299+38</f>
        <v>54127</v>
      </c>
      <c r="N517" s="160">
        <f>IF(L517&lt;&gt;0,L517/M517,"")</f>
        <v>7.870840800339941</v>
      </c>
      <c r="O517" s="433">
        <v>507</v>
      </c>
    </row>
    <row r="518" spans="1:15" s="68" customFormat="1" ht="12" customHeight="1">
      <c r="A518" s="433">
        <v>508</v>
      </c>
      <c r="B518" s="150" t="s">
        <v>329</v>
      </c>
      <c r="C518" s="22">
        <v>40508</v>
      </c>
      <c r="D518" s="137" t="s">
        <v>30</v>
      </c>
      <c r="E518" s="139">
        <v>34</v>
      </c>
      <c r="F518" s="139">
        <v>1</v>
      </c>
      <c r="G518" s="139">
        <v>9</v>
      </c>
      <c r="H518" s="479">
        <v>229</v>
      </c>
      <c r="I518" s="480">
        <v>33</v>
      </c>
      <c r="J518" s="140">
        <f>(I518/F518)</f>
        <v>33</v>
      </c>
      <c r="K518" s="138">
        <f>H518/I518</f>
        <v>6.9393939393939394</v>
      </c>
      <c r="L518" s="16">
        <f>122173+87330+23120+25637+29159.5+14630.5+403+1246+229</f>
        <v>303928</v>
      </c>
      <c r="M518" s="17">
        <f>10588+8153+2702+3877+4807+2283+58+199+33</f>
        <v>32700</v>
      </c>
      <c r="N518" s="135">
        <f>L518/M518</f>
        <v>9.294434250764526</v>
      </c>
      <c r="O518" s="433">
        <v>508</v>
      </c>
    </row>
    <row r="519" spans="1:15" s="68" customFormat="1" ht="12" customHeight="1">
      <c r="A519" s="433">
        <v>509</v>
      </c>
      <c r="B519" s="133" t="s">
        <v>274</v>
      </c>
      <c r="C519" s="360">
        <v>39738</v>
      </c>
      <c r="D519" s="345" t="s">
        <v>30</v>
      </c>
      <c r="E519" s="21">
        <v>67</v>
      </c>
      <c r="F519" s="21">
        <v>1</v>
      </c>
      <c r="G519" s="21">
        <v>45</v>
      </c>
      <c r="H519" s="479">
        <v>226</v>
      </c>
      <c r="I519" s="480">
        <v>36</v>
      </c>
      <c r="J519" s="186">
        <f>I519/F519</f>
        <v>36</v>
      </c>
      <c r="K519" s="161">
        <f>H519/I519</f>
        <v>6.277777777777778</v>
      </c>
      <c r="L519" s="16">
        <f>575413.5+2968+2376+2737+2376+2376+4752+2376+952+1780+226</f>
        <v>598332.5</v>
      </c>
      <c r="M519" s="17">
        <f>83313+742+594+635+594+594+1188+594+238+445+36</f>
        <v>88973</v>
      </c>
      <c r="N519" s="396">
        <f>L519/M519</f>
        <v>6.724877209940094</v>
      </c>
      <c r="O519" s="433">
        <v>509</v>
      </c>
    </row>
    <row r="520" spans="1:15" s="68" customFormat="1" ht="12" customHeight="1">
      <c r="A520" s="433">
        <v>510</v>
      </c>
      <c r="B520" s="530" t="s">
        <v>330</v>
      </c>
      <c r="C520" s="458">
        <v>40480</v>
      </c>
      <c r="D520" s="451" t="s">
        <v>30</v>
      </c>
      <c r="E520" s="466">
        <v>100</v>
      </c>
      <c r="F520" s="466">
        <v>1</v>
      </c>
      <c r="G520" s="466">
        <v>21</v>
      </c>
      <c r="H520" s="469">
        <v>222</v>
      </c>
      <c r="I520" s="470">
        <v>44</v>
      </c>
      <c r="J520" s="452">
        <f>I520/F520</f>
        <v>44</v>
      </c>
      <c r="K520" s="453">
        <f>H520/I520</f>
        <v>5.045454545454546</v>
      </c>
      <c r="L520" s="455">
        <f>1221166+429124.5+378100+240009.5+108018.5+26890.5+15319+16968+7345.5+4160+1262+1510+3920.5+2732.5+8910+571+670+102+4457+119+222</f>
        <v>2471577.5</v>
      </c>
      <c r="M520" s="456">
        <f>114702+40612+35598+23284+12543+4168+3055+2661+1161+850+210+377+981+684+2228+92+109+26+857+22+44</f>
        <v>244264</v>
      </c>
      <c r="N520" s="454">
        <f>+L520/M520</f>
        <v>10.118468132839878</v>
      </c>
      <c r="O520" s="433">
        <v>510</v>
      </c>
    </row>
    <row r="521" spans="1:15" s="68" customFormat="1" ht="12" customHeight="1">
      <c r="A521" s="433">
        <v>511</v>
      </c>
      <c r="B521" s="136" t="s">
        <v>302</v>
      </c>
      <c r="C521" s="22">
        <v>40466</v>
      </c>
      <c r="D521" s="137" t="s">
        <v>30</v>
      </c>
      <c r="E521" s="23">
        <v>139</v>
      </c>
      <c r="F521" s="23">
        <v>1</v>
      </c>
      <c r="G521" s="23">
        <v>11</v>
      </c>
      <c r="H521" s="477">
        <v>208.5</v>
      </c>
      <c r="I521" s="478">
        <v>59</v>
      </c>
      <c r="J521" s="81">
        <f>(I521/F521)</f>
        <v>59</v>
      </c>
      <c r="K521" s="134">
        <f>H521/I521</f>
        <v>3.5338983050847457</v>
      </c>
      <c r="L521" s="8">
        <f>859399.5+611922.5+597511+92540.5+35432.5+12313+8417+3230+2786+1901+208.5</f>
        <v>2225661.5</v>
      </c>
      <c r="M521" s="7">
        <f>81834+61457+58453+8463+3493+2070+1395+1040+668+474+59</f>
        <v>219406</v>
      </c>
      <c r="N521" s="135">
        <f>L521/M521</f>
        <v>10.14403206840287</v>
      </c>
      <c r="O521" s="433">
        <v>511</v>
      </c>
    </row>
    <row r="522" spans="1:15" s="68" customFormat="1" ht="12" customHeight="1">
      <c r="A522" s="433">
        <v>512</v>
      </c>
      <c r="B522" s="133" t="s">
        <v>249</v>
      </c>
      <c r="C522" s="283">
        <v>40172</v>
      </c>
      <c r="D522" s="284" t="s">
        <v>30</v>
      </c>
      <c r="E522" s="285">
        <v>60</v>
      </c>
      <c r="F522" s="285">
        <v>1</v>
      </c>
      <c r="G522" s="285">
        <v>36</v>
      </c>
      <c r="H522" s="477">
        <v>200</v>
      </c>
      <c r="I522" s="478">
        <v>20</v>
      </c>
      <c r="J522" s="80">
        <v>20</v>
      </c>
      <c r="K522" s="141">
        <v>10</v>
      </c>
      <c r="L522" s="8">
        <v>1925407.5</v>
      </c>
      <c r="M522" s="7">
        <v>236872</v>
      </c>
      <c r="N522" s="135">
        <v>8.12847233949137</v>
      </c>
      <c r="O522" s="433">
        <v>512</v>
      </c>
    </row>
    <row r="523" spans="1:15" s="68" customFormat="1" ht="12" customHeight="1">
      <c r="A523" s="433">
        <v>513</v>
      </c>
      <c r="B523" s="133" t="s">
        <v>305</v>
      </c>
      <c r="C523" s="22">
        <v>40466</v>
      </c>
      <c r="D523" s="183" t="s">
        <v>23</v>
      </c>
      <c r="E523" s="23">
        <v>119</v>
      </c>
      <c r="F523" s="23">
        <v>2</v>
      </c>
      <c r="G523" s="23">
        <v>13</v>
      </c>
      <c r="H523" s="475">
        <v>185</v>
      </c>
      <c r="I523" s="476">
        <v>40</v>
      </c>
      <c r="J523" s="28">
        <f>I523/F523</f>
        <v>20</v>
      </c>
      <c r="K523" s="180">
        <f>+H523/I523</f>
        <v>4.625</v>
      </c>
      <c r="L523" s="26">
        <v>2010821</v>
      </c>
      <c r="M523" s="28">
        <v>174472</v>
      </c>
      <c r="N523" s="181">
        <f>+L523/M523</f>
        <v>11.525178825255628</v>
      </c>
      <c r="O523" s="433">
        <v>513</v>
      </c>
    </row>
    <row r="524" spans="1:15" s="68" customFormat="1" ht="12" customHeight="1">
      <c r="A524" s="433">
        <v>514</v>
      </c>
      <c r="B524" s="152" t="s">
        <v>268</v>
      </c>
      <c r="C524" s="2">
        <v>40207</v>
      </c>
      <c r="D524" s="12" t="s">
        <v>21</v>
      </c>
      <c r="E524" s="3">
        <v>47</v>
      </c>
      <c r="F524" s="3">
        <v>1</v>
      </c>
      <c r="G524" s="3">
        <v>41</v>
      </c>
      <c r="H524" s="487">
        <v>184</v>
      </c>
      <c r="I524" s="488">
        <v>46</v>
      </c>
      <c r="J524" s="72">
        <f>IF(H524&lt;&gt;0,I524/F524,"")</f>
        <v>46</v>
      </c>
      <c r="K524" s="159">
        <f>IF(H524&lt;&gt;0,H524/I524,"")</f>
        <v>4</v>
      </c>
      <c r="L524" s="25">
        <f>1883790+184</f>
        <v>1883974</v>
      </c>
      <c r="M524" s="28">
        <f>162822+46</f>
        <v>162868</v>
      </c>
      <c r="N524" s="160">
        <f>IF(L524&lt;&gt;0,L524/M524,"")</f>
        <v>11.567490237492938</v>
      </c>
      <c r="O524" s="433">
        <v>514</v>
      </c>
    </row>
    <row r="525" spans="1:15" s="68" customFormat="1" ht="12" customHeight="1">
      <c r="A525" s="433">
        <v>515</v>
      </c>
      <c r="B525" s="302" t="s">
        <v>266</v>
      </c>
      <c r="C525" s="184">
        <v>40459</v>
      </c>
      <c r="D525" s="303" t="s">
        <v>10</v>
      </c>
      <c r="E525" s="304">
        <v>55</v>
      </c>
      <c r="F525" s="304">
        <v>1</v>
      </c>
      <c r="G525" s="304">
        <v>16</v>
      </c>
      <c r="H525" s="485">
        <v>182</v>
      </c>
      <c r="I525" s="486">
        <v>40</v>
      </c>
      <c r="J525" s="80">
        <v>40</v>
      </c>
      <c r="K525" s="141">
        <v>4.55</v>
      </c>
      <c r="L525" s="30">
        <v>2714293</v>
      </c>
      <c r="M525" s="29">
        <v>237065</v>
      </c>
      <c r="N525" s="153">
        <v>11.449572901946723</v>
      </c>
      <c r="O525" s="433">
        <v>515</v>
      </c>
    </row>
    <row r="526" spans="1:15" s="68" customFormat="1" ht="12" customHeight="1">
      <c r="A526" s="433">
        <v>516</v>
      </c>
      <c r="B526" s="157" t="s">
        <v>142</v>
      </c>
      <c r="C526" s="2">
        <v>40529</v>
      </c>
      <c r="D526" s="10" t="s">
        <v>134</v>
      </c>
      <c r="E526" s="4">
        <v>81</v>
      </c>
      <c r="F526" s="4">
        <v>1</v>
      </c>
      <c r="G526" s="4">
        <v>12</v>
      </c>
      <c r="H526" s="494">
        <v>176</v>
      </c>
      <c r="I526" s="493">
        <v>26</v>
      </c>
      <c r="J526" s="168">
        <f>I526/F526</f>
        <v>26</v>
      </c>
      <c r="K526" s="169">
        <f>H526/I526</f>
        <v>6.769230769230769</v>
      </c>
      <c r="L526" s="170">
        <v>487699</v>
      </c>
      <c r="M526" s="171">
        <v>59278</v>
      </c>
      <c r="N526" s="172">
        <f>+L526/M526</f>
        <v>8.227318735449915</v>
      </c>
      <c r="O526" s="433">
        <v>516</v>
      </c>
    </row>
    <row r="527" spans="1:15" s="68" customFormat="1" ht="12" customHeight="1">
      <c r="A527" s="433">
        <v>517</v>
      </c>
      <c r="B527" s="136" t="s">
        <v>155</v>
      </c>
      <c r="C527" s="22">
        <v>40473</v>
      </c>
      <c r="D527" s="21" t="s">
        <v>28</v>
      </c>
      <c r="E527" s="23">
        <v>36</v>
      </c>
      <c r="F527" s="23">
        <v>1</v>
      </c>
      <c r="G527" s="23">
        <v>8</v>
      </c>
      <c r="H527" s="467">
        <v>172</v>
      </c>
      <c r="I527" s="476">
        <v>27</v>
      </c>
      <c r="J527" s="72">
        <f>IF(H527&lt;&gt;0,I527/F527,"")</f>
        <v>27</v>
      </c>
      <c r="K527" s="161">
        <f>IF(H527&lt;&gt;0,H527/I527,"")</f>
        <v>6.37037037037037</v>
      </c>
      <c r="L527" s="18">
        <f>34961.5+23009.5+1351+805+533+530+156+172</f>
        <v>61518</v>
      </c>
      <c r="M527" s="28">
        <f>4408+3132+214+122+62+78+26+27</f>
        <v>8069</v>
      </c>
      <c r="N527" s="160">
        <f>IF(L527&lt;&gt;0,L527/M527,"")</f>
        <v>7.6239930598587184</v>
      </c>
      <c r="O527" s="433">
        <v>517</v>
      </c>
    </row>
    <row r="528" spans="1:15" s="68" customFormat="1" ht="12" customHeight="1">
      <c r="A528" s="433">
        <v>518</v>
      </c>
      <c r="B528" s="150" t="s">
        <v>305</v>
      </c>
      <c r="C528" s="22">
        <v>40466</v>
      </c>
      <c r="D528" s="137" t="s">
        <v>23</v>
      </c>
      <c r="E528" s="139">
        <v>119</v>
      </c>
      <c r="F528" s="139">
        <v>1</v>
      </c>
      <c r="G528" s="139">
        <v>17</v>
      </c>
      <c r="H528" s="475">
        <v>168</v>
      </c>
      <c r="I528" s="476">
        <v>28</v>
      </c>
      <c r="J528" s="28">
        <f>I528/F528</f>
        <v>28</v>
      </c>
      <c r="K528" s="180">
        <f>+H528/I528</f>
        <v>6</v>
      </c>
      <c r="L528" s="26">
        <v>2014279</v>
      </c>
      <c r="M528" s="28">
        <v>175347</v>
      </c>
      <c r="N528" s="181">
        <f>+L528/M528</f>
        <v>11.487387865204424</v>
      </c>
      <c r="O528" s="433">
        <v>518</v>
      </c>
    </row>
    <row r="529" spans="1:15" s="68" customFormat="1" ht="12" customHeight="1">
      <c r="A529" s="433">
        <v>519</v>
      </c>
      <c r="B529" s="365" t="s">
        <v>274</v>
      </c>
      <c r="C529" s="361">
        <v>39738</v>
      </c>
      <c r="D529" s="345" t="s">
        <v>30</v>
      </c>
      <c r="E529" s="362">
        <v>67</v>
      </c>
      <c r="F529" s="21">
        <v>1</v>
      </c>
      <c r="G529" s="21">
        <v>47</v>
      </c>
      <c r="H529" s="479">
        <v>162</v>
      </c>
      <c r="I529" s="480">
        <v>39</v>
      </c>
      <c r="J529" s="186">
        <f>I529/F529</f>
        <v>39</v>
      </c>
      <c r="K529" s="161">
        <f>H529/I529</f>
        <v>4.153846153846154</v>
      </c>
      <c r="L529" s="16">
        <f>575413.5+2968+2376+2737+2376+2376+4752+2376+952+1780+226+286+162</f>
        <v>598780.5</v>
      </c>
      <c r="M529" s="17">
        <f>83313+742+594+635+594+594+1188+594+238+445+36+42+39</f>
        <v>89054</v>
      </c>
      <c r="N529" s="216">
        <f>+L529/M529</f>
        <v>6.723791182877805</v>
      </c>
      <c r="O529" s="433">
        <v>519</v>
      </c>
    </row>
    <row r="530" spans="1:15" s="68" customFormat="1" ht="12" customHeight="1">
      <c r="A530" s="433">
        <v>520</v>
      </c>
      <c r="B530" s="370" t="s">
        <v>246</v>
      </c>
      <c r="C530" s="360">
        <v>40529</v>
      </c>
      <c r="D530" s="344" t="s">
        <v>30</v>
      </c>
      <c r="E530" s="23">
        <v>147</v>
      </c>
      <c r="F530" s="23">
        <v>1</v>
      </c>
      <c r="G530" s="23">
        <v>16</v>
      </c>
      <c r="H530" s="477">
        <v>162</v>
      </c>
      <c r="I530" s="478">
        <v>26</v>
      </c>
      <c r="J530" s="72">
        <f>I530/F530</f>
        <v>26</v>
      </c>
      <c r="K530" s="73">
        <f>H530/I530</f>
        <v>6.230769230769231</v>
      </c>
      <c r="L530" s="8">
        <f>691567.5+648414.5+518408+71321.5+45526+17480+7409+4406.5+1874+5613.5+4027+1099+82+1188+713+162</f>
        <v>2019291.5</v>
      </c>
      <c r="M530" s="7">
        <f>79327+75064+61133+10266+7792+4345+1731+935+303+1204+784+172+12+297+178+26</f>
        <v>243569</v>
      </c>
      <c r="N530" s="74">
        <f>+L530/M530</f>
        <v>8.29042899547972</v>
      </c>
      <c r="O530" s="433">
        <v>520</v>
      </c>
    </row>
    <row r="531" spans="1:15" s="68" customFormat="1" ht="12" customHeight="1">
      <c r="A531" s="433">
        <v>521</v>
      </c>
      <c r="B531" s="133" t="s">
        <v>138</v>
      </c>
      <c r="C531" s="22">
        <v>40459</v>
      </c>
      <c r="D531" s="20" t="s">
        <v>30</v>
      </c>
      <c r="E531" s="23">
        <v>142</v>
      </c>
      <c r="F531" s="23">
        <v>1</v>
      </c>
      <c r="G531" s="23">
        <v>18</v>
      </c>
      <c r="H531" s="477">
        <v>151</v>
      </c>
      <c r="I531" s="478">
        <v>24</v>
      </c>
      <c r="J531" s="81">
        <f>(I531/F531)</f>
        <v>24</v>
      </c>
      <c r="K531" s="134">
        <f>H531/I531</f>
        <v>6.291666666666667</v>
      </c>
      <c r="L531" s="8">
        <f>569713+434829.5+295345.5+223420+26108+12415.5+5998+1904+1368+799+648+306+1782+594+1782+1425.5+3089+151</f>
        <v>1581678</v>
      </c>
      <c r="M531" s="7">
        <f>61050+47827+36467+29781+4601+2405+1000+284+287+123+103+51+445+113+446+267+708+24</f>
        <v>185982</v>
      </c>
      <c r="N531" s="135">
        <f>L531/M531</f>
        <v>8.504468174339452</v>
      </c>
      <c r="O531" s="433">
        <v>521</v>
      </c>
    </row>
    <row r="532" spans="1:15" s="68" customFormat="1" ht="12" customHeight="1">
      <c r="A532" s="433">
        <v>522</v>
      </c>
      <c r="B532" s="190" t="s">
        <v>151</v>
      </c>
      <c r="C532" s="191">
        <v>40515</v>
      </c>
      <c r="D532" s="192" t="s">
        <v>23</v>
      </c>
      <c r="E532" s="193">
        <v>122</v>
      </c>
      <c r="F532" s="193">
        <v>1</v>
      </c>
      <c r="G532" s="193">
        <v>14</v>
      </c>
      <c r="H532" s="471">
        <v>147</v>
      </c>
      <c r="I532" s="472">
        <v>21</v>
      </c>
      <c r="J532" s="194">
        <f>I532/F532</f>
        <v>21</v>
      </c>
      <c r="K532" s="195">
        <f>+H532/I532</f>
        <v>7</v>
      </c>
      <c r="L532" s="196">
        <v>613933</v>
      </c>
      <c r="M532" s="194">
        <v>73244</v>
      </c>
      <c r="N532" s="197">
        <f>+L532/M532</f>
        <v>8.382024466167877</v>
      </c>
      <c r="O532" s="433">
        <v>522</v>
      </c>
    </row>
    <row r="533" spans="1:15" s="68" customFormat="1" ht="12" customHeight="1">
      <c r="A533" s="433">
        <v>523</v>
      </c>
      <c r="B533" s="349" t="s">
        <v>376</v>
      </c>
      <c r="C533" s="359">
        <v>39857</v>
      </c>
      <c r="D533" s="346" t="s">
        <v>28</v>
      </c>
      <c r="E533" s="21">
        <v>372</v>
      </c>
      <c r="F533" s="21">
        <v>2</v>
      </c>
      <c r="G533" s="21">
        <v>25</v>
      </c>
      <c r="H533" s="467">
        <v>140</v>
      </c>
      <c r="I533" s="468">
        <v>28</v>
      </c>
      <c r="J533" s="186">
        <f>I533/F533</f>
        <v>14</v>
      </c>
      <c r="K533" s="234">
        <f>H533/I533</f>
        <v>5</v>
      </c>
      <c r="L533" s="18">
        <f>17329163.5+9384321+4035301-111+1596787.5-52+594784+289448.5+142806.5+57257.5+10859.5+1656+13165+452+3902+124+16239+3704+0.5+78+78+442+474+277+19+12010+140</f>
        <v>33493326.5</v>
      </c>
      <c r="M533" s="19">
        <f>2236432+1203711+519916+206906+76573+36964+29367+10451+1641+205+2816+174+976+16+3753+578+12+13+73+79+55+3+2402+28</f>
        <v>4333144</v>
      </c>
      <c r="N533" s="244">
        <f>+L533/M533</f>
        <v>7.729566914923668</v>
      </c>
      <c r="O533" s="433">
        <v>523</v>
      </c>
    </row>
    <row r="534" spans="1:15" s="68" customFormat="1" ht="12" customHeight="1">
      <c r="A534" s="433">
        <v>524</v>
      </c>
      <c r="B534" s="296" t="s">
        <v>420</v>
      </c>
      <c r="C534" s="297">
        <v>40438</v>
      </c>
      <c r="D534" s="85" t="s">
        <v>30</v>
      </c>
      <c r="E534" s="373">
        <v>19</v>
      </c>
      <c r="F534" s="373">
        <v>1</v>
      </c>
      <c r="G534" s="373">
        <v>15</v>
      </c>
      <c r="H534" s="477">
        <v>140</v>
      </c>
      <c r="I534" s="478">
        <v>14</v>
      </c>
      <c r="J534" s="72">
        <f>I534/F534</f>
        <v>14</v>
      </c>
      <c r="K534" s="73">
        <f>H534/I534</f>
        <v>10</v>
      </c>
      <c r="L534" s="8">
        <f>56752.5+38871+22868.5+4839+2786+2829.5+8012+670+1368+140+42+628+1188+1425.5+140</f>
        <v>142560</v>
      </c>
      <c r="M534" s="7">
        <f>4639+3072+2103+531+316+368+936+83+203+20+6+98+297+356+14</f>
        <v>13042</v>
      </c>
      <c r="N534" s="76">
        <f>L534/M534</f>
        <v>10.930838828400551</v>
      </c>
      <c r="O534" s="433">
        <v>524</v>
      </c>
    </row>
    <row r="535" spans="1:15" s="68" customFormat="1" ht="12" customHeight="1">
      <c r="A535" s="433">
        <v>525</v>
      </c>
      <c r="B535" s="343" t="s">
        <v>326</v>
      </c>
      <c r="C535" s="313">
        <v>40137</v>
      </c>
      <c r="D535" s="20" t="s">
        <v>30</v>
      </c>
      <c r="E535" s="314">
        <v>147</v>
      </c>
      <c r="F535" s="314">
        <v>1</v>
      </c>
      <c r="G535" s="314">
        <v>31</v>
      </c>
      <c r="H535" s="477">
        <v>138</v>
      </c>
      <c r="I535" s="478">
        <v>23</v>
      </c>
      <c r="J535" s="81">
        <v>22</v>
      </c>
      <c r="K535" s="134">
        <v>10</v>
      </c>
      <c r="L535" s="8">
        <f>10813638+1782+94+1782+138</f>
        <v>10817434</v>
      </c>
      <c r="M535" s="7">
        <f>1242823+446+17+445+23</f>
        <v>1243754</v>
      </c>
      <c r="N535" s="135">
        <v>8.700867299687888</v>
      </c>
      <c r="O535" s="433">
        <v>525</v>
      </c>
    </row>
    <row r="536" spans="1:15" s="68" customFormat="1" ht="12" customHeight="1">
      <c r="A536" s="433">
        <v>526</v>
      </c>
      <c r="B536" s="157" t="s">
        <v>148</v>
      </c>
      <c r="C536" s="2">
        <v>40452</v>
      </c>
      <c r="D536" s="10" t="s">
        <v>21</v>
      </c>
      <c r="E536" s="4">
        <v>67</v>
      </c>
      <c r="F536" s="4">
        <v>1</v>
      </c>
      <c r="G536" s="4">
        <v>13</v>
      </c>
      <c r="H536" s="489">
        <v>129</v>
      </c>
      <c r="I536" s="497">
        <v>19</v>
      </c>
      <c r="J536" s="186">
        <f>IF(H536&lt;&gt;0,I536/F536,"")</f>
        <v>19</v>
      </c>
      <c r="K536" s="161">
        <f>IF(H536&lt;&gt;0,H536/I536,"")</f>
        <v>6.7894736842105265</v>
      </c>
      <c r="L536" s="24">
        <f>148907+7057+8529+4040+573.5+1227+412+727+521+258+1188+129</f>
        <v>173568.5</v>
      </c>
      <c r="M536" s="19">
        <f>14954+1128+1323+621+141+331+59+105+73+51+297+19</f>
        <v>19102</v>
      </c>
      <c r="N536" s="160">
        <f>IF(L536&lt;&gt;0,L536/M536,"")</f>
        <v>9.086404564967019</v>
      </c>
      <c r="O536" s="433">
        <v>526</v>
      </c>
    </row>
    <row r="537" spans="1:15" s="68" customFormat="1" ht="12" customHeight="1">
      <c r="A537" s="433">
        <v>527</v>
      </c>
      <c r="B537" s="301" t="s">
        <v>327</v>
      </c>
      <c r="C537" s="294">
        <v>40473</v>
      </c>
      <c r="D537" s="137" t="s">
        <v>30</v>
      </c>
      <c r="E537" s="300">
        <v>2</v>
      </c>
      <c r="F537" s="300">
        <v>1</v>
      </c>
      <c r="G537" s="300">
        <v>6</v>
      </c>
      <c r="H537" s="479">
        <v>129</v>
      </c>
      <c r="I537" s="478">
        <v>14</v>
      </c>
      <c r="J537" s="81">
        <f>(I537/F537)</f>
        <v>14</v>
      </c>
      <c r="K537" s="138">
        <f>H537/I537</f>
        <v>9.214285714285714</v>
      </c>
      <c r="L537" s="16">
        <f>6832+2665+3612+1330+1973+129</f>
        <v>16541</v>
      </c>
      <c r="M537" s="7">
        <f>659+312+817+151+365+14</f>
        <v>2318</v>
      </c>
      <c r="N537" s="135">
        <f>L537/M537</f>
        <v>7.135893011216566</v>
      </c>
      <c r="O537" s="433">
        <v>527</v>
      </c>
    </row>
    <row r="538" spans="1:15" s="68" customFormat="1" ht="12" customHeight="1">
      <c r="A538" s="433">
        <v>528</v>
      </c>
      <c r="B538" s="446" t="s">
        <v>330</v>
      </c>
      <c r="C538" s="372">
        <v>40480</v>
      </c>
      <c r="D538" s="344" t="s">
        <v>30</v>
      </c>
      <c r="E538" s="347">
        <v>100</v>
      </c>
      <c r="F538" s="347">
        <v>1</v>
      </c>
      <c r="G538" s="347">
        <v>20</v>
      </c>
      <c r="H538" s="479">
        <v>119</v>
      </c>
      <c r="I538" s="480">
        <v>22</v>
      </c>
      <c r="J538" s="186">
        <f>I538/F538</f>
        <v>22</v>
      </c>
      <c r="K538" s="234">
        <f>H538/I538</f>
        <v>5.409090909090909</v>
      </c>
      <c r="L538" s="16">
        <f>1221166+429124.5+378100+240009.5+108018.5+26890.5+15319+16968+7345.5+4160+1262+1510+3920.5+2732.5+8910+571+670+102+4457+119</f>
        <v>2471355.5</v>
      </c>
      <c r="M538" s="17">
        <f>114702+40612+35598+23284+12543+4168+3055+2661+1161+850+210+377+981+684+2228+92+109+26+857+22</f>
        <v>244220</v>
      </c>
      <c r="N538" s="244">
        <f>+L538/M538</f>
        <v>10.119382114486937</v>
      </c>
      <c r="O538" s="433">
        <v>528</v>
      </c>
    </row>
    <row r="539" spans="1:15" s="68" customFormat="1" ht="12" customHeight="1">
      <c r="A539" s="433">
        <v>529</v>
      </c>
      <c r="B539" s="152" t="s">
        <v>268</v>
      </c>
      <c r="C539" s="2">
        <v>40207</v>
      </c>
      <c r="D539" s="9" t="s">
        <v>21</v>
      </c>
      <c r="E539" s="3">
        <v>47</v>
      </c>
      <c r="F539" s="3">
        <v>1</v>
      </c>
      <c r="G539" s="3">
        <v>44</v>
      </c>
      <c r="H539" s="487">
        <v>110</v>
      </c>
      <c r="I539" s="488">
        <v>11</v>
      </c>
      <c r="J539" s="72">
        <f>IF(H539&lt;&gt;0,I539/F539,"")</f>
        <v>11</v>
      </c>
      <c r="K539" s="159">
        <f>IF(H539&lt;&gt;0,H539/I539,"")</f>
        <v>10</v>
      </c>
      <c r="L539" s="25">
        <f>1883790+184+100+80+110</f>
        <v>1884264</v>
      </c>
      <c r="M539" s="28">
        <f>162822+46+10+8+11</f>
        <v>162897</v>
      </c>
      <c r="N539" s="160">
        <f>IF(L539&lt;&gt;0,L539/M539,"")</f>
        <v>11.567211182526382</v>
      </c>
      <c r="O539" s="433">
        <v>529</v>
      </c>
    </row>
    <row r="540" spans="1:15" s="68" customFormat="1" ht="12" customHeight="1">
      <c r="A540" s="433">
        <v>530</v>
      </c>
      <c r="B540" s="150" t="s">
        <v>164</v>
      </c>
      <c r="C540" s="22">
        <v>40487</v>
      </c>
      <c r="D540" s="137" t="s">
        <v>28</v>
      </c>
      <c r="E540" s="139">
        <v>162</v>
      </c>
      <c r="F540" s="139">
        <v>1</v>
      </c>
      <c r="G540" s="139">
        <v>15</v>
      </c>
      <c r="H540" s="467">
        <v>102</v>
      </c>
      <c r="I540" s="468">
        <v>17</v>
      </c>
      <c r="J540" s="186">
        <f>+I540/F540</f>
        <v>17</v>
      </c>
      <c r="K540" s="161">
        <f>+H540/I540</f>
        <v>6</v>
      </c>
      <c r="L540" s="18">
        <f>525983.5+915356-20+520720.5+229861+37809.5+41066.5+9062.5+5020+8527+1340+1644+1941+1056+313+102</f>
        <v>2299782.5</v>
      </c>
      <c r="M540" s="19">
        <f>56225+93965-2+58841+28041+5233+5910+1474+785+1182+198+319+388+171+52+17</f>
        <v>252799</v>
      </c>
      <c r="N540" s="160">
        <f>+L540/M540</f>
        <v>9.097276887962373</v>
      </c>
      <c r="O540" s="433">
        <v>530</v>
      </c>
    </row>
    <row r="541" spans="1:15" s="68" customFormat="1" ht="12" customHeight="1">
      <c r="A541" s="433">
        <v>531</v>
      </c>
      <c r="B541" s="150" t="s">
        <v>316</v>
      </c>
      <c r="C541" s="22">
        <v>40529</v>
      </c>
      <c r="D541" s="137" t="s">
        <v>30</v>
      </c>
      <c r="E541" s="139">
        <v>27</v>
      </c>
      <c r="F541" s="139">
        <v>1</v>
      </c>
      <c r="G541" s="139">
        <v>7</v>
      </c>
      <c r="H541" s="477">
        <v>100</v>
      </c>
      <c r="I541" s="478">
        <v>13</v>
      </c>
      <c r="J541" s="81">
        <f>(I541/F541)</f>
        <v>13</v>
      </c>
      <c r="K541" s="134">
        <f>H541/I541</f>
        <v>7.6923076923076925</v>
      </c>
      <c r="L541" s="8">
        <f>68045+25663+7073.5+5233+3859+470+100</f>
        <v>110443.5</v>
      </c>
      <c r="M541" s="7">
        <f>5442+2277+920+1185+711+78+13</f>
        <v>10626</v>
      </c>
      <c r="N541" s="135">
        <f>L541/M541</f>
        <v>10.393704121964992</v>
      </c>
      <c r="O541" s="433">
        <v>531</v>
      </c>
    </row>
    <row r="542" spans="1:15" s="68" customFormat="1" ht="11.25" customHeight="1">
      <c r="A542" s="433">
        <v>532</v>
      </c>
      <c r="B542" s="157" t="s">
        <v>268</v>
      </c>
      <c r="C542" s="2">
        <v>40207</v>
      </c>
      <c r="D542" s="10" t="s">
        <v>21</v>
      </c>
      <c r="E542" s="4">
        <v>47</v>
      </c>
      <c r="F542" s="4">
        <v>1</v>
      </c>
      <c r="G542" s="4">
        <v>42</v>
      </c>
      <c r="H542" s="487">
        <v>100</v>
      </c>
      <c r="I542" s="488">
        <v>10</v>
      </c>
      <c r="J542" s="72">
        <f>IF(H542&lt;&gt;0,I542/F542,"")</f>
        <v>10</v>
      </c>
      <c r="K542" s="159">
        <f>IF(H542&lt;&gt;0,H542/I542,"")</f>
        <v>10</v>
      </c>
      <c r="L542" s="25">
        <f>1883790+184+100</f>
        <v>1884074</v>
      </c>
      <c r="M542" s="28">
        <f>162822+46+10</f>
        <v>162878</v>
      </c>
      <c r="N542" s="160">
        <f>IF(L542&lt;&gt;0,L542/M542,"")</f>
        <v>11.56739400041749</v>
      </c>
      <c r="O542" s="433">
        <v>532</v>
      </c>
    </row>
    <row r="543" spans="1:15" s="68" customFormat="1" ht="11.25" customHeight="1">
      <c r="A543" s="433">
        <v>533</v>
      </c>
      <c r="B543" s="133" t="s">
        <v>305</v>
      </c>
      <c r="C543" s="22">
        <v>40466</v>
      </c>
      <c r="D543" s="189" t="s">
        <v>23</v>
      </c>
      <c r="E543" s="23">
        <v>119</v>
      </c>
      <c r="F543" s="23">
        <v>1</v>
      </c>
      <c r="G543" s="23">
        <v>16</v>
      </c>
      <c r="H543" s="475">
        <v>96</v>
      </c>
      <c r="I543" s="476">
        <v>16</v>
      </c>
      <c r="J543" s="28">
        <f aca="true" t="shared" si="46" ref="J543:J548">I543/F543</f>
        <v>16</v>
      </c>
      <c r="K543" s="180">
        <f>+H543/I543</f>
        <v>6</v>
      </c>
      <c r="L543" s="26">
        <v>2014111</v>
      </c>
      <c r="M543" s="28">
        <v>175319</v>
      </c>
      <c r="N543" s="153">
        <f aca="true" t="shared" si="47" ref="N543:N548">+L543/M543</f>
        <v>11.488264249739046</v>
      </c>
      <c r="O543" s="433">
        <v>533</v>
      </c>
    </row>
    <row r="544" spans="1:15" s="68" customFormat="1" ht="11.25" customHeight="1">
      <c r="A544" s="433">
        <v>534</v>
      </c>
      <c r="B544" s="311" t="s">
        <v>276</v>
      </c>
      <c r="C544" s="84">
        <v>40480</v>
      </c>
      <c r="D544" s="87" t="s">
        <v>8</v>
      </c>
      <c r="E544" s="4">
        <v>1</v>
      </c>
      <c r="F544" s="4">
        <v>1</v>
      </c>
      <c r="G544" s="4">
        <v>17</v>
      </c>
      <c r="H544" s="498">
        <v>92</v>
      </c>
      <c r="I544" s="499">
        <v>16</v>
      </c>
      <c r="J544" s="72">
        <f t="shared" si="46"/>
        <v>16</v>
      </c>
      <c r="K544" s="73">
        <f>H544/I544</f>
        <v>5.75</v>
      </c>
      <c r="L544" s="5">
        <v>17455</v>
      </c>
      <c r="M544" s="6">
        <v>1489</v>
      </c>
      <c r="N544" s="74">
        <f t="shared" si="47"/>
        <v>11.722632639355272</v>
      </c>
      <c r="O544" s="433">
        <v>534</v>
      </c>
    </row>
    <row r="545" spans="1:15" s="68" customFormat="1" ht="11.25" customHeight="1">
      <c r="A545" s="433">
        <v>535</v>
      </c>
      <c r="B545" s="349" t="s">
        <v>323</v>
      </c>
      <c r="C545" s="359">
        <v>40522</v>
      </c>
      <c r="D545" s="346" t="s">
        <v>8</v>
      </c>
      <c r="E545" s="14">
        <v>110</v>
      </c>
      <c r="F545" s="14">
        <v>1</v>
      </c>
      <c r="G545" s="14">
        <v>16</v>
      </c>
      <c r="H545" s="502">
        <v>91</v>
      </c>
      <c r="I545" s="503">
        <v>13</v>
      </c>
      <c r="J545" s="186">
        <f t="shared" si="46"/>
        <v>13</v>
      </c>
      <c r="K545" s="234">
        <f>H545/I545</f>
        <v>7</v>
      </c>
      <c r="L545" s="13">
        <v>5015436</v>
      </c>
      <c r="M545" s="312">
        <v>477377</v>
      </c>
      <c r="N545" s="244">
        <f t="shared" si="47"/>
        <v>10.506237208746965</v>
      </c>
      <c r="O545" s="433">
        <v>535</v>
      </c>
    </row>
    <row r="546" spans="1:15" s="68" customFormat="1" ht="11.25" customHeight="1">
      <c r="A546" s="433">
        <v>536</v>
      </c>
      <c r="B546" s="208" t="s">
        <v>328</v>
      </c>
      <c r="C546" s="84">
        <v>40494</v>
      </c>
      <c r="D546" s="85" t="s">
        <v>30</v>
      </c>
      <c r="E546" s="86">
        <v>80</v>
      </c>
      <c r="F546" s="86">
        <v>1</v>
      </c>
      <c r="G546" s="86">
        <v>12</v>
      </c>
      <c r="H546" s="506">
        <v>90</v>
      </c>
      <c r="I546" s="507">
        <v>15</v>
      </c>
      <c r="J546" s="72">
        <f t="shared" si="46"/>
        <v>15</v>
      </c>
      <c r="K546" s="73">
        <f>H546/I546</f>
        <v>6</v>
      </c>
      <c r="L546" s="82">
        <f>400584.5+260220.5+91588.5+26738.5+6598.5+10112.5+8832+11751.5+1782+1570.5+3564+90</f>
        <v>823433</v>
      </c>
      <c r="M546" s="81">
        <f>34427+24318+9929+5066+1310+1866+1322+2055+445+470+891+15</f>
        <v>82114</v>
      </c>
      <c r="N546" s="74">
        <f t="shared" si="47"/>
        <v>10.0279245926395</v>
      </c>
      <c r="O546" s="433">
        <v>536</v>
      </c>
    </row>
    <row r="547" spans="1:15" s="68" customFormat="1" ht="11.25" customHeight="1">
      <c r="A547" s="433">
        <v>537</v>
      </c>
      <c r="B547" s="208" t="s">
        <v>328</v>
      </c>
      <c r="C547" s="84">
        <v>40494</v>
      </c>
      <c r="D547" s="85" t="s">
        <v>30</v>
      </c>
      <c r="E547" s="86">
        <v>80</v>
      </c>
      <c r="F547" s="86">
        <v>1</v>
      </c>
      <c r="G547" s="86">
        <v>12</v>
      </c>
      <c r="H547" s="506">
        <v>90</v>
      </c>
      <c r="I547" s="507">
        <v>15</v>
      </c>
      <c r="J547" s="72">
        <f t="shared" si="46"/>
        <v>15</v>
      </c>
      <c r="K547" s="73">
        <f>H547/I547</f>
        <v>6</v>
      </c>
      <c r="L547" s="82">
        <f>400584.5+260220.5+91588.5+26738.5+6598.5+10112.5+8832+11751.5+1782+1570.5+3564+90</f>
        <v>823433</v>
      </c>
      <c r="M547" s="81">
        <f>34427+24318+9929+5066+1310+1866+1322+2055+445+470+891+15</f>
        <v>82114</v>
      </c>
      <c r="N547" s="74">
        <f t="shared" si="47"/>
        <v>10.0279245926395</v>
      </c>
      <c r="O547" s="433">
        <v>537</v>
      </c>
    </row>
    <row r="548" spans="1:15" s="68" customFormat="1" ht="11.25" customHeight="1">
      <c r="A548" s="433">
        <v>538</v>
      </c>
      <c r="B548" s="142" t="s">
        <v>246</v>
      </c>
      <c r="C548" s="143">
        <v>40529</v>
      </c>
      <c r="D548" s="282" t="s">
        <v>130</v>
      </c>
      <c r="E548" s="144">
        <v>147</v>
      </c>
      <c r="F548" s="144">
        <v>1</v>
      </c>
      <c r="G548" s="144">
        <v>13</v>
      </c>
      <c r="H548" s="481">
        <v>82</v>
      </c>
      <c r="I548" s="482">
        <v>12</v>
      </c>
      <c r="J548" s="72">
        <f t="shared" si="46"/>
        <v>12</v>
      </c>
      <c r="K548" s="73">
        <f>H548/I548</f>
        <v>6.833333333333333</v>
      </c>
      <c r="L548" s="147">
        <f>691567.5+648414.5+518408+71321.5+45526+17480+7409+4406.5+1874+5613.5+4027+1099+82</f>
        <v>2017228.5</v>
      </c>
      <c r="M548" s="148">
        <f>79327+75064+61133+10266+7792+4345+1731+935+303+1204+784+172+12</f>
        <v>243068</v>
      </c>
      <c r="N548" s="74">
        <f t="shared" si="47"/>
        <v>8.299029489690128</v>
      </c>
      <c r="O548" s="433">
        <v>538</v>
      </c>
    </row>
    <row r="549" spans="1:15" s="68" customFormat="1" ht="11.25" customHeight="1">
      <c r="A549" s="433">
        <v>539</v>
      </c>
      <c r="B549" s="157" t="s">
        <v>268</v>
      </c>
      <c r="C549" s="2">
        <v>40207</v>
      </c>
      <c r="D549" s="10" t="s">
        <v>21</v>
      </c>
      <c r="E549" s="4">
        <v>47</v>
      </c>
      <c r="F549" s="4">
        <v>1</v>
      </c>
      <c r="G549" s="4">
        <v>43</v>
      </c>
      <c r="H549" s="489">
        <v>80</v>
      </c>
      <c r="I549" s="497">
        <v>8</v>
      </c>
      <c r="J549" s="186">
        <f>IF(H549&lt;&gt;0,I549/F549,"")</f>
        <v>8</v>
      </c>
      <c r="K549" s="161">
        <f>IF(H549&lt;&gt;0,H549/I549,"")</f>
        <v>10</v>
      </c>
      <c r="L549" s="24">
        <f>1883790+184+100+80</f>
        <v>1884154</v>
      </c>
      <c r="M549" s="19">
        <f>162822+46+10+8</f>
        <v>162886</v>
      </c>
      <c r="N549" s="160">
        <f>IF(L549&lt;&gt;0,L549/M549,"")</f>
        <v>11.567317019265007</v>
      </c>
      <c r="O549" s="433">
        <v>539</v>
      </c>
    </row>
    <row r="550" spans="1:15" s="68" customFormat="1" ht="11.25" customHeight="1">
      <c r="A550" s="433">
        <v>540</v>
      </c>
      <c r="B550" s="157" t="s">
        <v>276</v>
      </c>
      <c r="C550" s="2">
        <v>40480</v>
      </c>
      <c r="D550" s="11" t="s">
        <v>8</v>
      </c>
      <c r="E550" s="4">
        <v>21</v>
      </c>
      <c r="F550" s="4">
        <v>1</v>
      </c>
      <c r="G550" s="4">
        <v>12</v>
      </c>
      <c r="H550" s="498">
        <v>78</v>
      </c>
      <c r="I550" s="499">
        <v>13</v>
      </c>
      <c r="J550" s="80">
        <f>I550/F550</f>
        <v>13</v>
      </c>
      <c r="K550" s="141">
        <f>H550/I550</f>
        <v>6</v>
      </c>
      <c r="L550" s="5">
        <v>15228</v>
      </c>
      <c r="M550" s="6">
        <v>1180</v>
      </c>
      <c r="N550" s="160">
        <f>+L550/M550</f>
        <v>12.905084745762712</v>
      </c>
      <c r="O550" s="433">
        <v>540</v>
      </c>
    </row>
    <row r="551" spans="1:15" s="68" customFormat="1" ht="11.25" customHeight="1">
      <c r="A551" s="433">
        <v>541</v>
      </c>
      <c r="B551" s="335" t="s">
        <v>131</v>
      </c>
      <c r="C551" s="360">
        <v>40459</v>
      </c>
      <c r="D551" s="344" t="s">
        <v>30</v>
      </c>
      <c r="E551" s="21">
        <v>142</v>
      </c>
      <c r="F551" s="21">
        <v>1</v>
      </c>
      <c r="G551" s="21">
        <v>26</v>
      </c>
      <c r="H551" s="479">
        <v>77</v>
      </c>
      <c r="I551" s="478">
        <v>13</v>
      </c>
      <c r="J551" s="186">
        <f>I551/F551</f>
        <v>13</v>
      </c>
      <c r="K551" s="234">
        <f>H551/I551</f>
        <v>5.923076923076923</v>
      </c>
      <c r="L551" s="16">
        <f>569713+434829.5+295345.5+223420+26108+12415.5+5998+1904+1368+799+648+306+1782+594+1782+1425.5+3089+151+1188+1188+2376+1188+1425.5+1188+3207.5+77</f>
        <v>1593516</v>
      </c>
      <c r="M551" s="7">
        <f>61050+47827+36467+29781+4601+2405+1000+284+287+123+103+51+445+113+446+267+708+24+297+287+594+297+356+297+801+13</f>
        <v>188924</v>
      </c>
      <c r="N551" s="244">
        <f>+L551/M551</f>
        <v>8.434693315830705</v>
      </c>
      <c r="O551" s="433">
        <v>541</v>
      </c>
    </row>
    <row r="552" spans="1:15" s="68" customFormat="1" ht="11.25" customHeight="1">
      <c r="A552" s="433">
        <v>542</v>
      </c>
      <c r="B552" s="133" t="s">
        <v>249</v>
      </c>
      <c r="C552" s="22">
        <v>40172</v>
      </c>
      <c r="D552" s="20" t="s">
        <v>30</v>
      </c>
      <c r="E552" s="23">
        <v>60</v>
      </c>
      <c r="F552" s="23">
        <v>1</v>
      </c>
      <c r="G552" s="23">
        <v>37</v>
      </c>
      <c r="H552" s="477">
        <v>70</v>
      </c>
      <c r="I552" s="478">
        <v>7</v>
      </c>
      <c r="J552" s="81">
        <f>(I552/F552)</f>
        <v>7</v>
      </c>
      <c r="K552" s="134">
        <f>H552/I552</f>
        <v>10</v>
      </c>
      <c r="L552" s="8">
        <f>421775.5+397095.5+287050+215248.5+189819.5+180729.5+86816.5+23840+19148+14942.5+8798.5+9599+13618.5+4298+4028+3310+8547+6712.5+1803+1172+973+2291+380.5+3015+1103.5+65+2061.5+1262+1020+2232+2970+5074+2970+1188+250+200+70</f>
        <v>1925477.5</v>
      </c>
      <c r="M552" s="7">
        <f>43739+40732+31780+27356+25902+24895+12153+4496+3179+3069+1650+2236+3335+954+829+540+1945+1297+429+261+173+594+53+613+200+10+480+240+102+533+743+1267+742+297+28+20+7</f>
        <v>236879</v>
      </c>
      <c r="N552" s="135">
        <f>L552/M552</f>
        <v>8.128527644915758</v>
      </c>
      <c r="O552" s="433">
        <v>542</v>
      </c>
    </row>
    <row r="553" spans="1:15" s="68" customFormat="1" ht="12" customHeight="1">
      <c r="A553" s="433">
        <v>543</v>
      </c>
      <c r="B553" s="287" t="s">
        <v>305</v>
      </c>
      <c r="C553" s="289">
        <v>40466</v>
      </c>
      <c r="D553" s="290" t="s">
        <v>23</v>
      </c>
      <c r="E553" s="162">
        <v>119</v>
      </c>
      <c r="F553" s="162">
        <v>1</v>
      </c>
      <c r="G553" s="162">
        <v>18</v>
      </c>
      <c r="H553" s="471">
        <v>66</v>
      </c>
      <c r="I553" s="472">
        <v>11</v>
      </c>
      <c r="J553" s="163">
        <f>I553/F553</f>
        <v>11</v>
      </c>
      <c r="K553" s="291">
        <f>+H553/I553</f>
        <v>6</v>
      </c>
      <c r="L553" s="164">
        <v>2014345</v>
      </c>
      <c r="M553" s="163">
        <v>175358</v>
      </c>
      <c r="N553" s="292">
        <f>+L553/M553</f>
        <v>11.487043647851824</v>
      </c>
      <c r="O553" s="433">
        <v>543</v>
      </c>
    </row>
    <row r="554" spans="1:15" s="68" customFormat="1" ht="12" customHeight="1">
      <c r="A554" s="433">
        <v>544</v>
      </c>
      <c r="B554" s="157" t="s">
        <v>294</v>
      </c>
      <c r="C554" s="2">
        <v>40459</v>
      </c>
      <c r="D554" s="15" t="s">
        <v>8</v>
      </c>
      <c r="E554" s="4">
        <v>50</v>
      </c>
      <c r="F554" s="4">
        <v>1</v>
      </c>
      <c r="G554" s="4">
        <v>14</v>
      </c>
      <c r="H554" s="498">
        <v>62</v>
      </c>
      <c r="I554" s="499">
        <v>10</v>
      </c>
      <c r="J554" s="72">
        <f>+I554/F554</f>
        <v>10</v>
      </c>
      <c r="K554" s="159">
        <f>+H554/I554</f>
        <v>6.2</v>
      </c>
      <c r="L554" s="5">
        <v>377168</v>
      </c>
      <c r="M554" s="6">
        <v>34353</v>
      </c>
      <c r="N554" s="160">
        <f>+L554/M554</f>
        <v>10.979186679474864</v>
      </c>
      <c r="O554" s="433">
        <v>544</v>
      </c>
    </row>
    <row r="555" spans="1:15" s="68" customFormat="1" ht="12" customHeight="1">
      <c r="A555" s="433">
        <v>545</v>
      </c>
      <c r="B555" s="296" t="s">
        <v>299</v>
      </c>
      <c r="C555" s="297">
        <v>40347</v>
      </c>
      <c r="D555" s="137" t="s">
        <v>30</v>
      </c>
      <c r="E555" s="298">
        <v>66</v>
      </c>
      <c r="F555" s="724">
        <v>1</v>
      </c>
      <c r="G555" s="298">
        <v>28</v>
      </c>
      <c r="H555" s="481">
        <v>60</v>
      </c>
      <c r="I555" s="482">
        <v>20</v>
      </c>
      <c r="J555" s="145">
        <f>(I555/F555)</f>
        <v>20</v>
      </c>
      <c r="K555" s="146">
        <f>H555/I555</f>
        <v>3</v>
      </c>
      <c r="L555" s="147">
        <f>478213+7083+3309.5+6055+4900+8378+4378.5+2349+3103+2074+7679.5+6108+2991.5+2180+2234+642+2775.5+1757+1151+3382+60</f>
        <v>550803.5</v>
      </c>
      <c r="M555" s="148">
        <f>55327+1259+553+1133+756+1285+650+408+682+334+1688+1394+539+483+475+201+677+260+202+852+20</f>
        <v>69178</v>
      </c>
      <c r="N555" s="149">
        <f>L555/M555</f>
        <v>7.962119459943913</v>
      </c>
      <c r="O555" s="433">
        <v>545</v>
      </c>
    </row>
    <row r="556" spans="1:15" s="68" customFormat="1" ht="12" customHeight="1">
      <c r="A556" s="433">
        <v>546</v>
      </c>
      <c r="B556" s="173" t="s">
        <v>276</v>
      </c>
      <c r="C556" s="2">
        <v>40480</v>
      </c>
      <c r="D556" s="15" t="s">
        <v>8</v>
      </c>
      <c r="E556" s="4">
        <v>1</v>
      </c>
      <c r="F556" s="723">
        <v>1</v>
      </c>
      <c r="G556" s="4">
        <v>8</v>
      </c>
      <c r="H556" s="502">
        <v>42</v>
      </c>
      <c r="I556" s="499">
        <v>6</v>
      </c>
      <c r="J556" s="72">
        <f>+I556/F556</f>
        <v>6</v>
      </c>
      <c r="K556" s="161">
        <f>+H556/I556</f>
        <v>7</v>
      </c>
      <c r="L556" s="13">
        <v>14175</v>
      </c>
      <c r="M556" s="6">
        <v>1015</v>
      </c>
      <c r="N556" s="160">
        <f>+L556/M556</f>
        <v>13.96551724137931</v>
      </c>
      <c r="O556" s="433">
        <v>546</v>
      </c>
    </row>
    <row r="557" spans="1:15" s="68" customFormat="1" ht="12" customHeight="1">
      <c r="A557" s="433">
        <v>547</v>
      </c>
      <c r="B557" s="198" t="s">
        <v>132</v>
      </c>
      <c r="C557" s="22">
        <v>40515</v>
      </c>
      <c r="D557" s="85" t="s">
        <v>10</v>
      </c>
      <c r="E557" s="23">
        <v>337</v>
      </c>
      <c r="F557" s="722">
        <v>1</v>
      </c>
      <c r="G557" s="3">
        <v>31</v>
      </c>
      <c r="H557" s="485">
        <v>18</v>
      </c>
      <c r="I557" s="486">
        <v>3</v>
      </c>
      <c r="J557" s="72">
        <f>I557/F557</f>
        <v>3</v>
      </c>
      <c r="K557" s="73">
        <f>H557/I557</f>
        <v>6</v>
      </c>
      <c r="L557" s="30">
        <v>19718047</v>
      </c>
      <c r="M557" s="29">
        <v>2115597</v>
      </c>
      <c r="N557" s="74">
        <f>+L557/M557</f>
        <v>9.320322821406913</v>
      </c>
      <c r="O557" s="433">
        <v>547</v>
      </c>
    </row>
    <row r="558" spans="1:15" s="68" customFormat="1" ht="12" customHeight="1" thickBot="1">
      <c r="A558" s="442">
        <v>548</v>
      </c>
      <c r="B558" s="531" t="s">
        <v>320</v>
      </c>
      <c r="C558" s="532">
        <v>39920</v>
      </c>
      <c r="D558" s="533" t="s">
        <v>30</v>
      </c>
      <c r="E558" s="534">
        <v>133</v>
      </c>
      <c r="F558" s="534">
        <v>1</v>
      </c>
      <c r="G558" s="534">
        <v>24</v>
      </c>
      <c r="H558" s="535">
        <v>14</v>
      </c>
      <c r="I558" s="536">
        <v>7</v>
      </c>
      <c r="J558" s="537">
        <f>(I558/F558)</f>
        <v>7</v>
      </c>
      <c r="K558" s="538">
        <f>H558/I558</f>
        <v>2</v>
      </c>
      <c r="L558" s="539">
        <f>814797.5+158602+44526+7105.5+1443+731+330+3273+1356+388+2317+2290.5+138+112.5+37+1136+51+98+1424+1780+1780+2020+4040+14</f>
        <v>1049790</v>
      </c>
      <c r="M558" s="540">
        <f>100614+19257+6285+1176+234+205+67+783+301+48+521+500+23+18+9+170+23+30+356+445+445+505+1010+7</f>
        <v>133032</v>
      </c>
      <c r="N558" s="541">
        <f>L558/M558</f>
        <v>7.891259245895724</v>
      </c>
      <c r="O558" s="442">
        <v>548</v>
      </c>
    </row>
    <row r="559" spans="1:14" s="68" customFormat="1" ht="15.75" thickBot="1">
      <c r="A559" s="91"/>
      <c r="C559" s="93"/>
      <c r="E559" s="92"/>
      <c r="F559" s="92"/>
      <c r="G559" s="92"/>
      <c r="H559" s="231"/>
      <c r="I559" s="222"/>
      <c r="J559" s="101"/>
      <c r="K559" s="102"/>
      <c r="L559" s="94"/>
      <c r="M559" s="103"/>
      <c r="N559" s="98"/>
    </row>
    <row r="560" spans="1:15" s="104" customFormat="1" ht="12.75">
      <c r="A560" s="728" t="s">
        <v>79</v>
      </c>
      <c r="B560" s="729"/>
      <c r="C560" s="729"/>
      <c r="D560" s="729"/>
      <c r="E560" s="729"/>
      <c r="F560" s="729"/>
      <c r="G560" s="729"/>
      <c r="H560" s="729"/>
      <c r="I560" s="729"/>
      <c r="J560" s="729"/>
      <c r="K560" s="729"/>
      <c r="L560" s="729"/>
      <c r="M560" s="729"/>
      <c r="N560" s="729"/>
      <c r="O560" s="730"/>
    </row>
    <row r="561" spans="1:15" s="104" customFormat="1" ht="12.75">
      <c r="A561" s="731"/>
      <c r="B561" s="732"/>
      <c r="C561" s="732"/>
      <c r="D561" s="732"/>
      <c r="E561" s="732"/>
      <c r="F561" s="732"/>
      <c r="G561" s="732"/>
      <c r="H561" s="732"/>
      <c r="I561" s="732"/>
      <c r="J561" s="732"/>
      <c r="K561" s="732"/>
      <c r="L561" s="732"/>
      <c r="M561" s="732"/>
      <c r="N561" s="732"/>
      <c r="O561" s="733"/>
    </row>
    <row r="562" spans="1:15" s="104" customFormat="1" ht="12.75">
      <c r="A562" s="731"/>
      <c r="B562" s="732"/>
      <c r="C562" s="732"/>
      <c r="D562" s="732"/>
      <c r="E562" s="732"/>
      <c r="F562" s="732"/>
      <c r="G562" s="732"/>
      <c r="H562" s="732"/>
      <c r="I562" s="732"/>
      <c r="J562" s="732"/>
      <c r="K562" s="732"/>
      <c r="L562" s="732"/>
      <c r="M562" s="732"/>
      <c r="N562" s="732"/>
      <c r="O562" s="733"/>
    </row>
    <row r="563" spans="1:15" s="104" customFormat="1" ht="12.75">
      <c r="A563" s="731"/>
      <c r="B563" s="732"/>
      <c r="C563" s="732"/>
      <c r="D563" s="732"/>
      <c r="E563" s="732"/>
      <c r="F563" s="732"/>
      <c r="G563" s="732"/>
      <c r="H563" s="732"/>
      <c r="I563" s="732"/>
      <c r="J563" s="732"/>
      <c r="K563" s="732"/>
      <c r="L563" s="732"/>
      <c r="M563" s="732"/>
      <c r="N563" s="732"/>
      <c r="O563" s="733"/>
    </row>
    <row r="564" spans="1:15" s="104" customFormat="1" ht="12.75">
      <c r="A564" s="731"/>
      <c r="B564" s="732"/>
      <c r="C564" s="732"/>
      <c r="D564" s="732"/>
      <c r="E564" s="732"/>
      <c r="F564" s="732"/>
      <c r="G564" s="732"/>
      <c r="H564" s="732"/>
      <c r="I564" s="732"/>
      <c r="J564" s="732"/>
      <c r="K564" s="732"/>
      <c r="L564" s="732"/>
      <c r="M564" s="732"/>
      <c r="N564" s="732"/>
      <c r="O564" s="733"/>
    </row>
    <row r="565" spans="1:15" s="104" customFormat="1" ht="13.5" thickBot="1">
      <c r="A565" s="734"/>
      <c r="B565" s="735"/>
      <c r="C565" s="735"/>
      <c r="D565" s="735"/>
      <c r="E565" s="735"/>
      <c r="F565" s="735"/>
      <c r="G565" s="735"/>
      <c r="H565" s="735"/>
      <c r="I565" s="735"/>
      <c r="J565" s="735"/>
      <c r="K565" s="735"/>
      <c r="L565" s="735"/>
      <c r="M565" s="735"/>
      <c r="N565" s="735"/>
      <c r="O565" s="736"/>
    </row>
    <row r="566" spans="8:9" ht="18">
      <c r="H566" s="232"/>
      <c r="I566" s="223"/>
    </row>
    <row r="567" spans="8:9" ht="18">
      <c r="H567" s="232"/>
      <c r="I567" s="223"/>
    </row>
  </sheetData>
  <sheetProtection/>
  <mergeCells count="19">
    <mergeCell ref="H1:J1"/>
    <mergeCell ref="K1:O1"/>
    <mergeCell ref="H4:J4"/>
    <mergeCell ref="H5:O5"/>
    <mergeCell ref="A1:G1"/>
    <mergeCell ref="A2:G2"/>
    <mergeCell ref="A3:G3"/>
    <mergeCell ref="A4:C4"/>
    <mergeCell ref="A5:C5"/>
    <mergeCell ref="H6:I6"/>
    <mergeCell ref="J6:K6"/>
    <mergeCell ref="L6:O6"/>
    <mergeCell ref="A560:O565"/>
    <mergeCell ref="J9:K9"/>
    <mergeCell ref="H7:I7"/>
    <mergeCell ref="J7:K7"/>
    <mergeCell ref="L7:M7"/>
    <mergeCell ref="B6:E6"/>
    <mergeCell ref="F6:G6"/>
  </mergeCells>
  <hyperlinks>
    <hyperlink ref="A3" r:id="rId1" display="http://www.antraktsinema.com"/>
  </hyperlinks>
  <printOptions/>
  <pageMargins left="0.75" right="0.75" top="1" bottom="1" header="0.5" footer="0.5"/>
  <pageSetup horizontalDpi="200" verticalDpi="200" orientation="portrait" paperSize="9" r:id="rId3"/>
  <ignoredErrors>
    <ignoredError sqref="L38:N41 L36:L37" unlockedFormula="1"/>
    <ignoredError sqref="L15:L35 M15:N35 M36:N37" formula="1" unlockedFormula="1"/>
    <ignoredError sqref="J13:L14 J15:K35" formula="1"/>
  </ignoredErrors>
  <drawing r:id="rId2"/>
</worksheet>
</file>

<file path=xl/worksheets/sheet4.xml><?xml version="1.0" encoding="utf-8"?>
<worksheet xmlns="http://schemas.openxmlformats.org/spreadsheetml/2006/main" xmlns:r="http://schemas.openxmlformats.org/officeDocument/2006/relationships">
  <dimension ref="A1:AL37"/>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05" bestFit="1" customWidth="1"/>
    <col min="2" max="2" width="4.28125" style="106" hidden="1" customWidth="1"/>
    <col min="3" max="3" width="6.421875" style="107" hidden="1" customWidth="1"/>
    <col min="4" max="4" width="35.421875" style="108" bestFit="1" customWidth="1"/>
    <col min="5" max="5" width="20.28125" style="108" hidden="1" customWidth="1"/>
    <col min="6" max="6" width="17.57421875" style="108" hidden="1" customWidth="1"/>
    <col min="7" max="7" width="9.28125" style="108" hidden="1" customWidth="1"/>
    <col min="8" max="8" width="7.8515625" style="109" bestFit="1" customWidth="1"/>
    <col min="9" max="9" width="19.7109375" style="109" bestFit="1" customWidth="1"/>
    <col min="10" max="10" width="5.8515625" style="109" bestFit="1" customWidth="1"/>
    <col min="11" max="11" width="9.140625" style="110" customWidth="1"/>
    <col min="12" max="12" width="9.140625" style="111" customWidth="1"/>
    <col min="13" max="13" width="9.8515625" style="110" hidden="1" customWidth="1"/>
    <col min="14" max="14" width="6.421875" style="111" hidden="1" customWidth="1"/>
    <col min="15" max="15" width="11.28125" style="110" hidden="1" customWidth="1"/>
    <col min="16" max="16" width="6.421875" style="111" hidden="1" customWidth="1"/>
    <col min="17" max="17" width="9.8515625" style="112" hidden="1" customWidth="1"/>
    <col min="18" max="18" width="6.421875" style="113" hidden="1" customWidth="1"/>
    <col min="19" max="19" width="11.28125" style="114" hidden="1" customWidth="1"/>
    <col min="20" max="20" width="7.421875" style="115" hidden="1" customWidth="1"/>
    <col min="21" max="21" width="10.421875" style="116" hidden="1" customWidth="1"/>
    <col min="22" max="22" width="7.57421875" style="117" hidden="1" customWidth="1"/>
    <col min="23" max="23" width="9.8515625" style="116" hidden="1" customWidth="1"/>
    <col min="24" max="24" width="7.28125" style="114" hidden="1" customWidth="1"/>
    <col min="25" max="25" width="11.28125" style="115" hidden="1" customWidth="1"/>
    <col min="26" max="26" width="7.421875" style="118" hidden="1" customWidth="1"/>
    <col min="27" max="27" width="13.140625" style="119" bestFit="1" customWidth="1"/>
    <col min="28" max="28" width="8.421875" style="119" bestFit="1" customWidth="1"/>
    <col min="29" max="30" width="7.421875" style="108" customWidth="1"/>
    <col min="31" max="31" width="6.00390625" style="120" bestFit="1" customWidth="1"/>
    <col min="32" max="32" width="7.57421875" style="121" bestFit="1" customWidth="1"/>
    <col min="33" max="34" width="10.421875" style="121" hidden="1" customWidth="1"/>
    <col min="35" max="35" width="12.28125" style="108" bestFit="1" customWidth="1"/>
    <col min="36" max="36" width="8.8515625" style="108" bestFit="1" customWidth="1"/>
    <col min="37" max="37" width="9.140625" style="108" bestFit="1" customWidth="1"/>
    <col min="38" max="38" width="3.28125" style="108" bestFit="1" customWidth="1"/>
    <col min="39" max="16384" width="4.421875" style="108" customWidth="1"/>
  </cols>
  <sheetData>
    <row r="1" spans="1:38" s="32" customFormat="1" ht="35.25" thickBot="1">
      <c r="A1" s="784" t="s">
        <v>359</v>
      </c>
      <c r="B1" s="779"/>
      <c r="C1" s="779"/>
      <c r="D1" s="779"/>
      <c r="E1" s="779"/>
      <c r="F1" s="779"/>
      <c r="G1" s="779"/>
      <c r="H1" s="779"/>
      <c r="I1" s="779"/>
      <c r="J1" s="779"/>
      <c r="K1" s="779"/>
      <c r="L1" s="779"/>
      <c r="M1" s="31"/>
      <c r="N1" s="31"/>
      <c r="O1" s="31"/>
      <c r="P1" s="31"/>
      <c r="Q1" s="31"/>
      <c r="R1" s="31"/>
      <c r="S1" s="31"/>
      <c r="T1" s="31"/>
      <c r="U1" s="31"/>
      <c r="V1" s="31"/>
      <c r="W1" s="31"/>
      <c r="X1" s="31"/>
      <c r="Y1" s="31"/>
      <c r="Z1" s="31"/>
      <c r="AA1" s="745"/>
      <c r="AB1" s="745"/>
      <c r="AC1" s="745"/>
      <c r="AD1" s="745"/>
      <c r="AE1" s="745"/>
      <c r="AF1" s="782" t="s">
        <v>171</v>
      </c>
      <c r="AG1" s="782"/>
      <c r="AH1" s="782"/>
      <c r="AI1" s="782"/>
      <c r="AJ1" s="782"/>
      <c r="AK1" s="782"/>
      <c r="AL1" s="782"/>
    </row>
    <row r="2" spans="1:38" s="32" customFormat="1" ht="24" customHeight="1">
      <c r="A2" s="787" t="s">
        <v>167</v>
      </c>
      <c r="B2" s="769"/>
      <c r="C2" s="769"/>
      <c r="D2" s="769"/>
      <c r="E2" s="769"/>
      <c r="F2" s="769"/>
      <c r="G2" s="769"/>
      <c r="H2" s="769"/>
      <c r="I2" s="769"/>
      <c r="J2" s="769"/>
      <c r="K2" s="769"/>
      <c r="L2" s="769"/>
      <c r="M2" s="33"/>
      <c r="N2" s="33"/>
      <c r="O2" s="33"/>
      <c r="P2" s="33"/>
      <c r="Q2" s="33"/>
      <c r="R2" s="33"/>
      <c r="S2" s="33"/>
      <c r="T2" s="33"/>
      <c r="U2" s="33"/>
      <c r="V2" s="33"/>
      <c r="W2" s="33"/>
      <c r="X2" s="33"/>
      <c r="Y2" s="33"/>
      <c r="Z2" s="33"/>
      <c r="AA2" s="123"/>
      <c r="AB2" s="123"/>
      <c r="AC2" s="123"/>
      <c r="AD2" s="123"/>
      <c r="AE2" s="123"/>
      <c r="AF2" s="123"/>
      <c r="AG2" s="123"/>
      <c r="AH2" s="123"/>
      <c r="AI2" s="123"/>
      <c r="AJ2" s="123"/>
      <c r="AK2" s="123"/>
      <c r="AL2" s="123"/>
    </row>
    <row r="3" spans="1:38" s="32" customFormat="1" ht="22.5" customHeight="1" thickBot="1">
      <c r="A3" s="752" t="s">
        <v>128</v>
      </c>
      <c r="B3" s="753"/>
      <c r="C3" s="753"/>
      <c r="D3" s="753"/>
      <c r="E3" s="753"/>
      <c r="F3" s="753"/>
      <c r="G3" s="753"/>
      <c r="H3" s="753"/>
      <c r="I3" s="753"/>
      <c r="J3" s="753"/>
      <c r="K3" s="753"/>
      <c r="L3" s="753"/>
      <c r="M3" s="34"/>
      <c r="N3" s="34"/>
      <c r="O3" s="34"/>
      <c r="P3" s="34"/>
      <c r="Q3" s="34"/>
      <c r="R3" s="34"/>
      <c r="S3" s="34"/>
      <c r="T3" s="34"/>
      <c r="U3" s="34"/>
      <c r="V3" s="34"/>
      <c r="W3" s="34"/>
      <c r="X3" s="34"/>
      <c r="Y3" s="34"/>
      <c r="Z3" s="34"/>
      <c r="AA3" s="124"/>
      <c r="AB3" s="125"/>
      <c r="AC3" s="126"/>
      <c r="AD3" s="127"/>
      <c r="AE3" s="128"/>
      <c r="AF3" s="124"/>
      <c r="AG3" s="124"/>
      <c r="AH3" s="124"/>
      <c r="AI3" s="125"/>
      <c r="AJ3" s="126"/>
      <c r="AK3" s="127"/>
      <c r="AL3" s="128"/>
    </row>
    <row r="4" spans="1:38" s="32" customFormat="1" ht="32.25">
      <c r="A4" s="790" t="s">
        <v>785</v>
      </c>
      <c r="B4" s="791"/>
      <c r="C4" s="791"/>
      <c r="D4" s="791"/>
      <c r="E4" s="791"/>
      <c r="F4" s="791"/>
      <c r="G4" s="791"/>
      <c r="H4" s="791"/>
      <c r="I4" s="35"/>
      <c r="J4" s="35"/>
      <c r="K4" s="35"/>
      <c r="L4" s="35"/>
      <c r="M4" s="35"/>
      <c r="N4" s="35"/>
      <c r="O4" s="35"/>
      <c r="P4" s="35"/>
      <c r="Q4" s="35"/>
      <c r="R4" s="35"/>
      <c r="S4" s="35"/>
      <c r="T4" s="35"/>
      <c r="U4" s="35"/>
      <c r="V4" s="35"/>
      <c r="W4" s="35"/>
      <c r="X4" s="35"/>
      <c r="Y4" s="35"/>
      <c r="Z4" s="35"/>
      <c r="AA4" s="129"/>
      <c r="AB4" s="130"/>
      <c r="AC4" s="130"/>
      <c r="AD4" s="130"/>
      <c r="AE4" s="130"/>
      <c r="AF4" s="131"/>
      <c r="AG4" s="131"/>
      <c r="AH4" s="131"/>
      <c r="AI4" s="131"/>
      <c r="AJ4" s="132"/>
      <c r="AK4" s="131"/>
      <c r="AL4" s="131"/>
    </row>
    <row r="5" spans="1:38" s="32" customFormat="1" ht="33" thickBot="1">
      <c r="A5" s="785" t="s">
        <v>786</v>
      </c>
      <c r="B5" s="786"/>
      <c r="C5" s="786"/>
      <c r="D5" s="786"/>
      <c r="E5" s="786"/>
      <c r="F5" s="786"/>
      <c r="G5" s="786"/>
      <c r="H5" s="786"/>
      <c r="I5" s="36"/>
      <c r="J5" s="36"/>
      <c r="K5" s="36"/>
      <c r="L5" s="36"/>
      <c r="M5" s="36"/>
      <c r="N5" s="36"/>
      <c r="O5" s="36"/>
      <c r="P5" s="36"/>
      <c r="Q5" s="36"/>
      <c r="R5" s="36"/>
      <c r="S5" s="36"/>
      <c r="T5" s="36"/>
      <c r="U5" s="36"/>
      <c r="V5" s="36"/>
      <c r="W5" s="36"/>
      <c r="X5" s="36"/>
      <c r="Y5" s="36"/>
      <c r="Z5" s="36"/>
      <c r="AA5" s="777"/>
      <c r="AB5" s="764"/>
      <c r="AC5" s="764"/>
      <c r="AD5" s="764"/>
      <c r="AE5" s="764"/>
      <c r="AF5" s="764"/>
      <c r="AG5" s="764"/>
      <c r="AH5" s="764"/>
      <c r="AI5" s="764"/>
      <c r="AJ5" s="764"/>
      <c r="AK5" s="764"/>
      <c r="AL5" s="764"/>
    </row>
    <row r="6" spans="1:38" s="39" customFormat="1" ht="15.75" thickBot="1">
      <c r="A6" s="37"/>
      <c r="B6" s="38"/>
      <c r="C6" s="38"/>
      <c r="D6" s="771" t="s">
        <v>111</v>
      </c>
      <c r="E6" s="771"/>
      <c r="F6" s="771"/>
      <c r="G6" s="771"/>
      <c r="H6" s="771"/>
      <c r="I6" s="771"/>
      <c r="J6" s="771"/>
      <c r="K6" s="771" t="s">
        <v>110</v>
      </c>
      <c r="L6" s="771"/>
      <c r="M6" s="771" t="s">
        <v>107</v>
      </c>
      <c r="N6" s="771"/>
      <c r="O6" s="771"/>
      <c r="P6" s="771"/>
      <c r="Q6" s="771"/>
      <c r="R6" s="771"/>
      <c r="S6" s="771"/>
      <c r="T6" s="771"/>
      <c r="U6" s="771"/>
      <c r="V6" s="771"/>
      <c r="W6" s="771"/>
      <c r="X6" s="771"/>
      <c r="Y6" s="771" t="s">
        <v>108</v>
      </c>
      <c r="Z6" s="771"/>
      <c r="AA6" s="771" t="s">
        <v>113</v>
      </c>
      <c r="AB6" s="771"/>
      <c r="AC6" s="771" t="s">
        <v>112</v>
      </c>
      <c r="AD6" s="771"/>
      <c r="AE6" s="771" t="s">
        <v>117</v>
      </c>
      <c r="AF6" s="771"/>
      <c r="AG6" s="38"/>
      <c r="AH6" s="38"/>
      <c r="AI6" s="771" t="s">
        <v>109</v>
      </c>
      <c r="AJ6" s="771"/>
      <c r="AK6" s="771"/>
      <c r="AL6" s="771"/>
    </row>
    <row r="7" spans="1:38" s="43" customFormat="1" ht="12.75">
      <c r="A7" s="40"/>
      <c r="B7" s="41"/>
      <c r="C7" s="41"/>
      <c r="D7" s="1"/>
      <c r="E7" s="1"/>
      <c r="F7" s="1"/>
      <c r="G7" s="1"/>
      <c r="H7" s="42" t="s">
        <v>80</v>
      </c>
      <c r="I7" s="1"/>
      <c r="J7" s="1" t="s">
        <v>83</v>
      </c>
      <c r="K7" s="1" t="s">
        <v>83</v>
      </c>
      <c r="L7" s="1" t="s">
        <v>85</v>
      </c>
      <c r="M7" s="788" t="s">
        <v>2</v>
      </c>
      <c r="N7" s="789"/>
      <c r="O7" s="788" t="s">
        <v>3</v>
      </c>
      <c r="P7" s="789"/>
      <c r="Q7" s="788" t="s">
        <v>4</v>
      </c>
      <c r="R7" s="789"/>
      <c r="S7" s="774" t="s">
        <v>11</v>
      </c>
      <c r="T7" s="774"/>
      <c r="U7" s="774" t="s">
        <v>95</v>
      </c>
      <c r="V7" s="774"/>
      <c r="W7" s="774" t="s">
        <v>0</v>
      </c>
      <c r="X7" s="774"/>
      <c r="Y7" s="774"/>
      <c r="Z7" s="774"/>
      <c r="AA7" s="773"/>
      <c r="AB7" s="773"/>
      <c r="AC7" s="774" t="s">
        <v>106</v>
      </c>
      <c r="AD7" s="774"/>
      <c r="AE7" s="774" t="s">
        <v>118</v>
      </c>
      <c r="AF7" s="774"/>
      <c r="AG7" s="783" t="s">
        <v>401</v>
      </c>
      <c r="AH7" s="783"/>
      <c r="AI7" s="774"/>
      <c r="AJ7" s="774"/>
      <c r="AK7" s="41" t="s">
        <v>95</v>
      </c>
      <c r="AL7" s="41"/>
    </row>
    <row r="8" spans="1:38" s="43" customFormat="1" ht="13.5" thickBot="1">
      <c r="A8" s="44"/>
      <c r="B8" s="45"/>
      <c r="C8" s="45"/>
      <c r="D8" s="257" t="s">
        <v>733</v>
      </c>
      <c r="E8" s="257" t="s">
        <v>734</v>
      </c>
      <c r="F8" s="257" t="s">
        <v>735</v>
      </c>
      <c r="G8" s="257"/>
      <c r="H8" s="47" t="s">
        <v>81</v>
      </c>
      <c r="I8" s="48" t="s">
        <v>1</v>
      </c>
      <c r="J8" s="48" t="s">
        <v>82</v>
      </c>
      <c r="K8" s="48" t="s">
        <v>84</v>
      </c>
      <c r="L8" s="48" t="s">
        <v>80</v>
      </c>
      <c r="M8" s="45" t="s">
        <v>7</v>
      </c>
      <c r="N8" s="45" t="s">
        <v>6</v>
      </c>
      <c r="O8" s="45" t="s">
        <v>7</v>
      </c>
      <c r="P8" s="45" t="s">
        <v>6</v>
      </c>
      <c r="Q8" s="45" t="s">
        <v>7</v>
      </c>
      <c r="R8" s="45" t="s">
        <v>6</v>
      </c>
      <c r="S8" s="45" t="s">
        <v>7</v>
      </c>
      <c r="T8" s="45" t="s">
        <v>6</v>
      </c>
      <c r="U8" s="45" t="s">
        <v>114</v>
      </c>
      <c r="V8" s="45" t="s">
        <v>96</v>
      </c>
      <c r="W8" s="45" t="s">
        <v>7</v>
      </c>
      <c r="X8" s="45" t="s">
        <v>5</v>
      </c>
      <c r="Y8" s="45" t="s">
        <v>7</v>
      </c>
      <c r="Z8" s="45" t="s">
        <v>6</v>
      </c>
      <c r="AA8" s="49" t="s">
        <v>7</v>
      </c>
      <c r="AB8" s="49" t="s">
        <v>6</v>
      </c>
      <c r="AC8" s="45" t="s">
        <v>6</v>
      </c>
      <c r="AD8" s="45" t="s">
        <v>6</v>
      </c>
      <c r="AE8" s="50" t="s">
        <v>6</v>
      </c>
      <c r="AF8" s="51" t="s">
        <v>96</v>
      </c>
      <c r="AG8" s="382" t="s">
        <v>7</v>
      </c>
      <c r="AH8" s="383" t="s">
        <v>5</v>
      </c>
      <c r="AI8" s="45" t="s">
        <v>7</v>
      </c>
      <c r="AJ8" s="45" t="s">
        <v>6</v>
      </c>
      <c r="AK8" s="45" t="s">
        <v>96</v>
      </c>
      <c r="AL8" s="45"/>
    </row>
    <row r="9" spans="1:38" s="57" customFormat="1" ht="12.75">
      <c r="A9" s="52"/>
      <c r="B9" s="52"/>
      <c r="C9" s="52"/>
      <c r="D9" s="447"/>
      <c r="E9" s="447"/>
      <c r="F9" s="447"/>
      <c r="G9" s="267"/>
      <c r="H9" s="53" t="s">
        <v>87</v>
      </c>
      <c r="I9" s="52"/>
      <c r="J9" s="52" t="s">
        <v>90</v>
      </c>
      <c r="K9" s="52" t="s">
        <v>92</v>
      </c>
      <c r="L9" s="52" t="s">
        <v>93</v>
      </c>
      <c r="M9" s="792" t="s">
        <v>97</v>
      </c>
      <c r="N9" s="793"/>
      <c r="O9" s="792" t="s">
        <v>98</v>
      </c>
      <c r="P9" s="793"/>
      <c r="Q9" s="792" t="s">
        <v>99</v>
      </c>
      <c r="R9" s="793"/>
      <c r="S9" s="772" t="s">
        <v>115</v>
      </c>
      <c r="T9" s="772"/>
      <c r="U9" s="772" t="s">
        <v>101</v>
      </c>
      <c r="V9" s="772"/>
      <c r="W9" s="772" t="s">
        <v>116</v>
      </c>
      <c r="X9" s="772"/>
      <c r="Y9" s="52"/>
      <c r="Z9" s="52"/>
      <c r="AA9" s="55"/>
      <c r="AB9" s="55"/>
      <c r="AC9" s="772" t="s">
        <v>105</v>
      </c>
      <c r="AD9" s="772"/>
      <c r="AE9" s="772" t="s">
        <v>119</v>
      </c>
      <c r="AF9" s="772"/>
      <c r="AG9" s="794" t="s">
        <v>402</v>
      </c>
      <c r="AH9" s="794"/>
      <c r="AI9" s="56"/>
      <c r="AJ9" s="56"/>
      <c r="AK9" s="54" t="s">
        <v>101</v>
      </c>
      <c r="AL9" s="54"/>
    </row>
    <row r="10" spans="1:38" s="57" customFormat="1" ht="13.5" thickBot="1">
      <c r="A10" s="58"/>
      <c r="B10" s="59"/>
      <c r="C10" s="58"/>
      <c r="D10" s="439" t="s">
        <v>736</v>
      </c>
      <c r="E10" s="439" t="s">
        <v>737</v>
      </c>
      <c r="F10" s="439" t="s">
        <v>738</v>
      </c>
      <c r="G10" s="439"/>
      <c r="H10" s="60" t="s">
        <v>88</v>
      </c>
      <c r="I10" s="58" t="s">
        <v>89</v>
      </c>
      <c r="J10" s="58" t="s">
        <v>91</v>
      </c>
      <c r="K10" s="58" t="s">
        <v>91</v>
      </c>
      <c r="L10" s="58" t="s">
        <v>94</v>
      </c>
      <c r="M10" s="61" t="s">
        <v>103</v>
      </c>
      <c r="N10" s="61" t="s">
        <v>100</v>
      </c>
      <c r="O10" s="61" t="s">
        <v>103</v>
      </c>
      <c r="P10" s="61" t="s">
        <v>100</v>
      </c>
      <c r="Q10" s="61" t="s">
        <v>103</v>
      </c>
      <c r="R10" s="61" t="s">
        <v>100</v>
      </c>
      <c r="S10" s="61" t="s">
        <v>103</v>
      </c>
      <c r="T10" s="61" t="s">
        <v>100</v>
      </c>
      <c r="U10" s="61" t="s">
        <v>100</v>
      </c>
      <c r="V10" s="61" t="s">
        <v>102</v>
      </c>
      <c r="W10" s="61" t="s">
        <v>103</v>
      </c>
      <c r="X10" s="61" t="s">
        <v>104</v>
      </c>
      <c r="Y10" s="61" t="s">
        <v>103</v>
      </c>
      <c r="Z10" s="61" t="s">
        <v>100</v>
      </c>
      <c r="AA10" s="62" t="s">
        <v>103</v>
      </c>
      <c r="AB10" s="62" t="s">
        <v>100</v>
      </c>
      <c r="AC10" s="61" t="s">
        <v>100</v>
      </c>
      <c r="AD10" s="61" t="s">
        <v>100</v>
      </c>
      <c r="AE10" s="63" t="s">
        <v>100</v>
      </c>
      <c r="AF10" s="64" t="s">
        <v>102</v>
      </c>
      <c r="AG10" s="384" t="s">
        <v>103</v>
      </c>
      <c r="AH10" s="385" t="s">
        <v>104</v>
      </c>
      <c r="AI10" s="61" t="s">
        <v>103</v>
      </c>
      <c r="AJ10" s="61" t="s">
        <v>102</v>
      </c>
      <c r="AK10" s="61" t="s">
        <v>102</v>
      </c>
      <c r="AL10" s="58"/>
    </row>
    <row r="11" spans="1:38" s="68" customFormat="1" ht="12" customHeight="1">
      <c r="A11" s="441">
        <v>1</v>
      </c>
      <c r="B11" s="66" t="s">
        <v>78</v>
      </c>
      <c r="C11" s="67"/>
      <c r="D11" s="665" t="s">
        <v>749</v>
      </c>
      <c r="E11" s="543" t="s">
        <v>750</v>
      </c>
      <c r="F11" s="542"/>
      <c r="G11" s="542" t="s">
        <v>749</v>
      </c>
      <c r="H11" s="600">
        <v>40872</v>
      </c>
      <c r="I11" s="542" t="s">
        <v>10</v>
      </c>
      <c r="J11" s="543">
        <v>277</v>
      </c>
      <c r="K11" s="520">
        <v>354</v>
      </c>
      <c r="L11" s="520">
        <v>3</v>
      </c>
      <c r="M11" s="601">
        <v>299242</v>
      </c>
      <c r="N11" s="602">
        <v>29409</v>
      </c>
      <c r="O11" s="601">
        <v>515976</v>
      </c>
      <c r="P11" s="602">
        <v>50500</v>
      </c>
      <c r="Q11" s="601">
        <v>500345</v>
      </c>
      <c r="R11" s="602">
        <v>48845</v>
      </c>
      <c r="S11" s="603">
        <f aca="true" t="shared" si="0" ref="S11:S30">SUM(M11+O11+Q11)</f>
        <v>1315563</v>
      </c>
      <c r="T11" s="604">
        <f aca="true" t="shared" si="1" ref="T11:T30">N11+P11+R11</f>
        <v>128754</v>
      </c>
      <c r="U11" s="544">
        <f>IF(S11&lt;&gt;0,T11/K11,"")</f>
        <v>363.7118644067797</v>
      </c>
      <c r="V11" s="545">
        <f aca="true" t="shared" si="2" ref="V11:V24">IF(S11&lt;&gt;0,S11/T11,"")</f>
        <v>10.217647607064634</v>
      </c>
      <c r="W11" s="546">
        <v>1841107</v>
      </c>
      <c r="X11" s="547">
        <f aca="true" t="shared" si="3" ref="X11:X30">IF(W11&lt;&gt;0,-(W11-S11)/W11,"")</f>
        <v>-0.28545000372058765</v>
      </c>
      <c r="Y11" s="605">
        <f aca="true" t="shared" si="4" ref="Y11:Y30">AA11-S11</f>
        <v>769032</v>
      </c>
      <c r="Z11" s="544">
        <f aca="true" t="shared" si="5" ref="Z11:Z30">AB11-T11</f>
        <v>93456</v>
      </c>
      <c r="AA11" s="606">
        <v>2084595</v>
      </c>
      <c r="AB11" s="607">
        <v>222210</v>
      </c>
      <c r="AC11" s="547">
        <f aca="true" t="shared" si="6" ref="AC11:AC30">T11*1/AB11</f>
        <v>0.5794248683677602</v>
      </c>
      <c r="AD11" s="547">
        <f aca="true" t="shared" si="7" ref="AD11:AD30">Z11*1/AB11</f>
        <v>0.42057513163223975</v>
      </c>
      <c r="AE11" s="544">
        <f aca="true" t="shared" si="8" ref="AE11:AE30">AB11/K11</f>
        <v>627.7118644067797</v>
      </c>
      <c r="AF11" s="545">
        <f aca="true" t="shared" si="9" ref="AF11:AF30">AA11/AB11</f>
        <v>9.38119346564061</v>
      </c>
      <c r="AG11" s="526">
        <v>2856646</v>
      </c>
      <c r="AH11" s="547">
        <f aca="true" t="shared" si="10" ref="AH11:AH17">IF(AG11&lt;&gt;0,-(AG11-AA11)/AG11,"")</f>
        <v>-0.27026484905725107</v>
      </c>
      <c r="AI11" s="526">
        <v>7895123</v>
      </c>
      <c r="AJ11" s="608">
        <v>836033</v>
      </c>
      <c r="AK11" s="548">
        <f>AI11/AJ11</f>
        <v>9.443554261614075</v>
      </c>
      <c r="AL11" s="432">
        <v>1</v>
      </c>
    </row>
    <row r="12" spans="1:38" s="68" customFormat="1" ht="12" customHeight="1">
      <c r="A12" s="69">
        <v>2</v>
      </c>
      <c r="B12" s="70"/>
      <c r="C12" s="71"/>
      <c r="D12" s="666" t="s">
        <v>780</v>
      </c>
      <c r="E12" s="21" t="s">
        <v>787</v>
      </c>
      <c r="F12" s="21"/>
      <c r="G12" s="21" t="s">
        <v>780</v>
      </c>
      <c r="H12" s="360">
        <v>40879</v>
      </c>
      <c r="I12" s="345" t="s">
        <v>28</v>
      </c>
      <c r="J12" s="21">
        <v>35</v>
      </c>
      <c r="K12" s="550">
        <v>140</v>
      </c>
      <c r="L12" s="550">
        <v>2</v>
      </c>
      <c r="M12" s="551">
        <v>157780.5</v>
      </c>
      <c r="N12" s="552">
        <v>17380</v>
      </c>
      <c r="O12" s="551">
        <v>313769.5</v>
      </c>
      <c r="P12" s="552">
        <v>33401</v>
      </c>
      <c r="Q12" s="551">
        <v>327915.5</v>
      </c>
      <c r="R12" s="552">
        <v>34320</v>
      </c>
      <c r="S12" s="18">
        <f t="shared" si="0"/>
        <v>799465.5</v>
      </c>
      <c r="T12" s="19">
        <f t="shared" si="1"/>
        <v>85101</v>
      </c>
      <c r="U12" s="186">
        <f>IF(S12&lt;&gt;0,T12/K12,"")</f>
        <v>607.8642857142858</v>
      </c>
      <c r="V12" s="161">
        <f t="shared" si="2"/>
        <v>9.39431381534882</v>
      </c>
      <c r="W12" s="553">
        <v>1087872.75</v>
      </c>
      <c r="X12" s="554">
        <f t="shared" si="3"/>
        <v>-0.2651111998163388</v>
      </c>
      <c r="Y12" s="234">
        <f t="shared" si="4"/>
        <v>395024.25</v>
      </c>
      <c r="Z12" s="186">
        <f t="shared" si="5"/>
        <v>50160</v>
      </c>
      <c r="AA12" s="583">
        <v>1194489.75</v>
      </c>
      <c r="AB12" s="584">
        <v>135261</v>
      </c>
      <c r="AC12" s="554">
        <f t="shared" si="6"/>
        <v>0.6291613990729035</v>
      </c>
      <c r="AD12" s="554">
        <f t="shared" si="7"/>
        <v>0.37083860092709653</v>
      </c>
      <c r="AE12" s="186">
        <f t="shared" si="8"/>
        <v>966.15</v>
      </c>
      <c r="AF12" s="161">
        <f t="shared" si="9"/>
        <v>8.830998957570918</v>
      </c>
      <c r="AG12" s="18">
        <v>1709882.25</v>
      </c>
      <c r="AH12" s="554">
        <f t="shared" si="10"/>
        <v>-0.3014198784740879</v>
      </c>
      <c r="AI12" s="18">
        <f>1709882.25+1194489.75</f>
        <v>2904372</v>
      </c>
      <c r="AJ12" s="19">
        <f>195314+135261</f>
        <v>330575</v>
      </c>
      <c r="AK12" s="216">
        <f>+AI12/AJ12</f>
        <v>8.785818649323149</v>
      </c>
      <c r="AL12" s="433">
        <v>2</v>
      </c>
    </row>
    <row r="13" spans="1:38" s="68" customFormat="1" ht="12" customHeight="1">
      <c r="A13" s="69">
        <v>3</v>
      </c>
      <c r="B13" s="75"/>
      <c r="C13" s="71"/>
      <c r="D13" s="667" t="s">
        <v>687</v>
      </c>
      <c r="E13" s="12" t="s">
        <v>693</v>
      </c>
      <c r="F13" s="12"/>
      <c r="G13" s="12" t="s">
        <v>687</v>
      </c>
      <c r="H13" s="359">
        <v>40851</v>
      </c>
      <c r="I13" s="345" t="s">
        <v>28</v>
      </c>
      <c r="J13" s="14">
        <v>247</v>
      </c>
      <c r="K13" s="550">
        <v>163</v>
      </c>
      <c r="L13" s="550">
        <v>6</v>
      </c>
      <c r="M13" s="551">
        <v>153049.5</v>
      </c>
      <c r="N13" s="552">
        <v>21627</v>
      </c>
      <c r="O13" s="551">
        <v>200784</v>
      </c>
      <c r="P13" s="552">
        <v>27267</v>
      </c>
      <c r="Q13" s="551">
        <v>267847.5</v>
      </c>
      <c r="R13" s="552">
        <v>39566</v>
      </c>
      <c r="S13" s="18">
        <f t="shared" si="0"/>
        <v>621681</v>
      </c>
      <c r="T13" s="19">
        <f t="shared" si="1"/>
        <v>88460</v>
      </c>
      <c r="U13" s="186">
        <f>IF(S13&lt;&gt;0,T13/K13,"")</f>
        <v>542.6993865030674</v>
      </c>
      <c r="V13" s="161">
        <f t="shared" si="2"/>
        <v>7.0278204838345015</v>
      </c>
      <c r="W13" s="553">
        <v>1119411</v>
      </c>
      <c r="X13" s="554">
        <f t="shared" si="3"/>
        <v>-0.4446356164089865</v>
      </c>
      <c r="Y13" s="234">
        <f t="shared" si="4"/>
        <v>567804.5</v>
      </c>
      <c r="Z13" s="186">
        <f t="shared" si="5"/>
        <v>89810</v>
      </c>
      <c r="AA13" s="583">
        <v>1189485.5</v>
      </c>
      <c r="AB13" s="584">
        <v>178270</v>
      </c>
      <c r="AC13" s="554">
        <f t="shared" si="6"/>
        <v>0.4962136085712683</v>
      </c>
      <c r="AD13" s="554">
        <f t="shared" si="7"/>
        <v>0.5037863914287317</v>
      </c>
      <c r="AE13" s="186">
        <f t="shared" si="8"/>
        <v>1093.6809815950921</v>
      </c>
      <c r="AF13" s="161">
        <f t="shared" si="9"/>
        <v>6.6723817804453915</v>
      </c>
      <c r="AG13" s="18">
        <v>1906742.5</v>
      </c>
      <c r="AH13" s="554">
        <f t="shared" si="10"/>
        <v>-0.3761687800004458</v>
      </c>
      <c r="AI13" s="18">
        <f>2260223+2366876.75+3859638+3137342+1906742.5+252.25+1189485.5</f>
        <v>14720560</v>
      </c>
      <c r="AJ13" s="19">
        <f>286038+329194+554088+452220+278080+42+178270</f>
        <v>2077932</v>
      </c>
      <c r="AK13" s="216">
        <f>+AI13/AJ13</f>
        <v>7.084235672774662</v>
      </c>
      <c r="AL13" s="433">
        <v>3</v>
      </c>
    </row>
    <row r="14" spans="1:38" s="68" customFormat="1" ht="12" customHeight="1">
      <c r="A14" s="69">
        <v>4</v>
      </c>
      <c r="B14" s="77" t="s">
        <v>78</v>
      </c>
      <c r="C14" s="78" t="s">
        <v>77</v>
      </c>
      <c r="D14" s="668" t="s">
        <v>765</v>
      </c>
      <c r="E14" s="556" t="s">
        <v>788</v>
      </c>
      <c r="F14" s="344"/>
      <c r="G14" s="556" t="s">
        <v>765</v>
      </c>
      <c r="H14" s="360">
        <v>40879</v>
      </c>
      <c r="I14" s="345" t="s">
        <v>30</v>
      </c>
      <c r="J14" s="21">
        <v>202</v>
      </c>
      <c r="K14" s="21">
        <v>202</v>
      </c>
      <c r="L14" s="21">
        <v>2</v>
      </c>
      <c r="M14" s="557">
        <v>134525.5</v>
      </c>
      <c r="N14" s="558">
        <v>14450</v>
      </c>
      <c r="O14" s="557">
        <v>264244</v>
      </c>
      <c r="P14" s="558">
        <v>27623</v>
      </c>
      <c r="Q14" s="557">
        <v>293256.5</v>
      </c>
      <c r="R14" s="558">
        <v>30719</v>
      </c>
      <c r="S14" s="18">
        <f t="shared" si="0"/>
        <v>692026</v>
      </c>
      <c r="T14" s="19">
        <f t="shared" si="1"/>
        <v>72792</v>
      </c>
      <c r="U14" s="19">
        <f>T14/K14</f>
        <v>360.35643564356434</v>
      </c>
      <c r="V14" s="161">
        <f t="shared" si="2"/>
        <v>9.506896362237608</v>
      </c>
      <c r="W14" s="553">
        <v>680101.5</v>
      </c>
      <c r="X14" s="554">
        <f t="shared" si="3"/>
        <v>0.017533412292135807</v>
      </c>
      <c r="Y14" s="234">
        <f t="shared" si="4"/>
        <v>396587</v>
      </c>
      <c r="Z14" s="186">
        <f t="shared" si="5"/>
        <v>51255</v>
      </c>
      <c r="AA14" s="589">
        <v>1088613</v>
      </c>
      <c r="AB14" s="590">
        <v>124047</v>
      </c>
      <c r="AC14" s="554">
        <f t="shared" si="6"/>
        <v>0.5868098382064862</v>
      </c>
      <c r="AD14" s="554">
        <f t="shared" si="7"/>
        <v>0.41319016179351375</v>
      </c>
      <c r="AE14" s="186">
        <f t="shared" si="8"/>
        <v>614.0940594059406</v>
      </c>
      <c r="AF14" s="161">
        <f t="shared" si="9"/>
        <v>8.775810781397373</v>
      </c>
      <c r="AG14" s="16">
        <v>1080241.5</v>
      </c>
      <c r="AH14" s="554">
        <f t="shared" si="10"/>
        <v>0.007749655979704538</v>
      </c>
      <c r="AI14" s="16">
        <f>1080241.5+1088613</f>
        <v>2168854.5</v>
      </c>
      <c r="AJ14" s="17">
        <f>121812+124047</f>
        <v>245859</v>
      </c>
      <c r="AK14" s="216">
        <f>+AI14/AJ14</f>
        <v>8.821537954681341</v>
      </c>
      <c r="AL14" s="433">
        <v>4</v>
      </c>
    </row>
    <row r="15" spans="1:38" s="68" customFormat="1" ht="12" customHeight="1">
      <c r="A15" s="69">
        <v>5</v>
      </c>
      <c r="B15" s="79"/>
      <c r="C15" s="71"/>
      <c r="D15" s="668" t="s">
        <v>689</v>
      </c>
      <c r="E15" s="21" t="s">
        <v>690</v>
      </c>
      <c r="F15" s="14" t="s">
        <v>691</v>
      </c>
      <c r="G15" s="14" t="s">
        <v>692</v>
      </c>
      <c r="H15" s="371">
        <v>40865</v>
      </c>
      <c r="I15" s="345" t="s">
        <v>30</v>
      </c>
      <c r="J15" s="14">
        <v>269</v>
      </c>
      <c r="K15" s="21">
        <v>269</v>
      </c>
      <c r="L15" s="21">
        <v>4</v>
      </c>
      <c r="M15" s="557">
        <v>127989.5</v>
      </c>
      <c r="N15" s="558">
        <v>13996</v>
      </c>
      <c r="O15" s="557">
        <v>282103</v>
      </c>
      <c r="P15" s="558">
        <v>30833</v>
      </c>
      <c r="Q15" s="557">
        <v>260234</v>
      </c>
      <c r="R15" s="558">
        <v>28081</v>
      </c>
      <c r="S15" s="18">
        <f t="shared" si="0"/>
        <v>670326.5</v>
      </c>
      <c r="T15" s="19">
        <f t="shared" si="1"/>
        <v>72910</v>
      </c>
      <c r="U15" s="186">
        <f aca="true" t="shared" si="11" ref="U15:U24">IF(S15&lt;&gt;0,T15/K15,"")</f>
        <v>271.04089219330854</v>
      </c>
      <c r="V15" s="161">
        <f t="shared" si="2"/>
        <v>9.19388972706076</v>
      </c>
      <c r="W15" s="18">
        <v>1055094.5</v>
      </c>
      <c r="X15" s="554">
        <f t="shared" si="3"/>
        <v>-0.36467633941793837</v>
      </c>
      <c r="Y15" s="234">
        <f t="shared" si="4"/>
        <v>301540</v>
      </c>
      <c r="Z15" s="186">
        <f t="shared" si="5"/>
        <v>39252</v>
      </c>
      <c r="AA15" s="589">
        <v>971866.5</v>
      </c>
      <c r="AB15" s="590">
        <v>112162</v>
      </c>
      <c r="AC15" s="554">
        <f t="shared" si="6"/>
        <v>0.6500419036750414</v>
      </c>
      <c r="AD15" s="554">
        <f t="shared" si="7"/>
        <v>0.34995809632495856</v>
      </c>
      <c r="AE15" s="186">
        <f t="shared" si="8"/>
        <v>416.95910780669146</v>
      </c>
      <c r="AF15" s="161">
        <f t="shared" si="9"/>
        <v>8.664846382910433</v>
      </c>
      <c r="AG15" s="16">
        <v>1490952</v>
      </c>
      <c r="AH15" s="554">
        <f t="shared" si="10"/>
        <v>-0.3481570835278399</v>
      </c>
      <c r="AI15" s="16">
        <f>5909490.25+3097966.75+1490952+971866.5</f>
        <v>11470275.5</v>
      </c>
      <c r="AJ15" s="17">
        <f>649738+347416+170125+112162</f>
        <v>1279441</v>
      </c>
      <c r="AK15" s="216">
        <f>+AI15/AJ15</f>
        <v>8.96506794764276</v>
      </c>
      <c r="AL15" s="433">
        <v>5</v>
      </c>
    </row>
    <row r="16" spans="1:38" s="68" customFormat="1" ht="12" customHeight="1">
      <c r="A16" s="69">
        <v>6</v>
      </c>
      <c r="B16" s="77" t="s">
        <v>78</v>
      </c>
      <c r="C16" s="78" t="s">
        <v>77</v>
      </c>
      <c r="D16" s="669" t="s">
        <v>766</v>
      </c>
      <c r="E16" s="21" t="s">
        <v>789</v>
      </c>
      <c r="F16" s="345" t="s">
        <v>697</v>
      </c>
      <c r="G16" s="345" t="s">
        <v>767</v>
      </c>
      <c r="H16" s="359">
        <v>40879</v>
      </c>
      <c r="I16" s="345" t="s">
        <v>10</v>
      </c>
      <c r="J16" s="21">
        <v>114</v>
      </c>
      <c r="K16" s="12">
        <v>110</v>
      </c>
      <c r="L16" s="12">
        <v>2</v>
      </c>
      <c r="M16" s="16">
        <v>59723</v>
      </c>
      <c r="N16" s="17">
        <v>5535</v>
      </c>
      <c r="O16" s="16">
        <v>204805</v>
      </c>
      <c r="P16" s="17">
        <v>17173</v>
      </c>
      <c r="Q16" s="16">
        <v>193503</v>
      </c>
      <c r="R16" s="17">
        <v>16572</v>
      </c>
      <c r="S16" s="18">
        <f t="shared" si="0"/>
        <v>458031</v>
      </c>
      <c r="T16" s="19">
        <f t="shared" si="1"/>
        <v>39280</v>
      </c>
      <c r="U16" s="186">
        <f t="shared" si="11"/>
        <v>357.09090909090907</v>
      </c>
      <c r="V16" s="161">
        <f t="shared" si="2"/>
        <v>11.66066700610998</v>
      </c>
      <c r="W16" s="559">
        <v>567087</v>
      </c>
      <c r="X16" s="554">
        <f t="shared" si="3"/>
        <v>-0.19230911659057606</v>
      </c>
      <c r="Y16" s="234">
        <f t="shared" si="4"/>
        <v>99919</v>
      </c>
      <c r="Z16" s="186">
        <f t="shared" si="5"/>
        <v>11252</v>
      </c>
      <c r="AA16" s="591">
        <v>557950</v>
      </c>
      <c r="AB16" s="592">
        <v>50532</v>
      </c>
      <c r="AC16" s="554">
        <f t="shared" si="6"/>
        <v>0.7773292171297396</v>
      </c>
      <c r="AD16" s="554">
        <f t="shared" si="7"/>
        <v>0.22267078287026043</v>
      </c>
      <c r="AE16" s="186">
        <f t="shared" si="8"/>
        <v>459.3818181818182</v>
      </c>
      <c r="AF16" s="161">
        <f t="shared" si="9"/>
        <v>11.041518245864006</v>
      </c>
      <c r="AG16" s="156">
        <v>670703</v>
      </c>
      <c r="AH16" s="554">
        <f t="shared" si="10"/>
        <v>-0.16811166790665913</v>
      </c>
      <c r="AI16" s="156">
        <v>1228653</v>
      </c>
      <c r="AJ16" s="236">
        <v>108930</v>
      </c>
      <c r="AK16" s="396">
        <f>AI16/AJ16</f>
        <v>11.279289451941613</v>
      </c>
      <c r="AL16" s="433">
        <v>6</v>
      </c>
    </row>
    <row r="17" spans="1:38" s="68" customFormat="1" ht="12" customHeight="1">
      <c r="A17" s="69">
        <v>7</v>
      </c>
      <c r="B17" s="75"/>
      <c r="C17" s="71"/>
      <c r="D17" s="666" t="s">
        <v>768</v>
      </c>
      <c r="E17" s="21" t="s">
        <v>790</v>
      </c>
      <c r="F17" s="21" t="s">
        <v>695</v>
      </c>
      <c r="G17" s="21" t="s">
        <v>769</v>
      </c>
      <c r="H17" s="360">
        <v>40879</v>
      </c>
      <c r="I17" s="345" t="s">
        <v>8</v>
      </c>
      <c r="J17" s="21">
        <v>100</v>
      </c>
      <c r="K17" s="14">
        <v>90</v>
      </c>
      <c r="L17" s="14">
        <v>2</v>
      </c>
      <c r="M17" s="156">
        <v>67429</v>
      </c>
      <c r="N17" s="236">
        <v>4918</v>
      </c>
      <c r="O17" s="156">
        <v>127158</v>
      </c>
      <c r="P17" s="236">
        <v>9325</v>
      </c>
      <c r="Q17" s="156">
        <v>123968</v>
      </c>
      <c r="R17" s="236">
        <v>9114</v>
      </c>
      <c r="S17" s="18">
        <f t="shared" si="0"/>
        <v>318555</v>
      </c>
      <c r="T17" s="19">
        <f t="shared" si="1"/>
        <v>23357</v>
      </c>
      <c r="U17" s="186">
        <f t="shared" si="11"/>
        <v>259.52222222222224</v>
      </c>
      <c r="V17" s="161">
        <f t="shared" si="2"/>
        <v>13.63852378302008</v>
      </c>
      <c r="W17" s="553">
        <v>348686</v>
      </c>
      <c r="X17" s="554">
        <f t="shared" si="3"/>
        <v>-0.08641299048427525</v>
      </c>
      <c r="Y17" s="234">
        <f t="shared" si="4"/>
        <v>150819</v>
      </c>
      <c r="Z17" s="186">
        <f t="shared" si="5"/>
        <v>13657</v>
      </c>
      <c r="AA17" s="587">
        <v>469374</v>
      </c>
      <c r="AB17" s="588">
        <v>37014</v>
      </c>
      <c r="AC17" s="554">
        <f t="shared" si="6"/>
        <v>0.6310315015939915</v>
      </c>
      <c r="AD17" s="554">
        <f t="shared" si="7"/>
        <v>0.36896849840600854</v>
      </c>
      <c r="AE17" s="186">
        <f t="shared" si="8"/>
        <v>411.26666666666665</v>
      </c>
      <c r="AF17" s="161">
        <f t="shared" si="9"/>
        <v>12.680985573026422</v>
      </c>
      <c r="AG17" s="18">
        <v>529301</v>
      </c>
      <c r="AH17" s="554">
        <f t="shared" si="10"/>
        <v>-0.11321913240292386</v>
      </c>
      <c r="AI17" s="13">
        <v>998675</v>
      </c>
      <c r="AJ17" s="312">
        <v>80828</v>
      </c>
      <c r="AK17" s="216">
        <f>+AI17/AJ17</f>
        <v>12.35555748008116</v>
      </c>
      <c r="AL17" s="433">
        <v>7</v>
      </c>
    </row>
    <row r="18" spans="1:38" s="68" customFormat="1" ht="12" customHeight="1">
      <c r="A18" s="69">
        <v>8</v>
      </c>
      <c r="B18" s="77" t="s">
        <v>78</v>
      </c>
      <c r="C18" s="71"/>
      <c r="D18" s="670" t="s">
        <v>791</v>
      </c>
      <c r="E18" s="627" t="s">
        <v>792</v>
      </c>
      <c r="F18" s="628"/>
      <c r="G18" s="628" t="s">
        <v>791</v>
      </c>
      <c r="H18" s="629">
        <v>40886</v>
      </c>
      <c r="I18" s="630" t="s">
        <v>23</v>
      </c>
      <c r="J18" s="628">
        <v>161</v>
      </c>
      <c r="K18" s="627">
        <v>161</v>
      </c>
      <c r="L18" s="627">
        <v>1</v>
      </c>
      <c r="M18" s="631">
        <v>47687</v>
      </c>
      <c r="N18" s="632">
        <v>5273</v>
      </c>
      <c r="O18" s="631">
        <v>101287</v>
      </c>
      <c r="P18" s="632">
        <v>10749</v>
      </c>
      <c r="Q18" s="631">
        <v>116864</v>
      </c>
      <c r="R18" s="632">
        <v>12863</v>
      </c>
      <c r="S18" s="633">
        <f t="shared" si="0"/>
        <v>265838</v>
      </c>
      <c r="T18" s="634">
        <f t="shared" si="1"/>
        <v>28885</v>
      </c>
      <c r="U18" s="635">
        <f t="shared" si="11"/>
        <v>179.40993788819875</v>
      </c>
      <c r="V18" s="636">
        <f t="shared" si="2"/>
        <v>9.20332352432058</v>
      </c>
      <c r="W18" s="637"/>
      <c r="X18" s="638">
        <f t="shared" si="3"/>
      </c>
      <c r="Y18" s="639">
        <f t="shared" si="4"/>
        <v>176333</v>
      </c>
      <c r="Z18" s="635">
        <f t="shared" si="5"/>
        <v>22613</v>
      </c>
      <c r="AA18" s="640">
        <v>442171</v>
      </c>
      <c r="AB18" s="641">
        <v>51498</v>
      </c>
      <c r="AC18" s="638">
        <f t="shared" si="6"/>
        <v>0.5608955687599518</v>
      </c>
      <c r="AD18" s="638">
        <f t="shared" si="7"/>
        <v>0.43910443124004817</v>
      </c>
      <c r="AE18" s="635">
        <f t="shared" si="8"/>
        <v>319.8633540372671</v>
      </c>
      <c r="AF18" s="636">
        <f t="shared" si="9"/>
        <v>8.58617810400404</v>
      </c>
      <c r="AG18" s="633"/>
      <c r="AH18" s="638"/>
      <c r="AI18" s="633">
        <v>442171</v>
      </c>
      <c r="AJ18" s="634">
        <v>51498</v>
      </c>
      <c r="AK18" s="642">
        <f aca="true" t="shared" si="12" ref="AK18:AK30">AI18/AJ18</f>
        <v>8.58617810400404</v>
      </c>
      <c r="AL18" s="433">
        <v>8</v>
      </c>
    </row>
    <row r="19" spans="1:38" s="68" customFormat="1" ht="12" customHeight="1">
      <c r="A19" s="69">
        <v>9</v>
      </c>
      <c r="B19" s="70"/>
      <c r="C19" s="71"/>
      <c r="D19" s="666" t="s">
        <v>679</v>
      </c>
      <c r="E19" s="21" t="s">
        <v>694</v>
      </c>
      <c r="F19" s="21" t="s">
        <v>695</v>
      </c>
      <c r="G19" s="21" t="s">
        <v>680</v>
      </c>
      <c r="H19" s="360">
        <v>40858</v>
      </c>
      <c r="I19" s="345" t="s">
        <v>8</v>
      </c>
      <c r="J19" s="21">
        <v>132</v>
      </c>
      <c r="K19" s="14">
        <v>73</v>
      </c>
      <c r="L19" s="14">
        <v>5</v>
      </c>
      <c r="M19" s="156">
        <v>51198</v>
      </c>
      <c r="N19" s="236">
        <v>4511</v>
      </c>
      <c r="O19" s="156">
        <v>93277</v>
      </c>
      <c r="P19" s="236">
        <v>8253</v>
      </c>
      <c r="Q19" s="156">
        <v>87423</v>
      </c>
      <c r="R19" s="236">
        <v>7860</v>
      </c>
      <c r="S19" s="18">
        <f t="shared" si="0"/>
        <v>231898</v>
      </c>
      <c r="T19" s="19">
        <f t="shared" si="1"/>
        <v>20624</v>
      </c>
      <c r="U19" s="186">
        <f t="shared" si="11"/>
        <v>282.52054794520546</v>
      </c>
      <c r="V19" s="161">
        <f t="shared" si="2"/>
        <v>11.244084561675718</v>
      </c>
      <c r="W19" s="553">
        <v>301301</v>
      </c>
      <c r="X19" s="554">
        <f t="shared" si="3"/>
        <v>-0.23034440642414064</v>
      </c>
      <c r="Y19" s="234">
        <f t="shared" si="4"/>
        <v>132755</v>
      </c>
      <c r="Z19" s="186">
        <f t="shared" si="5"/>
        <v>14228</v>
      </c>
      <c r="AA19" s="587">
        <v>364653</v>
      </c>
      <c r="AB19" s="588">
        <v>34852</v>
      </c>
      <c r="AC19" s="554">
        <f t="shared" si="6"/>
        <v>0.5917594399173649</v>
      </c>
      <c r="AD19" s="554">
        <f t="shared" si="7"/>
        <v>0.40824056008263515</v>
      </c>
      <c r="AE19" s="186">
        <f t="shared" si="8"/>
        <v>477.4246575342466</v>
      </c>
      <c r="AF19" s="161">
        <f t="shared" si="9"/>
        <v>10.462900263973372</v>
      </c>
      <c r="AG19" s="156">
        <v>473207</v>
      </c>
      <c r="AH19" s="554">
        <f>IF(AG19&lt;&gt;0,-(AG19-AA19)/AG19,"")</f>
        <v>-0.22940066398003411</v>
      </c>
      <c r="AI19" s="13">
        <v>5839909</v>
      </c>
      <c r="AJ19" s="312">
        <v>522583</v>
      </c>
      <c r="AK19" s="396">
        <f t="shared" si="12"/>
        <v>11.175084149312166</v>
      </c>
      <c r="AL19" s="433">
        <v>9</v>
      </c>
    </row>
    <row r="20" spans="1:38" s="68" customFormat="1" ht="12" customHeight="1">
      <c r="A20" s="69">
        <v>10</v>
      </c>
      <c r="B20" s="75"/>
      <c r="C20" s="71"/>
      <c r="D20" s="671" t="s">
        <v>793</v>
      </c>
      <c r="E20" s="627" t="s">
        <v>794</v>
      </c>
      <c r="F20" s="630"/>
      <c r="G20" s="630" t="s">
        <v>793</v>
      </c>
      <c r="H20" s="629">
        <v>40886</v>
      </c>
      <c r="I20" s="630" t="s">
        <v>134</v>
      </c>
      <c r="J20" s="627">
        <v>82</v>
      </c>
      <c r="K20" s="643">
        <v>82</v>
      </c>
      <c r="L20" s="643">
        <v>1</v>
      </c>
      <c r="M20" s="644">
        <v>42745</v>
      </c>
      <c r="N20" s="645">
        <v>4432</v>
      </c>
      <c r="O20" s="644">
        <v>79775</v>
      </c>
      <c r="P20" s="645">
        <v>8158</v>
      </c>
      <c r="Q20" s="644">
        <v>90499</v>
      </c>
      <c r="R20" s="645">
        <v>9116</v>
      </c>
      <c r="S20" s="633">
        <f t="shared" si="0"/>
        <v>213019</v>
      </c>
      <c r="T20" s="634">
        <f t="shared" si="1"/>
        <v>21706</v>
      </c>
      <c r="U20" s="635">
        <f t="shared" si="11"/>
        <v>264.7073170731707</v>
      </c>
      <c r="V20" s="636">
        <f t="shared" si="2"/>
        <v>9.81383027734267</v>
      </c>
      <c r="W20" s="646"/>
      <c r="X20" s="638">
        <f t="shared" si="3"/>
      </c>
      <c r="Y20" s="639">
        <f t="shared" si="4"/>
        <v>141994.5</v>
      </c>
      <c r="Z20" s="635">
        <f t="shared" si="5"/>
        <v>17958</v>
      </c>
      <c r="AA20" s="647">
        <v>355013.5</v>
      </c>
      <c r="AB20" s="648">
        <v>39664</v>
      </c>
      <c r="AC20" s="638">
        <f t="shared" si="6"/>
        <v>0.547246873739411</v>
      </c>
      <c r="AD20" s="638">
        <f t="shared" si="7"/>
        <v>0.45275312626058895</v>
      </c>
      <c r="AE20" s="635">
        <f t="shared" si="8"/>
        <v>483.7073170731707</v>
      </c>
      <c r="AF20" s="636">
        <f t="shared" si="9"/>
        <v>8.950521883824123</v>
      </c>
      <c r="AG20" s="649"/>
      <c r="AH20" s="638"/>
      <c r="AI20" s="650">
        <v>355013.5</v>
      </c>
      <c r="AJ20" s="651">
        <v>39664</v>
      </c>
      <c r="AK20" s="642">
        <f t="shared" si="12"/>
        <v>8.950521883824123</v>
      </c>
      <c r="AL20" s="433">
        <v>10</v>
      </c>
    </row>
    <row r="21" spans="1:38" s="68" customFormat="1" ht="12" customHeight="1">
      <c r="A21" s="69">
        <v>11</v>
      </c>
      <c r="B21" s="77" t="s">
        <v>78</v>
      </c>
      <c r="C21" s="78" t="s">
        <v>77</v>
      </c>
      <c r="D21" s="671" t="s">
        <v>795</v>
      </c>
      <c r="E21" s="627" t="s">
        <v>796</v>
      </c>
      <c r="F21" s="630" t="s">
        <v>697</v>
      </c>
      <c r="G21" s="630" t="s">
        <v>797</v>
      </c>
      <c r="H21" s="629">
        <v>40886</v>
      </c>
      <c r="I21" s="630" t="s">
        <v>10</v>
      </c>
      <c r="J21" s="627">
        <v>25</v>
      </c>
      <c r="K21" s="643">
        <v>25</v>
      </c>
      <c r="L21" s="643">
        <v>1</v>
      </c>
      <c r="M21" s="652">
        <v>44826</v>
      </c>
      <c r="N21" s="653">
        <v>3185</v>
      </c>
      <c r="O21" s="652">
        <v>70696</v>
      </c>
      <c r="P21" s="653">
        <v>4980</v>
      </c>
      <c r="Q21" s="652">
        <v>60481</v>
      </c>
      <c r="R21" s="653">
        <v>4274</v>
      </c>
      <c r="S21" s="633">
        <f t="shared" si="0"/>
        <v>176003</v>
      </c>
      <c r="T21" s="634">
        <f t="shared" si="1"/>
        <v>12439</v>
      </c>
      <c r="U21" s="635">
        <f t="shared" si="11"/>
        <v>497.56</v>
      </c>
      <c r="V21" s="636">
        <f t="shared" si="2"/>
        <v>14.149288528016722</v>
      </c>
      <c r="W21" s="646"/>
      <c r="X21" s="638">
        <f t="shared" si="3"/>
      </c>
      <c r="Y21" s="639">
        <f t="shared" si="4"/>
        <v>68996</v>
      </c>
      <c r="Z21" s="635">
        <f t="shared" si="5"/>
        <v>6730</v>
      </c>
      <c r="AA21" s="654">
        <v>244999</v>
      </c>
      <c r="AB21" s="655">
        <v>19169</v>
      </c>
      <c r="AC21" s="638">
        <f t="shared" si="6"/>
        <v>0.6489123063279253</v>
      </c>
      <c r="AD21" s="638">
        <f t="shared" si="7"/>
        <v>0.3510876936720747</v>
      </c>
      <c r="AE21" s="635">
        <f t="shared" si="8"/>
        <v>766.76</v>
      </c>
      <c r="AF21" s="636">
        <f t="shared" si="9"/>
        <v>12.781000573843185</v>
      </c>
      <c r="AG21" s="649"/>
      <c r="AH21" s="638"/>
      <c r="AI21" s="649">
        <v>244999</v>
      </c>
      <c r="AJ21" s="656">
        <v>19169</v>
      </c>
      <c r="AK21" s="642">
        <f t="shared" si="12"/>
        <v>12.781000573843185</v>
      </c>
      <c r="AL21" s="433">
        <v>11</v>
      </c>
    </row>
    <row r="22" spans="1:38" s="68" customFormat="1" ht="12" customHeight="1">
      <c r="A22" s="69">
        <v>12</v>
      </c>
      <c r="B22" s="79"/>
      <c r="C22" s="78" t="s">
        <v>77</v>
      </c>
      <c r="D22" s="672" t="s">
        <v>770</v>
      </c>
      <c r="E22" s="21" t="s">
        <v>798</v>
      </c>
      <c r="F22" s="354" t="s">
        <v>799</v>
      </c>
      <c r="G22" s="354" t="s">
        <v>771</v>
      </c>
      <c r="H22" s="359">
        <v>40879</v>
      </c>
      <c r="I22" s="345" t="s">
        <v>23</v>
      </c>
      <c r="J22" s="354">
        <v>38</v>
      </c>
      <c r="K22" s="21">
        <v>38</v>
      </c>
      <c r="L22" s="21">
        <v>2</v>
      </c>
      <c r="M22" s="551">
        <v>28805</v>
      </c>
      <c r="N22" s="552">
        <v>2448</v>
      </c>
      <c r="O22" s="551">
        <v>51284</v>
      </c>
      <c r="P22" s="552">
        <v>4261</v>
      </c>
      <c r="Q22" s="551">
        <v>52601</v>
      </c>
      <c r="R22" s="552">
        <v>4348</v>
      </c>
      <c r="S22" s="18">
        <f t="shared" si="0"/>
        <v>132690</v>
      </c>
      <c r="T22" s="19">
        <f t="shared" si="1"/>
        <v>11057</v>
      </c>
      <c r="U22" s="186">
        <f t="shared" si="11"/>
        <v>290.9736842105263</v>
      </c>
      <c r="V22" s="161">
        <f t="shared" si="2"/>
        <v>12.000542642669801</v>
      </c>
      <c r="W22" s="553">
        <v>164224</v>
      </c>
      <c r="X22" s="554">
        <f t="shared" si="3"/>
        <v>-0.19201821901792673</v>
      </c>
      <c r="Y22" s="234">
        <f t="shared" si="4"/>
        <v>66320</v>
      </c>
      <c r="Z22" s="186">
        <f t="shared" si="5"/>
        <v>7424</v>
      </c>
      <c r="AA22" s="583">
        <v>199010</v>
      </c>
      <c r="AB22" s="584">
        <v>18481</v>
      </c>
      <c r="AC22" s="554">
        <f t="shared" si="6"/>
        <v>0.5982901358151616</v>
      </c>
      <c r="AD22" s="554">
        <f t="shared" si="7"/>
        <v>0.4017098641848385</v>
      </c>
      <c r="AE22" s="186">
        <f t="shared" si="8"/>
        <v>486.3421052631579</v>
      </c>
      <c r="AF22" s="161">
        <f t="shared" si="9"/>
        <v>10.768356690655267</v>
      </c>
      <c r="AG22" s="18">
        <v>241091</v>
      </c>
      <c r="AH22" s="554">
        <f>IF(AG22&lt;&gt;0,-(AG22-AA22)/AG22,"")</f>
        <v>-0.17454405183105134</v>
      </c>
      <c r="AI22" s="18">
        <v>440101</v>
      </c>
      <c r="AJ22" s="19">
        <v>40365</v>
      </c>
      <c r="AK22" s="396">
        <f t="shared" si="12"/>
        <v>10.903034807382634</v>
      </c>
      <c r="AL22" s="433">
        <v>12</v>
      </c>
    </row>
    <row r="23" spans="1:38" s="68" customFormat="1" ht="12" customHeight="1">
      <c r="A23" s="69">
        <v>13</v>
      </c>
      <c r="B23" s="77" t="s">
        <v>78</v>
      </c>
      <c r="C23" s="71"/>
      <c r="D23" s="668" t="s">
        <v>662</v>
      </c>
      <c r="E23" s="556" t="s">
        <v>691</v>
      </c>
      <c r="F23" s="556"/>
      <c r="G23" s="556" t="s">
        <v>662</v>
      </c>
      <c r="H23" s="360">
        <v>40844</v>
      </c>
      <c r="I23" s="345" t="s">
        <v>30</v>
      </c>
      <c r="J23" s="21">
        <v>278</v>
      </c>
      <c r="K23" s="21">
        <v>80</v>
      </c>
      <c r="L23" s="21">
        <v>7</v>
      </c>
      <c r="M23" s="557">
        <v>14612.5</v>
      </c>
      <c r="N23" s="558">
        <v>1899</v>
      </c>
      <c r="O23" s="557">
        <v>31573.5</v>
      </c>
      <c r="P23" s="558">
        <v>3808</v>
      </c>
      <c r="Q23" s="557">
        <v>30876.5</v>
      </c>
      <c r="R23" s="558">
        <v>3680</v>
      </c>
      <c r="S23" s="18">
        <f t="shared" si="0"/>
        <v>77062.5</v>
      </c>
      <c r="T23" s="19">
        <f t="shared" si="1"/>
        <v>9387</v>
      </c>
      <c r="U23" s="186">
        <f t="shared" si="11"/>
        <v>117.3375</v>
      </c>
      <c r="V23" s="161">
        <f t="shared" si="2"/>
        <v>8.209491850431448</v>
      </c>
      <c r="W23" s="553">
        <v>250987</v>
      </c>
      <c r="X23" s="554">
        <f t="shared" si="3"/>
        <v>-0.6929621852924653</v>
      </c>
      <c r="Y23" s="234">
        <f t="shared" si="4"/>
        <v>38094.5</v>
      </c>
      <c r="Z23" s="186">
        <f t="shared" si="5"/>
        <v>5491</v>
      </c>
      <c r="AA23" s="589">
        <v>115157</v>
      </c>
      <c r="AB23" s="590">
        <v>14878</v>
      </c>
      <c r="AC23" s="554">
        <f t="shared" si="6"/>
        <v>0.630931576824842</v>
      </c>
      <c r="AD23" s="554">
        <f t="shared" si="7"/>
        <v>0.369068423175158</v>
      </c>
      <c r="AE23" s="186">
        <f t="shared" si="8"/>
        <v>185.975</v>
      </c>
      <c r="AF23" s="161">
        <f t="shared" si="9"/>
        <v>7.740086033068961</v>
      </c>
      <c r="AG23" s="16">
        <v>353523.5</v>
      </c>
      <c r="AH23" s="554">
        <f>IF(AG23&lt;&gt;0,-(AG23-AA23)/AG23,"")</f>
        <v>-0.674259278378948</v>
      </c>
      <c r="AI23" s="16">
        <f>2021467.25+4147826.75+1641146.5+1086471.5+837723.5+353523.5+115157</f>
        <v>10203316</v>
      </c>
      <c r="AJ23" s="17">
        <f>231121+459388+190384+130345+104513+46481+14878</f>
        <v>1177110</v>
      </c>
      <c r="AK23" s="396">
        <f t="shared" si="12"/>
        <v>8.668107483582673</v>
      </c>
      <c r="AL23" s="433">
        <v>13</v>
      </c>
    </row>
    <row r="24" spans="1:38" s="68" customFormat="1" ht="12" customHeight="1">
      <c r="A24" s="69">
        <v>14</v>
      </c>
      <c r="B24" s="75"/>
      <c r="C24" s="71"/>
      <c r="D24" s="666" t="s">
        <v>772</v>
      </c>
      <c r="E24" s="21" t="s">
        <v>800</v>
      </c>
      <c r="F24" s="21"/>
      <c r="G24" s="21" t="s">
        <v>772</v>
      </c>
      <c r="H24" s="360">
        <v>40879</v>
      </c>
      <c r="I24" s="345" t="s">
        <v>8</v>
      </c>
      <c r="J24" s="21">
        <v>39</v>
      </c>
      <c r="K24" s="14">
        <v>34</v>
      </c>
      <c r="L24" s="14">
        <v>2</v>
      </c>
      <c r="M24" s="156">
        <v>8560</v>
      </c>
      <c r="N24" s="236">
        <v>843</v>
      </c>
      <c r="O24" s="156">
        <v>15064</v>
      </c>
      <c r="P24" s="236">
        <v>1484</v>
      </c>
      <c r="Q24" s="156">
        <v>16523</v>
      </c>
      <c r="R24" s="236">
        <v>1620</v>
      </c>
      <c r="S24" s="18">
        <f t="shared" si="0"/>
        <v>40147</v>
      </c>
      <c r="T24" s="19">
        <f t="shared" si="1"/>
        <v>3947</v>
      </c>
      <c r="U24" s="186">
        <f t="shared" si="11"/>
        <v>116.08823529411765</v>
      </c>
      <c r="V24" s="161">
        <f t="shared" si="2"/>
        <v>10.171522675449708</v>
      </c>
      <c r="W24" s="553">
        <v>70386</v>
      </c>
      <c r="X24" s="554">
        <f t="shared" si="3"/>
        <v>-0.4296166851362487</v>
      </c>
      <c r="Y24" s="234">
        <f t="shared" si="4"/>
        <v>24264</v>
      </c>
      <c r="Z24" s="186">
        <f t="shared" si="5"/>
        <v>2812</v>
      </c>
      <c r="AA24" s="587">
        <v>64411</v>
      </c>
      <c r="AB24" s="588">
        <v>6759</v>
      </c>
      <c r="AC24" s="554">
        <f t="shared" si="6"/>
        <v>0.5839621245746413</v>
      </c>
      <c r="AD24" s="554">
        <f t="shared" si="7"/>
        <v>0.4160378754253588</v>
      </c>
      <c r="AE24" s="186">
        <f t="shared" si="8"/>
        <v>198.7941176470588</v>
      </c>
      <c r="AF24" s="161">
        <f t="shared" si="9"/>
        <v>9.529664151501702</v>
      </c>
      <c r="AG24" s="18">
        <v>120217</v>
      </c>
      <c r="AH24" s="554">
        <f>IF(AG24&lt;&gt;0,-(AG24-AA24)/AG24,"")</f>
        <v>-0.4642105525840771</v>
      </c>
      <c r="AI24" s="13">
        <v>184628</v>
      </c>
      <c r="AJ24" s="312">
        <v>19637</v>
      </c>
      <c r="AK24" s="396">
        <f t="shared" si="12"/>
        <v>9.402047155879208</v>
      </c>
      <c r="AL24" s="433">
        <v>14</v>
      </c>
    </row>
    <row r="25" spans="1:38" s="68" customFormat="1" ht="12" customHeight="1">
      <c r="A25" s="69">
        <v>15</v>
      </c>
      <c r="B25" s="79"/>
      <c r="C25" s="71"/>
      <c r="D25" s="668" t="s">
        <v>754</v>
      </c>
      <c r="E25" s="21" t="s">
        <v>755</v>
      </c>
      <c r="F25" s="344" t="s">
        <v>720</v>
      </c>
      <c r="G25" s="556" t="s">
        <v>756</v>
      </c>
      <c r="H25" s="360">
        <v>40872</v>
      </c>
      <c r="I25" s="345" t="s">
        <v>30</v>
      </c>
      <c r="J25" s="21">
        <v>20</v>
      </c>
      <c r="K25" s="21">
        <v>13</v>
      </c>
      <c r="L25" s="21">
        <v>3</v>
      </c>
      <c r="M25" s="557">
        <v>9802.5</v>
      </c>
      <c r="N25" s="558">
        <v>737</v>
      </c>
      <c r="O25" s="557">
        <v>15226</v>
      </c>
      <c r="P25" s="558">
        <v>1126</v>
      </c>
      <c r="Q25" s="557">
        <v>14412</v>
      </c>
      <c r="R25" s="558">
        <v>1062</v>
      </c>
      <c r="S25" s="18">
        <f t="shared" si="0"/>
        <v>39440.5</v>
      </c>
      <c r="T25" s="19">
        <f t="shared" si="1"/>
        <v>2925</v>
      </c>
      <c r="U25" s="560">
        <f>+T25/K25</f>
        <v>225</v>
      </c>
      <c r="V25" s="561">
        <f>+S25/T25</f>
        <v>13.483931623931625</v>
      </c>
      <c r="W25" s="553">
        <v>76973</v>
      </c>
      <c r="X25" s="554">
        <f t="shared" si="3"/>
        <v>-0.4876060436776532</v>
      </c>
      <c r="Y25" s="234">
        <f t="shared" si="4"/>
        <v>22159</v>
      </c>
      <c r="Z25" s="186">
        <f t="shared" si="5"/>
        <v>2127</v>
      </c>
      <c r="AA25" s="589">
        <v>61599.5</v>
      </c>
      <c r="AB25" s="590">
        <v>5052</v>
      </c>
      <c r="AC25" s="554">
        <f t="shared" si="6"/>
        <v>0.578978622327791</v>
      </c>
      <c r="AD25" s="554">
        <f t="shared" si="7"/>
        <v>0.42102137767220904</v>
      </c>
      <c r="AE25" s="186">
        <f t="shared" si="8"/>
        <v>388.61538461538464</v>
      </c>
      <c r="AF25" s="161">
        <f t="shared" si="9"/>
        <v>12.193091844813935</v>
      </c>
      <c r="AG25" s="16">
        <v>122916.5</v>
      </c>
      <c r="AH25" s="554">
        <f>IF(AG25&lt;&gt;0,-(AG25-AA25)/AG25,"")</f>
        <v>-0.49885084589945206</v>
      </c>
      <c r="AI25" s="16">
        <f>176767+122916.5+61599.5</f>
        <v>361283</v>
      </c>
      <c r="AJ25" s="17">
        <f>14023+9525+5052</f>
        <v>28600</v>
      </c>
      <c r="AK25" s="396">
        <f t="shared" si="12"/>
        <v>12.632272727272728</v>
      </c>
      <c r="AL25" s="433">
        <v>15</v>
      </c>
    </row>
    <row r="26" spans="1:38" s="68" customFormat="1" ht="12" customHeight="1">
      <c r="A26" s="69">
        <v>16</v>
      </c>
      <c r="B26" s="77" t="s">
        <v>78</v>
      </c>
      <c r="C26" s="71"/>
      <c r="D26" s="672" t="s">
        <v>751</v>
      </c>
      <c r="E26" s="21" t="s">
        <v>752</v>
      </c>
      <c r="F26" s="354" t="s">
        <v>704</v>
      </c>
      <c r="G26" s="354" t="s">
        <v>753</v>
      </c>
      <c r="H26" s="359">
        <v>40872</v>
      </c>
      <c r="I26" s="345" t="s">
        <v>23</v>
      </c>
      <c r="J26" s="354">
        <v>55</v>
      </c>
      <c r="K26" s="21">
        <v>23</v>
      </c>
      <c r="L26" s="21">
        <v>3</v>
      </c>
      <c r="M26" s="551">
        <v>10679</v>
      </c>
      <c r="N26" s="552">
        <v>753</v>
      </c>
      <c r="O26" s="551">
        <v>17815</v>
      </c>
      <c r="P26" s="552">
        <v>1273</v>
      </c>
      <c r="Q26" s="551">
        <v>12240</v>
      </c>
      <c r="R26" s="552">
        <v>879</v>
      </c>
      <c r="S26" s="18">
        <f t="shared" si="0"/>
        <v>40734</v>
      </c>
      <c r="T26" s="19">
        <f t="shared" si="1"/>
        <v>2905</v>
      </c>
      <c r="U26" s="186">
        <f>IF(S26&lt;&gt;0,T26/K26,"")</f>
        <v>126.30434782608695</v>
      </c>
      <c r="V26" s="161">
        <f>IF(S26&lt;&gt;0,S26/T26,"")</f>
        <v>14.022030981067125</v>
      </c>
      <c r="W26" s="553">
        <v>181173</v>
      </c>
      <c r="X26" s="554">
        <f t="shared" si="3"/>
        <v>-0.7751651736185855</v>
      </c>
      <c r="Y26" s="234">
        <f t="shared" si="4"/>
        <v>15742</v>
      </c>
      <c r="Z26" s="186">
        <f t="shared" si="5"/>
        <v>1482</v>
      </c>
      <c r="AA26" s="583">
        <v>56476</v>
      </c>
      <c r="AB26" s="584">
        <v>4387</v>
      </c>
      <c r="AC26" s="554">
        <f t="shared" si="6"/>
        <v>0.6621837246409847</v>
      </c>
      <c r="AD26" s="554">
        <f t="shared" si="7"/>
        <v>0.33781627535901526</v>
      </c>
      <c r="AE26" s="186">
        <f t="shared" si="8"/>
        <v>190.7391304347826</v>
      </c>
      <c r="AF26" s="161">
        <f t="shared" si="9"/>
        <v>12.87348985639389</v>
      </c>
      <c r="AG26" s="18">
        <v>264094</v>
      </c>
      <c r="AH26" s="554">
        <f>IF(AG26&lt;&gt;0,-(AG26-AA26)/AG26,"")</f>
        <v>-0.7861519004596849</v>
      </c>
      <c r="AI26" s="18">
        <v>752918</v>
      </c>
      <c r="AJ26" s="19">
        <v>62579</v>
      </c>
      <c r="AK26" s="396">
        <f t="shared" si="12"/>
        <v>12.031480209015804</v>
      </c>
      <c r="AL26" s="433">
        <v>16</v>
      </c>
    </row>
    <row r="27" spans="1:38" s="68" customFormat="1" ht="12" customHeight="1">
      <c r="A27" s="69">
        <v>17</v>
      </c>
      <c r="B27" s="75"/>
      <c r="C27" s="71"/>
      <c r="D27" s="673" t="s">
        <v>801</v>
      </c>
      <c r="E27" s="627" t="s">
        <v>802</v>
      </c>
      <c r="F27" s="657" t="s">
        <v>709</v>
      </c>
      <c r="G27" s="658" t="s">
        <v>801</v>
      </c>
      <c r="H27" s="629">
        <v>40886</v>
      </c>
      <c r="I27" s="630" t="s">
        <v>30</v>
      </c>
      <c r="J27" s="627">
        <v>9</v>
      </c>
      <c r="K27" s="627">
        <v>9</v>
      </c>
      <c r="L27" s="627">
        <v>1</v>
      </c>
      <c r="M27" s="659">
        <v>6299.5</v>
      </c>
      <c r="N27" s="660">
        <v>412</v>
      </c>
      <c r="O27" s="659">
        <v>13596</v>
      </c>
      <c r="P27" s="660">
        <v>893</v>
      </c>
      <c r="Q27" s="659">
        <v>13878</v>
      </c>
      <c r="R27" s="660">
        <v>908</v>
      </c>
      <c r="S27" s="633">
        <f t="shared" si="0"/>
        <v>33773.5</v>
      </c>
      <c r="T27" s="634">
        <f t="shared" si="1"/>
        <v>2213</v>
      </c>
      <c r="U27" s="661">
        <f>+T27/K27</f>
        <v>245.88888888888889</v>
      </c>
      <c r="V27" s="662">
        <f>+S27/T27</f>
        <v>15.261409850881156</v>
      </c>
      <c r="W27" s="637"/>
      <c r="X27" s="638">
        <f t="shared" si="3"/>
      </c>
      <c r="Y27" s="639">
        <f t="shared" si="4"/>
        <v>22096</v>
      </c>
      <c r="Z27" s="635">
        <f t="shared" si="5"/>
        <v>1689</v>
      </c>
      <c r="AA27" s="663">
        <v>55869.5</v>
      </c>
      <c r="AB27" s="664">
        <v>3902</v>
      </c>
      <c r="AC27" s="638">
        <f t="shared" si="6"/>
        <v>0.5671450538185546</v>
      </c>
      <c r="AD27" s="638">
        <f t="shared" si="7"/>
        <v>0.43285494618144543</v>
      </c>
      <c r="AE27" s="635">
        <f t="shared" si="8"/>
        <v>433.55555555555554</v>
      </c>
      <c r="AF27" s="636">
        <f t="shared" si="9"/>
        <v>14.318170169144029</v>
      </c>
      <c r="AG27" s="652"/>
      <c r="AH27" s="638"/>
      <c r="AI27" s="652">
        <f>55869.5</f>
        <v>55869.5</v>
      </c>
      <c r="AJ27" s="653">
        <f>3902</f>
        <v>3902</v>
      </c>
      <c r="AK27" s="642">
        <f t="shared" si="12"/>
        <v>14.318170169144029</v>
      </c>
      <c r="AL27" s="433">
        <v>17</v>
      </c>
    </row>
    <row r="28" spans="1:38" s="68" customFormat="1" ht="12" customHeight="1">
      <c r="A28" s="69">
        <v>18</v>
      </c>
      <c r="B28" s="77" t="s">
        <v>78</v>
      </c>
      <c r="C28" s="71"/>
      <c r="D28" s="668" t="s">
        <v>663</v>
      </c>
      <c r="E28" s="21" t="s">
        <v>708</v>
      </c>
      <c r="F28" s="556" t="s">
        <v>709</v>
      </c>
      <c r="G28" s="344" t="s">
        <v>664</v>
      </c>
      <c r="H28" s="360">
        <v>40844</v>
      </c>
      <c r="I28" s="345" t="s">
        <v>30</v>
      </c>
      <c r="J28" s="21">
        <v>65</v>
      </c>
      <c r="K28" s="21">
        <v>11</v>
      </c>
      <c r="L28" s="21">
        <v>7</v>
      </c>
      <c r="M28" s="557">
        <v>2274.5</v>
      </c>
      <c r="N28" s="558">
        <v>292</v>
      </c>
      <c r="O28" s="557">
        <v>3785.5</v>
      </c>
      <c r="P28" s="558">
        <v>452</v>
      </c>
      <c r="Q28" s="557">
        <v>3349.5</v>
      </c>
      <c r="R28" s="558">
        <v>524</v>
      </c>
      <c r="S28" s="18">
        <f t="shared" si="0"/>
        <v>9409.5</v>
      </c>
      <c r="T28" s="19">
        <f t="shared" si="1"/>
        <v>1268</v>
      </c>
      <c r="U28" s="186">
        <f>IF(S28&lt;&gt;0,T28/K28,"")</f>
        <v>115.27272727272727</v>
      </c>
      <c r="V28" s="161">
        <f>IF(S28&lt;&gt;0,S28/T28,"")</f>
        <v>7.420741324921136</v>
      </c>
      <c r="W28" s="553">
        <v>10071.5</v>
      </c>
      <c r="X28" s="554">
        <f t="shared" si="3"/>
        <v>-0.06573003028347317</v>
      </c>
      <c r="Y28" s="234">
        <f t="shared" si="4"/>
        <v>7844</v>
      </c>
      <c r="Z28" s="186">
        <f t="shared" si="5"/>
        <v>1140</v>
      </c>
      <c r="AA28" s="589">
        <v>17253.5</v>
      </c>
      <c r="AB28" s="590">
        <v>2408</v>
      </c>
      <c r="AC28" s="554">
        <f t="shared" si="6"/>
        <v>0.526578073089701</v>
      </c>
      <c r="AD28" s="554">
        <f t="shared" si="7"/>
        <v>0.473421926910299</v>
      </c>
      <c r="AE28" s="186">
        <f t="shared" si="8"/>
        <v>218.9090909090909</v>
      </c>
      <c r="AF28" s="161">
        <f t="shared" si="9"/>
        <v>7.1650747508305646</v>
      </c>
      <c r="AG28" s="16">
        <v>16414.5</v>
      </c>
      <c r="AH28" s="554">
        <f>IF(AG28&lt;&gt;0,-(AG28-AA28)/AG28,"")</f>
        <v>0.05111334490846508</v>
      </c>
      <c r="AI28" s="16">
        <f>436701.5+604505+232735.5+57290.5+18114+16414.5+17253.5</f>
        <v>1383014.5</v>
      </c>
      <c r="AJ28" s="17">
        <f>39979+54264+21249+5324+1678+2463+2408</f>
        <v>127365</v>
      </c>
      <c r="AK28" s="396">
        <f t="shared" si="12"/>
        <v>10.8586699642759</v>
      </c>
      <c r="AL28" s="433">
        <v>18</v>
      </c>
    </row>
    <row r="29" spans="1:38" s="68" customFormat="1" ht="12" customHeight="1">
      <c r="A29" s="69">
        <v>19</v>
      </c>
      <c r="B29" s="70"/>
      <c r="C29" s="71"/>
      <c r="D29" s="668" t="s">
        <v>682</v>
      </c>
      <c r="E29" s="556" t="s">
        <v>707</v>
      </c>
      <c r="F29" s="556"/>
      <c r="G29" s="556" t="s">
        <v>682</v>
      </c>
      <c r="H29" s="360">
        <v>40858</v>
      </c>
      <c r="I29" s="345" t="s">
        <v>30</v>
      </c>
      <c r="J29" s="21">
        <v>32</v>
      </c>
      <c r="K29" s="21">
        <v>19</v>
      </c>
      <c r="L29" s="21">
        <v>5</v>
      </c>
      <c r="M29" s="557">
        <v>2146</v>
      </c>
      <c r="N29" s="558">
        <v>320</v>
      </c>
      <c r="O29" s="557">
        <v>3716</v>
      </c>
      <c r="P29" s="558">
        <v>567</v>
      </c>
      <c r="Q29" s="557">
        <v>4124.5</v>
      </c>
      <c r="R29" s="558">
        <v>607</v>
      </c>
      <c r="S29" s="18">
        <f t="shared" si="0"/>
        <v>9986.5</v>
      </c>
      <c r="T29" s="19">
        <f t="shared" si="1"/>
        <v>1494</v>
      </c>
      <c r="U29" s="186">
        <f>IF(S29&lt;&gt;0,T29/K29,"")</f>
        <v>78.63157894736842</v>
      </c>
      <c r="V29" s="161">
        <f>IF(S29&lt;&gt;0,S29/T29,"")</f>
        <v>6.684404283801874</v>
      </c>
      <c r="W29" s="553">
        <v>8423.5</v>
      </c>
      <c r="X29" s="554">
        <f t="shared" si="3"/>
        <v>0.1855523238558794</v>
      </c>
      <c r="Y29" s="234">
        <f t="shared" si="4"/>
        <v>6873</v>
      </c>
      <c r="Z29" s="186">
        <f t="shared" si="5"/>
        <v>1087</v>
      </c>
      <c r="AA29" s="589">
        <v>16859.5</v>
      </c>
      <c r="AB29" s="590">
        <v>2581</v>
      </c>
      <c r="AC29" s="554">
        <f t="shared" si="6"/>
        <v>0.578845408756296</v>
      </c>
      <c r="AD29" s="554">
        <f t="shared" si="7"/>
        <v>0.42115459124370397</v>
      </c>
      <c r="AE29" s="186">
        <f t="shared" si="8"/>
        <v>135.8421052631579</v>
      </c>
      <c r="AF29" s="161">
        <f t="shared" si="9"/>
        <v>6.5321580782642386</v>
      </c>
      <c r="AG29" s="16">
        <v>15734</v>
      </c>
      <c r="AH29" s="554">
        <f>IF(AG29&lt;&gt;0,-(AG29-AA29)/AG29,"")</f>
        <v>0.07153298589042838</v>
      </c>
      <c r="AI29" s="16">
        <f>119417+74006.5+30939.5+15734+16859.5</f>
        <v>256956.5</v>
      </c>
      <c r="AJ29" s="17">
        <f>12383+8559+4204+1986+2581</f>
        <v>29713</v>
      </c>
      <c r="AK29" s="396">
        <f t="shared" si="12"/>
        <v>8.647948709319154</v>
      </c>
      <c r="AL29" s="433">
        <v>19</v>
      </c>
    </row>
    <row r="30" spans="1:38" s="68" customFormat="1" ht="12" customHeight="1" thickBot="1">
      <c r="A30" s="89">
        <v>20</v>
      </c>
      <c r="B30" s="122"/>
      <c r="C30" s="90" t="s">
        <v>77</v>
      </c>
      <c r="D30" s="674" t="s">
        <v>681</v>
      </c>
      <c r="E30" s="564" t="s">
        <v>698</v>
      </c>
      <c r="F30" s="564"/>
      <c r="G30" s="564" t="s">
        <v>681</v>
      </c>
      <c r="H30" s="610">
        <v>40858</v>
      </c>
      <c r="I30" s="565" t="s">
        <v>28</v>
      </c>
      <c r="J30" s="564">
        <v>130</v>
      </c>
      <c r="K30" s="622">
        <v>17</v>
      </c>
      <c r="L30" s="622">
        <v>5</v>
      </c>
      <c r="M30" s="623">
        <v>1827</v>
      </c>
      <c r="N30" s="624">
        <v>223</v>
      </c>
      <c r="O30" s="623">
        <v>3720.5</v>
      </c>
      <c r="P30" s="624">
        <v>447</v>
      </c>
      <c r="Q30" s="623">
        <v>3323.5</v>
      </c>
      <c r="R30" s="624">
        <v>395</v>
      </c>
      <c r="S30" s="613">
        <f t="shared" si="0"/>
        <v>8871</v>
      </c>
      <c r="T30" s="614">
        <f t="shared" si="1"/>
        <v>1065</v>
      </c>
      <c r="U30" s="568">
        <f>IF(S30&lt;&gt;0,T30/K30,"")</f>
        <v>62.64705882352941</v>
      </c>
      <c r="V30" s="569">
        <f>IF(S30&lt;&gt;0,S30/T30,"")</f>
        <v>8.329577464788732</v>
      </c>
      <c r="W30" s="617">
        <v>11037</v>
      </c>
      <c r="X30" s="566">
        <f t="shared" si="3"/>
        <v>-0.19624898070127753</v>
      </c>
      <c r="Y30" s="567">
        <f t="shared" si="4"/>
        <v>4919</v>
      </c>
      <c r="Z30" s="568">
        <f t="shared" si="5"/>
        <v>699</v>
      </c>
      <c r="AA30" s="625">
        <v>13790</v>
      </c>
      <c r="AB30" s="626">
        <v>1764</v>
      </c>
      <c r="AC30" s="566">
        <f t="shared" si="6"/>
        <v>0.6037414965986394</v>
      </c>
      <c r="AD30" s="566">
        <f t="shared" si="7"/>
        <v>0.39625850340136054</v>
      </c>
      <c r="AE30" s="568">
        <f t="shared" si="8"/>
        <v>103.76470588235294</v>
      </c>
      <c r="AF30" s="569">
        <f t="shared" si="9"/>
        <v>7.817460317460317</v>
      </c>
      <c r="AG30" s="613">
        <v>18371</v>
      </c>
      <c r="AH30" s="566">
        <f>IF(AG30&lt;&gt;0,-(AG30-AA30)/AG30,"")</f>
        <v>-0.24936040498611942</v>
      </c>
      <c r="AI30" s="613">
        <f>665902+436506+215139.5+18371+13790</f>
        <v>1349708.5</v>
      </c>
      <c r="AJ30" s="614">
        <f>66262+44749+24699+2311+1764</f>
        <v>139785</v>
      </c>
      <c r="AK30" s="572">
        <f t="shared" si="12"/>
        <v>9.655603247844905</v>
      </c>
      <c r="AL30" s="442">
        <v>20</v>
      </c>
    </row>
    <row r="31" spans="1:37" s="68" customFormat="1" ht="15.75" thickBot="1">
      <c r="A31" s="91"/>
      <c r="B31" s="92"/>
      <c r="H31" s="93"/>
      <c r="J31" s="92"/>
      <c r="K31" s="92"/>
      <c r="L31" s="92"/>
      <c r="M31" s="94"/>
      <c r="N31" s="95"/>
      <c r="O31" s="94"/>
      <c r="P31" s="95"/>
      <c r="Q31" s="94"/>
      <c r="R31" s="95"/>
      <c r="S31" s="96"/>
      <c r="T31" s="97"/>
      <c r="U31" s="95"/>
      <c r="V31" s="98"/>
      <c r="W31" s="94"/>
      <c r="X31" s="99"/>
      <c r="AA31" s="100"/>
      <c r="AB31" s="100"/>
      <c r="AE31" s="101"/>
      <c r="AF31" s="102"/>
      <c r="AG31" s="102"/>
      <c r="AH31" s="102"/>
      <c r="AI31" s="94"/>
      <c r="AJ31" s="103"/>
      <c r="AK31" s="98"/>
    </row>
    <row r="32" spans="1:38" s="104" customFormat="1" ht="12.75">
      <c r="A32" s="728" t="s">
        <v>79</v>
      </c>
      <c r="B32" s="729"/>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29"/>
      <c r="AK32" s="729"/>
      <c r="AL32" s="730"/>
    </row>
    <row r="33" spans="1:38" s="104" customFormat="1" ht="12.75">
      <c r="A33" s="731"/>
      <c r="B33" s="732"/>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2"/>
      <c r="AG33" s="732"/>
      <c r="AH33" s="732"/>
      <c r="AI33" s="732"/>
      <c r="AJ33" s="732"/>
      <c r="AK33" s="732"/>
      <c r="AL33" s="733"/>
    </row>
    <row r="34" spans="1:38" s="104" customFormat="1" ht="12.75">
      <c r="A34" s="731"/>
      <c r="B34" s="732"/>
      <c r="C34" s="732"/>
      <c r="D34" s="732"/>
      <c r="E34" s="732"/>
      <c r="F34" s="732"/>
      <c r="G34" s="732"/>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3"/>
    </row>
    <row r="35" spans="1:38" s="104" customFormat="1" ht="12.75">
      <c r="A35" s="731"/>
      <c r="B35" s="732"/>
      <c r="C35" s="732"/>
      <c r="D35" s="732"/>
      <c r="E35" s="732"/>
      <c r="F35" s="732"/>
      <c r="G35" s="732"/>
      <c r="H35" s="732"/>
      <c r="I35" s="732"/>
      <c r="J35" s="732"/>
      <c r="K35" s="732"/>
      <c r="L35" s="732"/>
      <c r="M35" s="732"/>
      <c r="N35" s="732"/>
      <c r="O35" s="732"/>
      <c r="P35" s="732"/>
      <c r="Q35" s="732"/>
      <c r="R35" s="732"/>
      <c r="S35" s="732"/>
      <c r="T35" s="732"/>
      <c r="U35" s="732"/>
      <c r="V35" s="732"/>
      <c r="W35" s="732"/>
      <c r="X35" s="732"/>
      <c r="Y35" s="732"/>
      <c r="Z35" s="732"/>
      <c r="AA35" s="732"/>
      <c r="AB35" s="732"/>
      <c r="AC35" s="732"/>
      <c r="AD35" s="732"/>
      <c r="AE35" s="732"/>
      <c r="AF35" s="732"/>
      <c r="AG35" s="732"/>
      <c r="AH35" s="732"/>
      <c r="AI35" s="732"/>
      <c r="AJ35" s="732"/>
      <c r="AK35" s="732"/>
      <c r="AL35" s="733"/>
    </row>
    <row r="36" spans="1:38" s="104" customFormat="1" ht="12.75">
      <c r="A36" s="731"/>
      <c r="B36" s="732"/>
      <c r="C36" s="732"/>
      <c r="D36" s="732"/>
      <c r="E36" s="732"/>
      <c r="F36" s="732"/>
      <c r="G36" s="732"/>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3"/>
    </row>
    <row r="37" spans="1:38" s="104" customFormat="1" ht="13.5" thickBot="1">
      <c r="A37" s="734"/>
      <c r="B37" s="735"/>
      <c r="C37" s="735"/>
      <c r="D37" s="735"/>
      <c r="E37" s="735"/>
      <c r="F37" s="735"/>
      <c r="G37" s="735"/>
      <c r="H37" s="735"/>
      <c r="I37" s="735"/>
      <c r="J37" s="735"/>
      <c r="K37" s="735"/>
      <c r="L37" s="735"/>
      <c r="M37" s="735"/>
      <c r="N37" s="735"/>
      <c r="O37" s="735"/>
      <c r="P37" s="735"/>
      <c r="Q37" s="735"/>
      <c r="R37" s="735"/>
      <c r="S37" s="735"/>
      <c r="T37" s="735"/>
      <c r="U37" s="735"/>
      <c r="V37" s="735"/>
      <c r="W37" s="735"/>
      <c r="X37" s="735"/>
      <c r="Y37" s="735"/>
      <c r="Z37" s="735"/>
      <c r="AA37" s="735"/>
      <c r="AB37" s="735"/>
      <c r="AC37" s="735"/>
      <c r="AD37" s="735"/>
      <c r="AE37" s="735"/>
      <c r="AF37" s="735"/>
      <c r="AG37" s="735"/>
      <c r="AH37" s="735"/>
      <c r="AI37" s="735"/>
      <c r="AJ37" s="735"/>
      <c r="AK37" s="735"/>
      <c r="AL37" s="736"/>
    </row>
  </sheetData>
  <sheetProtection/>
  <mergeCells count="38">
    <mergeCell ref="A32:AL37"/>
    <mergeCell ref="AE6:AF6"/>
    <mergeCell ref="AI6:AL6"/>
    <mergeCell ref="AI7:AJ7"/>
    <mergeCell ref="AE9:AF9"/>
    <mergeCell ref="D6:J6"/>
    <mergeCell ref="K6:L6"/>
    <mergeCell ref="M6:X6"/>
    <mergeCell ref="Y6:Z6"/>
    <mergeCell ref="AE7:AF7"/>
    <mergeCell ref="AG9:AH9"/>
    <mergeCell ref="A3:L3"/>
    <mergeCell ref="AA6:AB6"/>
    <mergeCell ref="AC6:AD6"/>
    <mergeCell ref="W9:X9"/>
    <mergeCell ref="AC7:AD7"/>
    <mergeCell ref="AA7:AB7"/>
    <mergeCell ref="W7:X7"/>
    <mergeCell ref="Y7:Z7"/>
    <mergeCell ref="O7:P7"/>
    <mergeCell ref="O9:P9"/>
    <mergeCell ref="Q9:R9"/>
    <mergeCell ref="AF1:AL1"/>
    <mergeCell ref="AG7:AH7"/>
    <mergeCell ref="AC9:AD9"/>
    <mergeCell ref="A1:L1"/>
    <mergeCell ref="AA1:AE1"/>
    <mergeCell ref="A5:H5"/>
    <mergeCell ref="AA5:AL5"/>
    <mergeCell ref="A2:L2"/>
    <mergeCell ref="U7:V7"/>
    <mergeCell ref="S9:T9"/>
    <mergeCell ref="Q7:R7"/>
    <mergeCell ref="S7:T7"/>
    <mergeCell ref="U9:V9"/>
    <mergeCell ref="A4:H4"/>
    <mergeCell ref="M7:N7"/>
    <mergeCell ref="M9:N9"/>
  </mergeCells>
  <hyperlinks>
    <hyperlink ref="A3" r:id="rId1" display="http://www.antraktsinema.com"/>
  </hyperlinks>
  <printOptions/>
  <pageMargins left="0.75" right="0.75" top="1" bottom="1" header="0.5" footer="0.5"/>
  <pageSetup horizontalDpi="600" verticalDpi="600" orientation="portrait" paperSize="9" r:id="rId3"/>
  <ignoredErrors>
    <ignoredError sqref="AI14:AJ29" unlockedFormula="1"/>
    <ignoredError sqref="AK1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2011-05-24T12:35:07Z</cp:lastPrinted>
  <dcterms:created xsi:type="dcterms:W3CDTF">2006-03-15T09:07:04Z</dcterms:created>
  <dcterms:modified xsi:type="dcterms:W3CDTF">2011-12-16T20:55:14Z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