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75" windowWidth="17145" windowHeight="11055" tabRatio="804" activeTab="0"/>
  </bookViews>
  <sheets>
    <sheet name="Sep' 23-29 '11 (week 39)" sheetId="1" r:id="rId1"/>
    <sheet name="Dec' 31-Sep' 29, 11 Annual" sheetId="2" r:id="rId2"/>
    <sheet name="Exyears Releases of 2011" sheetId="3" r:id="rId3"/>
    <sheet name="(TOP 20)" sheetId="4" r:id="rId4"/>
  </sheets>
  <definedNames>
    <definedName name="_xlnm.Print_Area" localSheetId="0">'Sep' 23-29 '11 (week 39)'!$A$1:$AJ$160</definedName>
  </definedNames>
  <calcPr fullCalcOnLoad="1"/>
</workbook>
</file>

<file path=xl/sharedStrings.xml><?xml version="1.0" encoding="utf-8"?>
<sst xmlns="http://schemas.openxmlformats.org/spreadsheetml/2006/main" count="2001" uniqueCount="471">
  <si>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</si>
  <si>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</si>
  <si>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</si>
  <si>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</si>
  <si>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</si>
  <si>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</si>
  <si>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</si>
  <si>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</si>
  <si>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</si>
  <si>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</si>
  <si>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</si>
  <si>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</si>
  <si>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</si>
  <si>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</si>
  <si>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</si>
  <si>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</si>
  <si>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</si>
  <si>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</si>
  <si>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</si>
  <si>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</si>
  <si>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</si>
  <si>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</si>
  <si>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</si>
  <si>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</si>
  <si>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</si>
  <si>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</si>
  <si>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</si>
  <si>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RED RIDING HOOD</t>
  </si>
  <si>
    <t>ÖZEN FİLM</t>
  </si>
  <si>
    <t>THE GIRL WHO KICKED THE HORNETS' NEST</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</si>
  <si>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</si>
  <si>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</si>
  <si>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</si>
  <si>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</si>
  <si>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</si>
  <si>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</si>
  <si>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</si>
  <si>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</si>
  <si>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</si>
  <si>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</si>
  <si>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</si>
  <si>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</si>
  <si>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</si>
  <si>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FRITT WILT 3</t>
  </si>
  <si>
    <t>THE PACK</t>
  </si>
  <si>
    <t>MFP-CINEGROUP</t>
  </si>
  <si>
    <t>ÇOK MU KOMİK?</t>
  </si>
  <si>
    <t>FOUR LIONS</t>
  </si>
  <si>
    <t>KOLPAÇİNO: BOMBA</t>
  </si>
  <si>
    <t>THE PRODIGY</t>
  </si>
  <si>
    <t>INCENDIES</t>
  </si>
  <si>
    <t>NEVER LET ME GO</t>
  </si>
  <si>
    <t>FAST FIVE</t>
  </si>
  <si>
    <t>DEVRİMDEN SONRA</t>
  </si>
  <si>
    <t>HENRY'S CRIME</t>
  </si>
  <si>
    <t>GİŞE MEMURU</t>
  </si>
  <si>
    <t>AĞIR ABİ</t>
  </si>
  <si>
    <t>KÜÇÜK GÜNAHLAR</t>
  </si>
  <si>
    <t>PRIEST</t>
  </si>
  <si>
    <t>HOP</t>
  </si>
  <si>
    <t>VANISHING ON 7TH STREET</t>
  </si>
  <si>
    <t>LITTLE WHITE LIES</t>
  </si>
  <si>
    <t>M3 FILM</t>
  </si>
  <si>
    <t>THE VALDEMAR LEGACY</t>
  </si>
  <si>
    <t>KAR BEYAZ</t>
  </si>
  <si>
    <t>PIRATES OF THE CARIBBEAN: ON STRANGER TIDES</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</si>
  <si>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</si>
  <si>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</si>
  <si>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</si>
  <si>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</si>
  <si>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</si>
  <si>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</si>
  <si>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</si>
  <si>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</si>
  <si>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</si>
  <si>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</si>
  <si>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</si>
  <si>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</si>
  <si>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</si>
  <si>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</si>
  <si>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</si>
  <si>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</si>
  <si>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</si>
  <si>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</si>
  <si>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</si>
  <si>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</si>
  <si>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</si>
  <si>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</si>
  <si>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</si>
  <si>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</si>
  <si>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</si>
  <si>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</si>
  <si>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</si>
  <si>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</si>
  <si>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</si>
  <si>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</si>
  <si>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</si>
  <si>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</si>
  <si>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</si>
  <si>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</si>
  <si>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</si>
  <si>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</si>
  <si>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</si>
  <si>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</si>
  <si>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</si>
  <si>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</si>
  <si>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</si>
  <si>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</si>
  <si>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</si>
  <si>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</si>
  <si>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</si>
  <si>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</si>
  <si>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</si>
  <si>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</si>
  <si>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</si>
  <si>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</si>
  <si>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</si>
  <si>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</si>
  <si>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</si>
  <si>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</si>
  <si>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</si>
  <si>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</si>
  <si>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</si>
  <si>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</si>
  <si>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</si>
  <si>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</si>
  <si>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</si>
  <si>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</si>
  <si>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</si>
  <si>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</si>
  <si>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</si>
  <si>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</si>
  <si>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</si>
  <si>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</si>
  <si>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</si>
  <si>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</si>
  <si>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</si>
  <si>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</si>
  <si>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</si>
  <si>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</si>
  <si>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</si>
  <si>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</si>
  <si>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</si>
  <si>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</si>
  <si>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</si>
  <si>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</si>
  <si>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</si>
  <si>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</si>
  <si>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</si>
  <si>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</si>
  <si>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</si>
  <si>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</si>
  <si>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</si>
  <si>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</si>
  <si>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</si>
  <si>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</si>
  <si>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</si>
  <si>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</si>
  <si>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</si>
  <si>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</si>
  <si>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</si>
  <si>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</si>
  <si>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</si>
  <si>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</si>
  <si>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</si>
  <si>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</si>
  <si>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</si>
  <si>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</si>
  <si>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</si>
  <si>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</si>
  <si>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</si>
  <si>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</si>
  <si>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</si>
  <si>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</si>
  <si>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</si>
  <si>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</si>
  <si>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</si>
  <si>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</si>
  <si>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</si>
  <si>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</si>
  <si>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</si>
  <si>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</si>
  <si>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</si>
  <si>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</si>
  <si>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</si>
  <si>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</si>
  <si>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</si>
  <si>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</si>
  <si>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STEP UP</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</si>
  <si>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</si>
  <si>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</si>
  <si>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</si>
  <si>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</si>
  <si>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</si>
  <si>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</si>
  <si>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</si>
  <si>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</si>
  <si>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</si>
  <si>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</si>
  <si>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</si>
  <si>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</si>
  <si>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</si>
  <si>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</si>
  <si>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 xml:space="preserve">HAYDE BRE </t>
  </si>
  <si>
    <t>CERTIFIED COPY</t>
  </si>
  <si>
    <t>SECRETARIAT</t>
  </si>
  <si>
    <t>MEŞ</t>
  </si>
  <si>
    <t>NAR FİLM</t>
  </si>
  <si>
    <t>KITES</t>
  </si>
  <si>
    <t>CHERRYBOMB</t>
  </si>
  <si>
    <t>CIRKUS COLUMBIA</t>
  </si>
  <si>
    <t>ZEFİR</t>
  </si>
  <si>
    <t>THE TREE</t>
  </si>
  <si>
    <t>7 AVLU</t>
  </si>
  <si>
    <t>SOMETHING BORROWED</t>
  </si>
  <si>
    <t>HEARTBREAKER</t>
  </si>
  <si>
    <t>THERE BE DRAGONS</t>
  </si>
  <si>
    <t>TROLL HUNTER</t>
  </si>
  <si>
    <r>
      <t xml:space="preserve">Weeks Adm. - </t>
    </r>
    <r>
      <rPr>
        <b/>
        <sz val="11"/>
        <color indexed="10"/>
        <rFont val="Corbel"/>
        <family val="2"/>
      </rPr>
      <t>Haftalık seyirci</t>
    </r>
  </si>
  <si>
    <t>X-MEN: FIRST CLASS</t>
  </si>
  <si>
    <t>GNOMEO &amp; JULIET</t>
  </si>
  <si>
    <t>THE WARD</t>
  </si>
  <si>
    <t>KALEDEKİ YALNIZLIK</t>
  </si>
  <si>
    <t>KIDNAPPED</t>
  </si>
  <si>
    <t>THE FIRST BEAUTIFUL THING</t>
  </si>
  <si>
    <t>ROOM IN ROME</t>
  </si>
  <si>
    <t>WRECKED</t>
  </si>
  <si>
    <t>GÜNAH KEÇİSİ</t>
  </si>
  <si>
    <t>THE ADJUSTMENT BREAU</t>
  </si>
  <si>
    <t>KUNG FU PANDA 2</t>
  </si>
  <si>
    <t>HANNA</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</si>
  <si>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</si>
  <si>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</si>
  <si>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</si>
  <si>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</si>
  <si>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</si>
  <si>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</si>
  <si>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</si>
  <si>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</si>
  <si>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</si>
  <si>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</si>
  <si>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</si>
  <si>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THE WAY BACK</t>
  </si>
  <si>
    <t>BABAM VE OĞLUM</t>
  </si>
  <si>
    <t>YÜREĞİNE SOR</t>
  </si>
  <si>
    <t>EŞREFPAŞALILAR</t>
  </si>
  <si>
    <t>BATTLE: LOS ANGELES</t>
  </si>
  <si>
    <t>CHERRY</t>
  </si>
  <si>
    <t>DRIVE ANGRY</t>
  </si>
  <si>
    <t>THE GREEN HORNET</t>
  </si>
  <si>
    <t>THE HANGOVER PART II</t>
  </si>
  <si>
    <t xml:space="preserve">KİR - QUREJ </t>
  </si>
  <si>
    <t>LINCOLN LAWYER</t>
  </si>
  <si>
    <t>JUST GO WITH IT</t>
  </si>
  <si>
    <t>SENNA</t>
  </si>
  <si>
    <t>RANGO</t>
  </si>
  <si>
    <t>SECOND CHANCE</t>
  </si>
  <si>
    <t>ZWART WATER</t>
  </si>
  <si>
    <t>OF GODS AND MEN</t>
  </si>
  <si>
    <t>A SEPARATION</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</si>
  <si>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</si>
  <si>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</si>
  <si>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</si>
  <si>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</si>
  <si>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</si>
  <si>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</si>
  <si>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</si>
  <si>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</si>
  <si>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</si>
  <si>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</si>
  <si>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</si>
  <si>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</si>
  <si>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</si>
  <si>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</si>
  <si>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</si>
  <si>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</si>
  <si>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</si>
  <si>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</si>
  <si>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</si>
  <si>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</si>
  <si>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</si>
  <si>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</si>
  <si>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</si>
  <si>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</si>
  <si>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</si>
  <si>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</si>
  <si>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</si>
  <si>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</si>
  <si>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</si>
  <si>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</si>
  <si>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</si>
  <si>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</si>
  <si>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</si>
  <si>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</si>
  <si>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</si>
  <si>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</si>
  <si>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</si>
  <si>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</si>
  <si>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</si>
  <si>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</si>
  <si>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</si>
  <si>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</si>
  <si>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</si>
  <si>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</si>
  <si>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</si>
  <si>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</si>
  <si>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</si>
  <si>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</si>
  <si>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</si>
  <si>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</si>
  <si>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</si>
  <si>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</si>
  <si>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</si>
  <si>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</si>
  <si>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</si>
  <si>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</si>
  <si>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</si>
  <si>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</si>
  <si>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</si>
  <si>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</si>
  <si>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</si>
  <si>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</si>
  <si>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</si>
  <si>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</si>
  <si>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</si>
  <si>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</si>
  <si>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</si>
  <si>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</si>
  <si>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</si>
  <si>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</si>
  <si>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</si>
  <si>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</si>
  <si>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</si>
  <si>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</si>
  <si>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</si>
  <si>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</si>
  <si>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</si>
  <si>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</si>
  <si>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</si>
  <si>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</si>
  <si>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</si>
  <si>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</si>
  <si>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</si>
  <si>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</si>
  <si>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</si>
  <si>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</si>
  <si>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</si>
  <si>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</si>
  <si>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</si>
  <si>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</si>
  <si>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LARRY CROWN</t>
  </si>
  <si>
    <t>THE RESIDENT</t>
  </si>
  <si>
    <t>CHATROOM</t>
  </si>
  <si>
    <t>OPEN SEASON 2</t>
  </si>
  <si>
    <t>NEDS</t>
  </si>
  <si>
    <t>ÇOK FİLİM HAREKETLER BUNLAR</t>
  </si>
  <si>
    <t>KOSMOS</t>
  </si>
  <si>
    <t>KUKURİKU: KADIN KRALLIĞI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</si>
  <si>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</si>
  <si>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</si>
  <si>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</si>
  <si>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</si>
  <si>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</si>
  <si>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</si>
  <si>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</si>
  <si>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</si>
  <si>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</si>
  <si>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</si>
  <si>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</si>
  <si>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</si>
  <si>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</si>
  <si>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</si>
  <si>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</si>
  <si>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HARRY POTTER AND THE DEATHLY HALLOWS: PART 2</t>
  </si>
  <si>
    <t>THE NAMES OF LOVE</t>
  </si>
  <si>
    <t>LOFT</t>
  </si>
  <si>
    <t>EVEN THE RAIN</t>
  </si>
  <si>
    <t>HOODWINKED VS. EVIL</t>
  </si>
  <si>
    <r>
      <t>TÜRKİYE</t>
    </r>
    <r>
      <rPr>
        <b/>
        <sz val="40"/>
        <rFont val="Calibri"/>
        <family val="2"/>
      </rPr>
      <t xml:space="preserve">'S </t>
    </r>
    <r>
      <rPr>
        <b/>
        <u val="single"/>
        <sz val="40"/>
        <rFont val="Calibri"/>
        <family val="2"/>
      </rPr>
      <t>WEEKLY</t>
    </r>
    <r>
      <rPr>
        <b/>
        <sz val="40"/>
        <rFont val="Calibri"/>
        <family val="2"/>
      </rPr>
      <t xml:space="preserve"> MARKET DATA</t>
    </r>
  </si>
  <si>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</si>
  <si>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</si>
  <si>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</si>
  <si>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</si>
  <si>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</si>
  <si>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</si>
  <si>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ARRIETY</t>
  </si>
  <si>
    <t>TOURIST</t>
  </si>
  <si>
    <t>THOR</t>
  </si>
  <si>
    <t>THE HEDGEHOG</t>
  </si>
  <si>
    <t>NEEDLE</t>
  </si>
  <si>
    <t>SILENCE OF LOVE</t>
  </si>
  <si>
    <t>EXORCISMUS</t>
  </si>
  <si>
    <t>SOUND OF NOISE</t>
  </si>
  <si>
    <t>MONSTER</t>
  </si>
  <si>
    <t>RECEP İVEDİK</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</si>
  <si>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</si>
  <si>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</si>
  <si>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</si>
  <si>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t>RISE OF THE PLANET OF THE APES</t>
  </si>
  <si>
    <t>UNTHINKABLE</t>
  </si>
  <si>
    <t>THE VILLAGE OF SHADOWS</t>
  </si>
  <si>
    <t>RECEP İVEDİK 2</t>
  </si>
  <si>
    <t>SULTANIN SIRRI</t>
  </si>
  <si>
    <t>THE SHOCK LABYRINTH: EXTREME</t>
  </si>
  <si>
    <t>NORWEGIAN WOOD</t>
  </si>
  <si>
    <t>BLINDNESS</t>
  </si>
  <si>
    <t>HORRIBLE BOSES</t>
  </si>
  <si>
    <t>HIDDEN</t>
  </si>
  <si>
    <t>HENRY OF NAVARRE</t>
  </si>
  <si>
    <t>UMUT</t>
  </si>
  <si>
    <t>HOODWINKED 3D</t>
  </si>
  <si>
    <t>RECEP İVEDİK 3</t>
  </si>
  <si>
    <t>NEFES: VATAN SAĞOLSUN</t>
  </si>
  <si>
    <t>SONBAHAR</t>
  </si>
  <si>
    <t>MAHPEYKER</t>
  </si>
  <si>
    <t>NO STRINGS ATTACHED</t>
  </si>
  <si>
    <t>CARS 2</t>
  </si>
  <si>
    <t>THE AGES OF LOVE</t>
  </si>
  <si>
    <t>THE CONSPIRATOR</t>
  </si>
  <si>
    <t>STAKE LAND</t>
  </si>
  <si>
    <t>THE İMAM</t>
  </si>
  <si>
    <t>BAŞKA DİLDE AŞK</t>
  </si>
  <si>
    <t>WALTZ WITH BASHIR</t>
  </si>
  <si>
    <t xml:space="preserve">TRANSFORMERS: DARK OF THE MOON </t>
  </si>
  <si>
    <t>MR. POPPER'S PENGUINS</t>
  </si>
  <si>
    <t>GREEN LANTERN</t>
  </si>
  <si>
    <t>COLOMBIANA</t>
  </si>
  <si>
    <t>PERFECT SENSE</t>
  </si>
  <si>
    <t>ATTACK THE BLOCK</t>
  </si>
  <si>
    <t>Last Week</t>
  </si>
  <si>
    <t>Geçen hafta</t>
  </si>
  <si>
    <t>ZOOKEPER</t>
  </si>
  <si>
    <t>MOTHERS DAY</t>
  </si>
  <si>
    <t>GRIFF THE INVISIBLE</t>
  </si>
  <si>
    <t>Geçen hafta  %</t>
  </si>
  <si>
    <t>CAPTAIN AMERICA: FIRST AVANGER</t>
  </si>
  <si>
    <t>BRIDESMAIDS</t>
  </si>
  <si>
    <t>ESSENTIAL KILLING</t>
  </si>
  <si>
    <t>BAD TEACHER</t>
  </si>
  <si>
    <r>
      <t>Basic data of the movies -</t>
    </r>
    <r>
      <rPr>
        <b/>
        <sz val="11"/>
        <color indexed="10"/>
        <rFont val="Corbel"/>
        <family val="2"/>
      </rPr>
      <t xml:space="preserve"> Filmin genel bilgileri</t>
    </r>
  </si>
  <si>
    <t>Rest of the week</t>
  </si>
  <si>
    <t>Haftaiçi</t>
  </si>
  <si>
    <t>N</t>
  </si>
  <si>
    <t>FINAL DESTINATION 5</t>
  </si>
  <si>
    <t>A</t>
  </si>
  <si>
    <t>A LITTLE BIT HEAVEN</t>
  </si>
  <si>
    <t>L</t>
  </si>
  <si>
    <t>SAÇ</t>
  </si>
  <si>
    <t>WE ARE THE NIGHT</t>
  </si>
  <si>
    <t>THE CONCERT</t>
  </si>
  <si>
    <t>COWBOYS AND ALIENS</t>
  </si>
  <si>
    <t>KARADEDELER OLAYI</t>
  </si>
  <si>
    <t>FRIENDS WITH BENEFITS</t>
  </si>
  <si>
    <t>SPY KIDS 4D</t>
  </si>
  <si>
    <t>GOETHE!</t>
  </si>
  <si>
    <t>KURTLAR VADİSİ FİLİSTİN</t>
  </si>
  <si>
    <t>ÇOĞUNLUK</t>
  </si>
  <si>
    <t>MFP-CINE GROUP</t>
  </si>
  <si>
    <r>
      <t xml:space="preserve">Week: 39 / </t>
    </r>
    <r>
      <rPr>
        <b/>
        <u val="single"/>
        <sz val="18"/>
        <rFont val="Candara"/>
        <family val="2"/>
      </rPr>
      <t>September' 23 - 29, 2011</t>
    </r>
  </si>
  <si>
    <r>
      <t xml:space="preserve">Hafta: 39 / </t>
    </r>
    <r>
      <rPr>
        <b/>
        <u val="single"/>
        <sz val="18"/>
        <color indexed="10"/>
        <rFont val="Candara"/>
        <family val="2"/>
      </rPr>
      <t>23 - 29 Eylül 2011</t>
    </r>
  </si>
  <si>
    <t>31 Aralık 2010 - 29 Eylül 2011</t>
  </si>
  <si>
    <r>
      <t xml:space="preserve"> Dec' 31, 2010 - September' 29, 2011</t>
    </r>
  </si>
  <si>
    <r>
      <t xml:space="preserve">Hafta: 39 / </t>
    </r>
    <r>
      <rPr>
        <b/>
        <u val="single"/>
        <sz val="14"/>
        <color indexed="10"/>
        <rFont val="Candara"/>
        <family val="2"/>
      </rPr>
      <t>23 - 29 Eylül 2011</t>
    </r>
  </si>
  <si>
    <r>
      <t xml:space="preserve">Week: 39 / </t>
    </r>
    <r>
      <rPr>
        <b/>
        <u val="single"/>
        <sz val="14"/>
        <rFont val="Candara"/>
        <family val="2"/>
      </rPr>
      <t>September 23 - 29, 2011</t>
    </r>
  </si>
  <si>
    <t>KILLER ELITE</t>
  </si>
  <si>
    <t>BİR ZAMANLAR ANADOLU'DA</t>
  </si>
  <si>
    <t>FRIGHT NIGHT</t>
  </si>
  <si>
    <t>I DONT KNOW HOW SHE DOES IT</t>
  </si>
  <si>
    <t>BEYAZ MELEK</t>
  </si>
  <si>
    <t>BLUE VALANTINE</t>
  </si>
  <si>
    <t>WHATEVER WORKS</t>
  </si>
</sst>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quot;Evet&quot;;&quot;Evet&quot;;&quot;Hayır&quot;"/>
    <numFmt numFmtId="208" formatCode="&quot;Doğru&quot;;&quot;Doğru&quot;;&quot;Yanlış&quot;"/>
    <numFmt numFmtId="209" formatCode="&quot;Açık&quot;;&quot;Açık&quot;;&quot;Kapalı&quot;"/>
  </numFmts>
  <fonts count="112">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b/>
      <sz val="8"/>
      <name val="Calibri"/>
      <family val="2"/>
    </font>
    <font>
      <b/>
      <sz val="8"/>
      <color indexed="9"/>
      <name val="Calibri"/>
      <family val="2"/>
    </font>
    <font>
      <sz val="11"/>
      <color indexed="8"/>
      <name val="Calibri"/>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
      <b/>
      <sz val="8"/>
      <color indexed="9"/>
      <name val="Trebuchet MS"/>
      <family val="2"/>
    </font>
    <font>
      <sz val="8"/>
      <name val="Calibri"/>
      <family val="2"/>
    </font>
    <font>
      <b/>
      <sz val="14"/>
      <name val="Candara"/>
      <family val="2"/>
    </font>
    <font>
      <b/>
      <u val="single"/>
      <sz val="14"/>
      <name val="Candara"/>
      <family val="2"/>
    </font>
    <font>
      <sz val="14"/>
      <name val="Candara"/>
      <family val="2"/>
    </font>
    <font>
      <b/>
      <u val="single"/>
      <sz val="14"/>
      <color indexed="10"/>
      <name val="Candara"/>
      <family val="2"/>
    </font>
    <font>
      <sz val="11"/>
      <color indexed="10"/>
      <name val="Corbe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17"/>
        <bgColor indexed="64"/>
      </patternFill>
    </fill>
    <fill>
      <patternFill patternType="solid">
        <fgColor indexed="42"/>
        <bgColor indexed="64"/>
      </patternFill>
    </fill>
  </fills>
  <borders count="51">
    <border>
      <left/>
      <right/>
      <top/>
      <bottom/>
      <diagonal/>
    </border>
    <border>
      <left style="thin"/>
      <right style="thin"/>
      <top>
        <color indexed="63"/>
      </top>
      <bottom style="thin"/>
    </border>
    <border>
      <left style="hair"/>
      <right style="hair"/>
      <top style="hair"/>
      <bottom style="hair"/>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hair"/>
      <right>
        <color indexed="63"/>
      </right>
      <top style="hair"/>
      <bottom style="medium"/>
    </border>
    <border>
      <left style="hair"/>
      <right style="hair"/>
      <top style="hair"/>
      <bottom style="medium"/>
    </border>
    <border>
      <left>
        <color indexed="63"/>
      </left>
      <right style="thin"/>
      <top style="hair"/>
      <bottom style="medium"/>
    </border>
    <border>
      <left style="medium"/>
      <right style="hair"/>
      <top style="hair"/>
      <bottom style="medium"/>
    </border>
    <border>
      <left style="thin"/>
      <right style="thin"/>
      <top style="thin"/>
      <bottom>
        <color indexed="63"/>
      </bottom>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color indexed="63"/>
      </right>
      <top style="medium"/>
      <bottom style="hair"/>
    </border>
    <border>
      <left style="hair"/>
      <right style="hair"/>
      <top style="medium"/>
      <bottom style="hair"/>
    </border>
    <border>
      <left>
        <color indexed="63"/>
      </left>
      <right style="medium"/>
      <top>
        <color indexed="63"/>
      </top>
      <bottom style="hair"/>
    </border>
    <border>
      <left style="hair"/>
      <right style="medium"/>
      <top style="hair"/>
      <bottom style="medium"/>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color indexed="63"/>
      </left>
      <right style="hair"/>
      <top style="hair"/>
      <bottom style="hair"/>
    </border>
    <border>
      <left>
        <color indexed="63"/>
      </left>
      <right style="hair"/>
      <top>
        <color indexed="63"/>
      </top>
      <bottom style="hair"/>
    </border>
    <border>
      <left>
        <color indexed="63"/>
      </left>
      <right style="hair"/>
      <top style="hair"/>
      <bottom style="medium"/>
    </border>
    <border>
      <left style="hair"/>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88"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69">
    <xf numFmtId="0" fontId="0" fillId="0" borderId="0" xfId="0" applyAlignment="1">
      <alignment/>
    </xf>
    <xf numFmtId="0" fontId="44" fillId="2" borderId="1" xfId="0" applyFont="1" applyFill="1" applyBorder="1" applyAlignment="1" applyProtection="1">
      <alignment horizontal="center"/>
      <protection/>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right" vertical="center"/>
      <protection locked="0"/>
    </xf>
    <xf numFmtId="0" fontId="39" fillId="0" borderId="2" xfId="0"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locked="0"/>
    </xf>
    <xf numFmtId="4" fontId="56"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0" fontId="39" fillId="0" borderId="2" xfId="0"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49" fontId="39" fillId="0" borderId="2" xfId="0" applyNumberFormat="1" applyFont="1" applyFill="1" applyBorder="1" applyAlignment="1" applyProtection="1">
      <alignment horizontal="left" vertical="center"/>
      <protection locked="0"/>
    </xf>
    <xf numFmtId="0" fontId="39" fillId="0" borderId="2" xfId="0"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0" fontId="39" fillId="0" borderId="2"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4" fontId="39" fillId="0" borderId="2" xfId="0" applyNumberFormat="1" applyFont="1" applyFill="1" applyBorder="1" applyAlignment="1">
      <alignment vertical="center"/>
    </xf>
    <xf numFmtId="3" fontId="39" fillId="0" borderId="2" xfId="0" applyNumberFormat="1" applyFont="1" applyFill="1" applyBorder="1" applyAlignment="1">
      <alignment vertical="center"/>
    </xf>
    <xf numFmtId="0" fontId="39" fillId="0" borderId="2" xfId="0" applyFont="1" applyFill="1" applyBorder="1" applyAlignment="1">
      <alignment horizontal="left" vertical="center"/>
    </xf>
    <xf numFmtId="0" fontId="39" fillId="0" borderId="2" xfId="0" applyFont="1" applyFill="1" applyBorder="1" applyAlignment="1">
      <alignment vertical="center"/>
    </xf>
    <xf numFmtId="190" fontId="39" fillId="0" borderId="2" xfId="0" applyNumberFormat="1" applyFont="1" applyFill="1" applyBorder="1" applyAlignment="1">
      <alignment horizontal="center" vertical="center"/>
    </xf>
    <xf numFmtId="0" fontId="39" fillId="0" borderId="2" xfId="0" applyFont="1" applyFill="1" applyBorder="1" applyAlignment="1">
      <alignment horizontal="right" vertical="center"/>
    </xf>
    <xf numFmtId="4" fontId="39" fillId="0" borderId="2" xfId="15" applyNumberFormat="1" applyFont="1" applyFill="1" applyBorder="1" applyAlignment="1" applyProtection="1">
      <alignment vertical="center"/>
      <protection/>
    </xf>
    <xf numFmtId="4" fontId="39" fillId="0" borderId="2" xfId="15"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3" fontId="39" fillId="0" borderId="2" xfId="15" applyNumberFormat="1" applyFont="1" applyFill="1" applyBorder="1" applyAlignment="1" applyProtection="1">
      <alignment horizontal="right" vertical="center"/>
      <protection/>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17"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4" fontId="39" fillId="0" borderId="2" xfId="17"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vertical="center"/>
    </xf>
    <xf numFmtId="3" fontId="56" fillId="0" borderId="2" xfId="0" applyNumberFormat="1" applyFont="1" applyFill="1" applyBorder="1" applyAlignment="1">
      <alignment horizontal="right" vertical="center"/>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3" xfId="0" applyFont="1" applyFill="1" applyBorder="1" applyAlignment="1" applyProtection="1">
      <alignment horizontal="center" vertical="center"/>
      <protection/>
    </xf>
    <xf numFmtId="1" fontId="45" fillId="2" borderId="4" xfId="0" applyNumberFormat="1" applyFont="1" applyFill="1" applyBorder="1" applyAlignment="1" applyProtection="1">
      <alignment horizontal="center" vertical="center" wrapText="1"/>
      <protection/>
    </xf>
    <xf numFmtId="0" fontId="45" fillId="2" borderId="4"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5" xfId="0" applyNumberFormat="1" applyFont="1" applyFill="1" applyBorder="1" applyAlignment="1" applyProtection="1">
      <alignment horizontal="center" vertical="center" wrapText="1"/>
      <protection/>
    </xf>
    <xf numFmtId="0" fontId="44" fillId="2" borderId="5" xfId="0" applyFont="1" applyFill="1" applyBorder="1" applyAlignment="1" applyProtection="1">
      <alignment horizontal="center" vertical="center" wrapText="1"/>
      <protection/>
    </xf>
    <xf numFmtId="43" fontId="44" fillId="2" borderId="5" xfId="15" applyFont="1" applyFill="1" applyBorder="1" applyAlignment="1" applyProtection="1">
      <alignment horizontal="center"/>
      <protection/>
    </xf>
    <xf numFmtId="190" fontId="44" fillId="2" borderId="5" xfId="0" applyNumberFormat="1" applyFont="1" applyFill="1" applyBorder="1" applyAlignment="1" applyProtection="1">
      <alignment horizontal="center"/>
      <protection/>
    </xf>
    <xf numFmtId="0" fontId="44" fillId="2" borderId="5" xfId="0" applyFont="1" applyFill="1" applyBorder="1" applyAlignment="1" applyProtection="1">
      <alignment horizontal="center"/>
      <protection/>
    </xf>
    <xf numFmtId="0" fontId="57" fillId="2" borderId="5" xfId="0" applyFont="1" applyFill="1" applyBorder="1" applyAlignment="1" applyProtection="1">
      <alignment horizontal="center" vertical="center" wrapText="1"/>
      <protection/>
    </xf>
    <xf numFmtId="3" fontId="44" fillId="2" borderId="5" xfId="0" applyNumberFormat="1" applyFont="1" applyFill="1" applyBorder="1" applyAlignment="1" applyProtection="1">
      <alignment horizontal="center" vertical="center" wrapText="1"/>
      <protection/>
    </xf>
    <xf numFmtId="2" fontId="44" fillId="2" borderId="5"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5" xfId="0" applyFont="1" applyFill="1" applyBorder="1" applyAlignment="1" applyProtection="1">
      <alignment horizontal="center"/>
      <protection/>
    </xf>
    <xf numFmtId="43" fontId="46" fillId="2" borderId="5" xfId="15" applyFont="1" applyFill="1" applyBorder="1" applyAlignment="1" applyProtection="1">
      <alignment horizontal="center"/>
      <protection/>
    </xf>
    <xf numFmtId="190" fontId="46" fillId="2" borderId="5" xfId="0" applyNumberFormat="1" applyFont="1" applyFill="1" applyBorder="1" applyAlignment="1" applyProtection="1">
      <alignment horizontal="center"/>
      <protection/>
    </xf>
    <xf numFmtId="0" fontId="46" fillId="2" borderId="5" xfId="0" applyFont="1" applyFill="1" applyBorder="1" applyAlignment="1" applyProtection="1">
      <alignment horizontal="center" vertical="center" wrapText="1"/>
      <protection/>
    </xf>
    <xf numFmtId="0" fontId="58" fillId="2" borderId="5" xfId="0" applyFont="1" applyFill="1" applyBorder="1" applyAlignment="1" applyProtection="1">
      <alignment horizontal="center" vertical="center" wrapText="1"/>
      <protection/>
    </xf>
    <xf numFmtId="3" fontId="46" fillId="2" borderId="5" xfId="0" applyNumberFormat="1" applyFont="1" applyFill="1" applyBorder="1" applyAlignment="1" applyProtection="1">
      <alignment horizontal="center" vertical="center" wrapText="1"/>
      <protection/>
    </xf>
    <xf numFmtId="2" fontId="46" fillId="2" borderId="5" xfId="0" applyNumberFormat="1" applyFont="1" applyFill="1" applyBorder="1" applyAlignment="1" applyProtection="1">
      <alignment horizontal="center" vertical="center" wrapText="1"/>
      <protection/>
    </xf>
    <xf numFmtId="0" fontId="48" fillId="3" borderId="6" xfId="0" applyFont="1" applyFill="1" applyBorder="1" applyAlignment="1" applyProtection="1">
      <alignment vertical="center"/>
      <protection/>
    </xf>
    <xf numFmtId="0" fontId="51" fillId="4" borderId="7" xfId="0" applyFont="1" applyFill="1" applyBorder="1" applyAlignment="1" applyProtection="1">
      <alignment horizontal="center" vertical="center"/>
      <protection/>
    </xf>
    <xf numFmtId="0" fontId="50" fillId="2" borderId="8" xfId="0" applyFont="1" applyFill="1" applyBorder="1" applyAlignment="1" applyProtection="1">
      <alignment horizontal="left" vertical="center"/>
      <protection/>
    </xf>
    <xf numFmtId="0" fontId="48" fillId="3" borderId="9"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10" xfId="0" applyFont="1" applyFill="1" applyBorder="1" applyAlignment="1" applyProtection="1">
      <alignment vertical="center"/>
      <protection/>
    </xf>
    <xf numFmtId="0" fontId="50" fillId="2" borderId="11" xfId="0" applyNumberFormat="1" applyFont="1" applyFill="1" applyBorder="1" applyAlignment="1" applyProtection="1">
      <alignment horizontal="right" vertical="center"/>
      <protection/>
    </xf>
    <xf numFmtId="0" fontId="50" fillId="2" borderId="12" xfId="0" applyFont="1" applyFill="1" applyBorder="1" applyAlignment="1" applyProtection="1">
      <alignment horizontal="left" vertical="center"/>
      <protection/>
    </xf>
    <xf numFmtId="3"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3" fontId="39" fillId="0" borderId="2" xfId="32" applyNumberFormat="1" applyFont="1" applyFill="1" applyBorder="1" applyAlignment="1" applyProtection="1">
      <alignment horizontal="right" vertical="center"/>
      <protection/>
    </xf>
    <xf numFmtId="4" fontId="39" fillId="0" borderId="13" xfId="32" applyNumberFormat="1" applyFont="1" applyFill="1" applyBorder="1" applyAlignment="1" applyProtection="1">
      <alignment horizontal="right" vertical="center"/>
      <protection/>
    </xf>
    <xf numFmtId="0" fontId="48" fillId="3" borderId="14" xfId="0" applyFont="1" applyFill="1" applyBorder="1" applyAlignment="1" applyProtection="1">
      <alignment vertical="center"/>
      <protection/>
    </xf>
    <xf numFmtId="0" fontId="50" fillId="2" borderId="11" xfId="0" applyFont="1" applyFill="1" applyBorder="1" applyAlignment="1" applyProtection="1">
      <alignment horizontal="right" vertical="center"/>
      <protection/>
    </xf>
    <xf numFmtId="4" fontId="39" fillId="0" borderId="13" xfId="0" applyNumberFormat="1" applyFont="1" applyFill="1" applyBorder="1" applyAlignment="1" applyProtection="1">
      <alignment horizontal="right" vertical="center"/>
      <protection/>
    </xf>
    <xf numFmtId="0" fontId="51" fillId="4" borderId="11" xfId="0" applyFont="1" applyFill="1" applyBorder="1" applyAlignment="1" applyProtection="1">
      <alignment horizontal="center" vertical="center"/>
      <protection/>
    </xf>
    <xf numFmtId="0" fontId="51" fillId="5" borderId="12" xfId="0" applyFont="1" applyFill="1" applyBorder="1" applyAlignment="1" applyProtection="1">
      <alignment horizontal="center" vertical="center"/>
      <protection/>
    </xf>
    <xf numFmtId="204" fontId="50" fillId="2" borderId="11" xfId="0"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0" fontId="51" fillId="4" borderId="11" xfId="0" applyFont="1" applyFill="1" applyBorder="1" applyAlignment="1" applyProtection="1">
      <alignment horizontal="center" vertical="center"/>
      <protection/>
    </xf>
    <xf numFmtId="3" fontId="39" fillId="0" borderId="2" xfId="0" applyNumberFormat="1" applyFont="1" applyFill="1" applyBorder="1" applyAlignment="1" applyProtection="1">
      <alignment horizontal="right" vertical="center"/>
      <protection/>
    </xf>
    <xf numFmtId="204" fontId="50" fillId="2" borderId="11" xfId="0" applyNumberFormat="1" applyFont="1" applyFill="1" applyBorder="1" applyAlignment="1" applyProtection="1">
      <alignment horizontal="right" vertical="center"/>
      <protection/>
    </xf>
    <xf numFmtId="190" fontId="39" fillId="0" borderId="2" xfId="0" applyNumberFormat="1" applyFont="1" applyFill="1" applyBorder="1" applyAlignment="1" applyProtection="1">
      <alignment horizontal="center" vertical="center"/>
      <protection/>
    </xf>
    <xf numFmtId="0" fontId="39" fillId="0" borderId="2" xfId="0" applyFont="1" applyFill="1" applyBorder="1" applyAlignment="1" applyProtection="1">
      <alignment horizontal="left" vertical="center"/>
      <protection/>
    </xf>
    <xf numFmtId="0" fontId="39" fillId="0" borderId="2" xfId="0"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0" fontId="39" fillId="0" borderId="2" xfId="0" applyNumberFormat="1" applyFont="1" applyFill="1" applyBorder="1" applyAlignment="1" applyProtection="1">
      <alignment horizontal="left" vertical="center"/>
      <protection/>
    </xf>
    <xf numFmtId="49" fontId="39" fillId="0" borderId="2" xfId="0" applyNumberFormat="1" applyFont="1" applyFill="1" applyBorder="1" applyAlignment="1" applyProtection="1">
      <alignment horizontal="left" vertical="center"/>
      <protection/>
    </xf>
    <xf numFmtId="0" fontId="39" fillId="0" borderId="2" xfId="0" applyNumberFormat="1"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4" fontId="39" fillId="0" borderId="13" xfId="15" applyNumberFormat="1" applyFont="1" applyFill="1" applyBorder="1" applyAlignment="1" applyProtection="1">
      <alignment horizontal="right" vertical="center"/>
      <protection/>
    </xf>
    <xf numFmtId="4" fontId="39" fillId="0" borderId="13" xfId="32" applyNumberFormat="1" applyFont="1" applyFill="1" applyBorder="1" applyAlignment="1" applyProtection="1">
      <alignment horizontal="right" vertical="center"/>
      <protection/>
    </xf>
    <xf numFmtId="3" fontId="39" fillId="0" borderId="2" xfId="0" applyNumberFormat="1" applyFont="1" applyFill="1" applyBorder="1" applyAlignment="1" applyProtection="1">
      <alignment horizontal="right" vertical="center"/>
      <protection/>
    </xf>
    <xf numFmtId="4" fontId="39" fillId="0" borderId="13" xfId="0" applyNumberFormat="1" applyFont="1" applyFill="1" applyBorder="1" applyAlignment="1" applyProtection="1">
      <alignment horizontal="right" vertical="center"/>
      <protection/>
    </xf>
    <xf numFmtId="0" fontId="48" fillId="3" borderId="15" xfId="0" applyFont="1" applyFill="1" applyBorder="1" applyAlignment="1" applyProtection="1">
      <alignment vertical="center"/>
      <protection/>
    </xf>
    <xf numFmtId="0" fontId="51" fillId="5" borderId="16" xfId="0" applyFont="1" applyFill="1" applyBorder="1" applyAlignment="1" applyProtection="1">
      <alignment horizontal="center" vertical="center"/>
      <protection/>
    </xf>
    <xf numFmtId="3" fontId="39" fillId="0" borderId="17" xfId="32" applyNumberFormat="1" applyFont="1" applyFill="1" applyBorder="1" applyAlignment="1" applyProtection="1">
      <alignment horizontal="right" vertical="center"/>
      <protection/>
    </xf>
    <xf numFmtId="0" fontId="48" fillId="3" borderId="18"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32" applyNumberFormat="1" applyFont="1" applyFill="1" applyBorder="1" applyAlignment="1" applyProtection="1">
      <alignment horizontal="right" vertical="center"/>
      <protection/>
    </xf>
    <xf numFmtId="0" fontId="37" fillId="2" borderId="0" xfId="0" applyFont="1" applyFill="1" applyBorder="1" applyAlignment="1" applyProtection="1">
      <alignment horizontal="left" vertical="center"/>
      <protection/>
    </xf>
    <xf numFmtId="3" fontId="36" fillId="2" borderId="0" xfId="0" applyNumberFormat="1" applyFont="1" applyFill="1" applyBorder="1" applyAlignment="1" applyProtection="1">
      <alignment horizontal="left" vertical="center"/>
      <protection/>
    </xf>
    <xf numFmtId="2"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0" fontId="0"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3" fontId="6" fillId="2" borderId="0" xfId="0" applyNumberFormat="1" applyFont="1" applyFill="1" applyBorder="1" applyAlignment="1" applyProtection="1">
      <alignment vertical="center"/>
      <protection/>
    </xf>
    <xf numFmtId="2" fontId="6" fillId="2" borderId="0" xfId="0" applyNumberFormat="1" applyFont="1" applyFill="1" applyBorder="1" applyAlignment="1" applyProtection="1">
      <alignment vertical="center"/>
      <protection/>
    </xf>
    <xf numFmtId="204" fontId="50" fillId="2" borderId="19" xfId="0" applyNumberFormat="1" applyFont="1" applyFill="1" applyBorder="1" applyAlignment="1" applyProtection="1">
      <alignment horizontal="right" vertical="center"/>
      <protection/>
    </xf>
    <xf numFmtId="0" fontId="59" fillId="2" borderId="0" xfId="0"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protection/>
    </xf>
    <xf numFmtId="3" fontId="62" fillId="2" borderId="0" xfId="0" applyNumberFormat="1" applyFont="1" applyFill="1" applyBorder="1" applyAlignment="1" applyProtection="1">
      <alignment horizontal="center" vertical="center"/>
      <protection/>
    </xf>
    <xf numFmtId="0" fontId="62" fillId="2" borderId="0" xfId="0" applyFont="1" applyFill="1" applyBorder="1" applyAlignment="1" applyProtection="1">
      <alignment horizontal="center" vertical="center"/>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0" fontId="65" fillId="2" borderId="0" xfId="0" applyFont="1" applyFill="1" applyBorder="1" applyAlignment="1" applyProtection="1">
      <alignment horizontal="center" vertical="center" wrapText="1"/>
      <protection/>
    </xf>
    <xf numFmtId="0" fontId="64" fillId="2" borderId="0" xfId="0"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0" fontId="39" fillId="0" borderId="11" xfId="0" applyFont="1" applyFill="1" applyBorder="1" applyAlignment="1">
      <alignment horizontal="left" vertical="center"/>
    </xf>
    <xf numFmtId="0" fontId="39" fillId="0" borderId="2" xfId="0" applyFont="1" applyFill="1" applyBorder="1" applyAlignment="1">
      <alignment horizontal="right" vertical="center"/>
    </xf>
    <xf numFmtId="3" fontId="56"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2" fontId="39" fillId="0" borderId="13" xfId="18" applyNumberFormat="1" applyFont="1" applyFill="1" applyBorder="1" applyAlignment="1" applyProtection="1">
      <alignment horizontal="right" vertical="center"/>
      <protection/>
    </xf>
    <xf numFmtId="0" fontId="39" fillId="0" borderId="11" xfId="0" applyFont="1" applyFill="1" applyBorder="1" applyAlignment="1">
      <alignment vertical="center"/>
    </xf>
    <xf numFmtId="0" fontId="39" fillId="0" borderId="2" xfId="0" applyNumberFormat="1" applyFont="1" applyFill="1" applyBorder="1" applyAlignment="1">
      <alignment horizontal="left" vertical="center"/>
    </xf>
    <xf numFmtId="2" fontId="39" fillId="0" borderId="2" xfId="18" applyNumberFormat="1" applyFont="1" applyFill="1" applyBorder="1" applyAlignment="1" applyProtection="1">
      <alignment vertical="center"/>
      <protection/>
    </xf>
    <xf numFmtId="0" fontId="39" fillId="0" borderId="11" xfId="0" applyFont="1" applyFill="1" applyBorder="1" applyAlignment="1">
      <alignment horizontal="left" vertical="center"/>
    </xf>
    <xf numFmtId="0" fontId="39" fillId="0" borderId="2" xfId="0" applyNumberFormat="1" applyFont="1" applyFill="1" applyBorder="1" applyAlignment="1">
      <alignment horizontal="right" vertical="center"/>
    </xf>
    <xf numFmtId="3" fontId="39" fillId="0" borderId="2" xfId="18" applyNumberFormat="1" applyFont="1" applyFill="1" applyBorder="1" applyAlignment="1" applyProtection="1">
      <alignment vertical="center"/>
      <protection/>
    </xf>
    <xf numFmtId="2" fontId="39" fillId="0" borderId="2" xfId="17" applyNumberFormat="1" applyFont="1" applyFill="1" applyBorder="1" applyAlignment="1" applyProtection="1">
      <alignment horizontal="right" vertical="center"/>
      <protection/>
    </xf>
    <xf numFmtId="0" fontId="39" fillId="0" borderId="11"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0" fontId="39" fillId="0" borderId="2" xfId="0" applyFont="1" applyFill="1" applyBorder="1" applyAlignment="1">
      <alignment horizontal="right"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4" fontId="39" fillId="0" borderId="2" xfId="18" applyNumberFormat="1" applyFont="1" applyFill="1" applyBorder="1" applyAlignment="1" applyProtection="1">
      <alignment horizontal="right" vertical="center" shrinkToFit="1"/>
      <protection locked="0"/>
    </xf>
    <xf numFmtId="3" fontId="39" fillId="0" borderId="2" xfId="18" applyNumberFormat="1" applyFont="1" applyFill="1" applyBorder="1" applyAlignment="1" applyProtection="1">
      <alignment horizontal="right" vertical="center" shrinkToFit="1"/>
      <protection locked="0"/>
    </xf>
    <xf numFmtId="2" fontId="39" fillId="0" borderId="13" xfId="18" applyNumberFormat="1" applyFont="1" applyFill="1" applyBorder="1" applyAlignment="1" applyProtection="1">
      <alignment horizontal="right" vertical="center" shrinkToFit="1"/>
      <protection/>
    </xf>
    <xf numFmtId="0" fontId="39" fillId="0" borderId="11" xfId="0" applyNumberFormat="1" applyFont="1" applyFill="1" applyBorder="1" applyAlignment="1">
      <alignment horizontal="left" vertical="center"/>
    </xf>
    <xf numFmtId="193" fontId="39" fillId="0" borderId="2" xfId="18" applyNumberFormat="1" applyFont="1" applyFill="1" applyBorder="1" applyAlignment="1" applyProtection="1">
      <alignment horizontal="right" vertical="center"/>
      <protection/>
    </xf>
    <xf numFmtId="0" fontId="39" fillId="0" borderId="11" xfId="0" applyNumberFormat="1" applyFont="1" applyFill="1" applyBorder="1" applyAlignment="1">
      <alignment horizontal="left" vertical="center"/>
    </xf>
    <xf numFmtId="0" fontId="39" fillId="0" borderId="2" xfId="0" applyNumberFormat="1" applyFont="1" applyFill="1" applyBorder="1" applyAlignment="1">
      <alignment horizontal="left" vertical="center"/>
    </xf>
    <xf numFmtId="0" fontId="39"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2" fontId="39" fillId="0" borderId="13" xfId="18"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shrinkToFit="1"/>
    </xf>
    <xf numFmtId="0" fontId="39" fillId="0" borderId="11" xfId="0" applyFont="1" applyFill="1" applyBorder="1" applyAlignment="1" applyProtection="1">
      <alignment horizontal="left" vertical="center"/>
      <protection locked="0"/>
    </xf>
    <xf numFmtId="2" fontId="39" fillId="0" borderId="13" xfId="17" applyNumberFormat="1" applyFont="1" applyFill="1" applyBorder="1" applyAlignment="1" applyProtection="1">
      <alignment horizontal="right" vertical="center"/>
      <protection/>
    </xf>
    <xf numFmtId="0" fontId="39" fillId="0" borderId="11" xfId="0"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4" fontId="39" fillId="0" borderId="2" xfId="17" applyNumberFormat="1" applyFont="1" applyFill="1" applyBorder="1" applyAlignment="1" applyProtection="1">
      <alignment vertical="center"/>
      <protection locked="0"/>
    </xf>
    <xf numFmtId="0" fontId="39" fillId="0" borderId="11" xfId="0" applyNumberFormat="1" applyFont="1" applyFill="1" applyBorder="1" applyAlignment="1" applyProtection="1">
      <alignment horizontal="left" vertical="center"/>
      <protection locked="0"/>
    </xf>
    <xf numFmtId="193" fontId="39" fillId="0" borderId="2" xfId="17" applyNumberFormat="1" applyFont="1" applyFill="1" applyBorder="1" applyAlignment="1" applyProtection="1">
      <alignment horizontal="right" vertical="center"/>
      <protection/>
    </xf>
    <xf numFmtId="2" fontId="39" fillId="0" borderId="2" xfId="17"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xf>
    <xf numFmtId="2" fontId="39" fillId="0" borderId="2" xfId="32" applyNumberFormat="1" applyFont="1" applyFill="1" applyBorder="1" applyAlignment="1" applyProtection="1">
      <alignment horizontal="right" vertical="center"/>
      <protection/>
    </xf>
    <xf numFmtId="2" fontId="39" fillId="0" borderId="13" xfId="32"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2" fontId="39" fillId="0" borderId="2" xfId="32" applyNumberFormat="1" applyFont="1" applyFill="1" applyBorder="1" applyAlignment="1" applyProtection="1">
      <alignment horizontal="right" vertical="center"/>
      <protection/>
    </xf>
    <xf numFmtId="0" fontId="39" fillId="0" borderId="2" xfId="0" applyNumberFormat="1" applyFont="1" applyFill="1" applyBorder="1" applyAlignment="1">
      <alignment horizontal="right" vertical="center"/>
    </xf>
    <xf numFmtId="0" fontId="39" fillId="0" borderId="11" xfId="0"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4" fontId="39" fillId="0" borderId="2" xfId="22" applyNumberFormat="1" applyFont="1" applyFill="1" applyBorder="1" applyAlignment="1" applyProtection="1">
      <alignment horizontal="right" vertical="center"/>
      <protection/>
    </xf>
    <xf numFmtId="3" fontId="39" fillId="0" borderId="2" xfId="22" applyNumberFormat="1" applyFont="1" applyFill="1" applyBorder="1" applyAlignment="1" applyProtection="1">
      <alignment horizontal="right" vertical="center"/>
      <protection/>
    </xf>
    <xf numFmtId="2" fontId="39" fillId="0" borderId="13" xfId="0"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3" fontId="39" fillId="0" borderId="2" xfId="19" applyNumberFormat="1" applyFont="1" applyFill="1" applyBorder="1" applyAlignment="1" applyProtection="1">
      <alignment horizontal="right" vertical="center"/>
      <protection/>
    </xf>
    <xf numFmtId="2" fontId="39" fillId="0" borderId="2" xfId="19" applyNumberFormat="1" applyFont="1" applyFill="1" applyBorder="1" applyAlignment="1" applyProtection="1">
      <alignment horizontal="right" vertical="center"/>
      <protection/>
    </xf>
    <xf numFmtId="4" fontId="39" fillId="0" borderId="2" xfId="19" applyNumberFormat="1" applyFont="1" applyFill="1" applyBorder="1" applyAlignment="1" applyProtection="1">
      <alignment horizontal="right" vertical="center"/>
      <protection locked="0"/>
    </xf>
    <xf numFmtId="3" fontId="39" fillId="0" borderId="2" xfId="19" applyNumberFormat="1" applyFont="1" applyFill="1" applyBorder="1" applyAlignment="1" applyProtection="1">
      <alignment horizontal="right" vertical="center"/>
      <protection locked="0"/>
    </xf>
    <xf numFmtId="2" fontId="39" fillId="0" borderId="13" xfId="19" applyNumberFormat="1" applyFont="1" applyFill="1" applyBorder="1" applyAlignment="1" applyProtection="1">
      <alignment horizontal="right" vertical="center"/>
      <protection/>
    </xf>
    <xf numFmtId="0" fontId="39" fillId="0" borderId="11" xfId="0" applyNumberFormat="1" applyFont="1" applyFill="1" applyBorder="1" applyAlignment="1" applyProtection="1">
      <alignment vertical="center"/>
      <protection locked="0"/>
    </xf>
    <xf numFmtId="0" fontId="39" fillId="0" borderId="11" xfId="27" applyFont="1" applyFill="1" applyBorder="1" applyAlignment="1">
      <alignment horizontal="left" vertical="center"/>
      <protection/>
    </xf>
    <xf numFmtId="190" fontId="39" fillId="0" borderId="2" xfId="27" applyNumberFormat="1" applyFont="1" applyFill="1" applyBorder="1" applyAlignment="1">
      <alignment horizontal="center" vertical="center"/>
      <protection/>
    </xf>
    <xf numFmtId="0" fontId="39" fillId="0" borderId="2" xfId="27" applyFont="1" applyFill="1" applyBorder="1" applyAlignment="1">
      <alignment horizontal="left" vertical="center"/>
      <protection/>
    </xf>
    <xf numFmtId="0" fontId="39" fillId="0" borderId="2" xfId="27" applyFont="1" applyFill="1" applyBorder="1" applyAlignment="1">
      <alignment horizontal="right" vertical="center"/>
      <protection/>
    </xf>
    <xf numFmtId="4" fontId="39" fillId="0" borderId="2" xfId="27" applyNumberFormat="1" applyFont="1" applyFill="1" applyBorder="1" applyAlignment="1">
      <alignment horizontal="right" vertical="center"/>
      <protection/>
    </xf>
    <xf numFmtId="3" fontId="39" fillId="0" borderId="2" xfId="27" applyNumberFormat="1" applyFont="1" applyFill="1" applyBorder="1" applyAlignment="1">
      <alignment horizontal="right" vertical="center"/>
      <protection/>
    </xf>
    <xf numFmtId="2"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vertical="center"/>
    </xf>
    <xf numFmtId="2" fontId="39" fillId="0" borderId="2" xfId="19" applyNumberFormat="1" applyFont="1" applyFill="1" applyBorder="1" applyAlignment="1" applyProtection="1">
      <alignment vertical="center"/>
      <protection/>
    </xf>
    <xf numFmtId="14" fontId="39" fillId="0" borderId="2" xfId="0" applyNumberFormat="1"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190" fontId="39" fillId="0" borderId="2" xfId="27" applyNumberFormat="1" applyFont="1" applyFill="1" applyBorder="1" applyAlignment="1" applyProtection="1">
      <alignment horizontal="center" vertical="center"/>
      <protection locked="0"/>
    </xf>
    <xf numFmtId="0" fontId="39" fillId="0" borderId="11" xfId="0" applyFont="1" applyFill="1" applyBorder="1" applyAlignment="1" applyProtection="1">
      <alignment horizontal="left" vertical="center" shrinkToFit="1"/>
      <protection locked="0"/>
    </xf>
    <xf numFmtId="3" fontId="39" fillId="0" borderId="2" xfId="32" applyNumberFormat="1" applyFont="1" applyFill="1" applyBorder="1" applyAlignment="1" applyProtection="1">
      <alignment vertical="center"/>
      <protection/>
    </xf>
    <xf numFmtId="193" fontId="39" fillId="0" borderId="2" xfId="0" applyNumberFormat="1" applyFont="1" applyFill="1" applyBorder="1" applyAlignment="1" applyProtection="1">
      <alignment horizontal="right" vertical="center"/>
      <protection/>
    </xf>
    <xf numFmtId="2" fontId="39" fillId="0" borderId="2" xfId="0" applyNumberFormat="1" applyFont="1" applyFill="1" applyBorder="1" applyAlignment="1">
      <alignment vertical="center"/>
    </xf>
    <xf numFmtId="4" fontId="39" fillId="0" borderId="2" xfId="0" applyNumberFormat="1" applyFont="1" applyFill="1" applyBorder="1" applyAlignment="1">
      <alignment horizontal="right"/>
    </xf>
    <xf numFmtId="3" fontId="39" fillId="0" borderId="2" xfId="0" applyNumberFormat="1" applyFont="1" applyFill="1" applyBorder="1" applyAlignment="1">
      <alignment horizontal="right"/>
    </xf>
    <xf numFmtId="190" fontId="39" fillId="0" borderId="2" xfId="0" applyNumberFormat="1" applyFont="1" applyFill="1" applyBorder="1" applyAlignment="1">
      <alignment horizontal="center" vertical="center"/>
    </xf>
    <xf numFmtId="14"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0" fontId="39" fillId="2" borderId="11" xfId="0" applyFont="1" applyFill="1" applyBorder="1" applyAlignment="1">
      <alignment horizontal="left"/>
    </xf>
    <xf numFmtId="190" fontId="39" fillId="2" borderId="2" xfId="0" applyNumberFormat="1" applyFont="1" applyFill="1" applyBorder="1" applyAlignment="1">
      <alignment horizontal="center" wrapText="1"/>
    </xf>
    <xf numFmtId="14" fontId="39" fillId="2" borderId="2" xfId="0" applyNumberFormat="1" applyFont="1" applyFill="1" applyBorder="1" applyAlignment="1">
      <alignment horizontal="left"/>
    </xf>
    <xf numFmtId="0" fontId="39" fillId="2" borderId="2" xfId="0" applyFont="1" applyFill="1" applyBorder="1" applyAlignment="1">
      <alignment horizontal="right"/>
    </xf>
    <xf numFmtId="3" fontId="39" fillId="2" borderId="2" xfId="0" applyNumberFormat="1" applyFont="1" applyFill="1" applyBorder="1" applyAlignment="1">
      <alignment horizontal="right"/>
    </xf>
    <xf numFmtId="2" fontId="39" fillId="2" borderId="2" xfId="0" applyNumberFormat="1" applyFont="1" applyFill="1" applyBorder="1" applyAlignment="1">
      <alignment horizontal="right"/>
    </xf>
    <xf numFmtId="4" fontId="39" fillId="2" borderId="2" xfId="0" applyNumberFormat="1" applyFont="1" applyFill="1" applyBorder="1" applyAlignment="1">
      <alignment horizontal="right"/>
    </xf>
    <xf numFmtId="3" fontId="39" fillId="2" borderId="2" xfId="0" applyNumberFormat="1" applyFont="1" applyFill="1" applyBorder="1" applyAlignment="1">
      <alignment horizontal="right"/>
    </xf>
    <xf numFmtId="2" fontId="39" fillId="2" borderId="13" xfId="0" applyNumberFormat="1" applyFont="1" applyFill="1" applyBorder="1" applyAlignment="1">
      <alignment horizontal="right"/>
    </xf>
    <xf numFmtId="204" fontId="39" fillId="0" borderId="11" xfId="0" applyNumberFormat="1" applyFont="1" applyFill="1" applyBorder="1" applyAlignment="1">
      <alignment horizontal="left" vertical="center"/>
    </xf>
    <xf numFmtId="0" fontId="39" fillId="0" borderId="11" xfId="0" applyFont="1" applyFill="1" applyBorder="1" applyAlignment="1">
      <alignment horizontal="left" vertical="center"/>
    </xf>
    <xf numFmtId="0" fontId="39" fillId="0" borderId="2" xfId="0" applyFont="1" applyFill="1" applyBorder="1" applyAlignment="1">
      <alignment horizontal="left" vertical="center"/>
    </xf>
    <xf numFmtId="0" fontId="39" fillId="0" borderId="11" xfId="0" applyFont="1" applyFill="1" applyBorder="1" applyAlignment="1">
      <alignment vertical="center"/>
    </xf>
    <xf numFmtId="2" fontId="39" fillId="0" borderId="2" xfId="18" applyNumberFormat="1" applyFont="1" applyFill="1" applyBorder="1" applyAlignment="1" applyProtection="1">
      <alignment vertical="center"/>
      <protection/>
    </xf>
    <xf numFmtId="4" fontId="39" fillId="0" borderId="2" xfId="19" applyNumberFormat="1" applyFont="1" applyFill="1" applyBorder="1" applyAlignment="1" applyProtection="1">
      <alignment vertical="center"/>
      <protection locked="0"/>
    </xf>
    <xf numFmtId="3" fontId="39" fillId="0" borderId="2" xfId="19" applyNumberFormat="1" applyFont="1" applyFill="1" applyBorder="1" applyAlignment="1" applyProtection="1">
      <alignment vertical="center"/>
      <protection/>
    </xf>
    <xf numFmtId="3" fontId="39" fillId="0" borderId="2" xfId="19" applyNumberFormat="1" applyFont="1" applyFill="1" applyBorder="1" applyAlignment="1" applyProtection="1">
      <alignment vertical="center"/>
      <protection locked="0"/>
    </xf>
    <xf numFmtId="0" fontId="39" fillId="0" borderId="11"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right" vertical="center"/>
      <protection locked="0"/>
    </xf>
    <xf numFmtId="190" fontId="39" fillId="0" borderId="2" xfId="0" applyNumberFormat="1" applyFont="1" applyBorder="1" applyAlignment="1" applyProtection="1">
      <alignment horizontal="center" vertical="center"/>
      <protection locked="0"/>
    </xf>
    <xf numFmtId="0" fontId="39" fillId="0" borderId="2" xfId="0" applyFont="1" applyBorder="1" applyAlignment="1" applyProtection="1">
      <alignment horizontal="right" vertical="center"/>
      <protection locked="0"/>
    </xf>
    <xf numFmtId="2" fontId="39" fillId="0" borderId="13" xfId="17" applyNumberFormat="1" applyFont="1" applyFill="1" applyBorder="1" applyAlignment="1" applyProtection="1">
      <alignment horizontal="right" vertical="center"/>
      <protection/>
    </xf>
    <xf numFmtId="2" fontId="39" fillId="0" borderId="13" xfId="32" applyNumberFormat="1" applyFont="1" applyFill="1" applyBorder="1" applyAlignment="1" applyProtection="1">
      <alignment horizontal="right" vertical="center"/>
      <protection/>
    </xf>
    <xf numFmtId="2" fontId="39" fillId="0" borderId="2" xfId="0" applyNumberFormat="1" applyFont="1" applyFill="1" applyBorder="1" applyAlignment="1" applyProtection="1">
      <alignment horizontal="right" vertical="center"/>
      <protection/>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3" fontId="39" fillId="0" borderId="2" xfId="32" applyNumberFormat="1" applyFont="1" applyFill="1" applyBorder="1" applyAlignment="1" applyProtection="1">
      <alignment vertical="center"/>
      <protection/>
    </xf>
    <xf numFmtId="2" fontId="39" fillId="0" borderId="13" xfId="0" applyNumberFormat="1" applyFont="1" applyFill="1" applyBorder="1" applyAlignment="1">
      <alignment horizontal="right" vertical="center"/>
    </xf>
    <xf numFmtId="0" fontId="39" fillId="0" borderId="11" xfId="0" applyFont="1" applyFill="1" applyBorder="1" applyAlignment="1" applyProtection="1">
      <alignment horizontal="left" vertical="center"/>
      <protection/>
    </xf>
    <xf numFmtId="43" fontId="46" fillId="2" borderId="20" xfId="15" applyFont="1" applyFill="1" applyBorder="1" applyAlignment="1" applyProtection="1">
      <alignment horizontal="center"/>
      <protection/>
    </xf>
    <xf numFmtId="190" fontId="46" fillId="2" borderId="20" xfId="0" applyNumberFormat="1" applyFont="1" applyFill="1" applyBorder="1" applyAlignment="1" applyProtection="1">
      <alignment horizontal="center"/>
      <protection/>
    </xf>
    <xf numFmtId="0" fontId="46" fillId="2" borderId="20" xfId="0" applyFont="1" applyFill="1" applyBorder="1" applyAlignment="1" applyProtection="1">
      <alignment horizontal="center"/>
      <protection/>
    </xf>
    <xf numFmtId="0" fontId="58" fillId="2" borderId="20" xfId="0" applyFont="1" applyFill="1" applyBorder="1" applyAlignment="1" applyProtection="1">
      <alignment horizontal="center" vertical="center" wrapText="1"/>
      <protection/>
    </xf>
    <xf numFmtId="3" fontId="46" fillId="2" borderId="20" xfId="0" applyNumberFormat="1" applyFont="1" applyFill="1" applyBorder="1" applyAlignment="1" applyProtection="1">
      <alignment horizontal="center" vertical="center" wrapText="1"/>
      <protection/>
    </xf>
    <xf numFmtId="2" fontId="46" fillId="2" borderId="20" xfId="0" applyNumberFormat="1" applyFont="1" applyFill="1" applyBorder="1" applyAlignment="1" applyProtection="1">
      <alignment horizontal="center" vertical="center" wrapText="1"/>
      <protection/>
    </xf>
    <xf numFmtId="0" fontId="46" fillId="2" borderId="20" xfId="0" applyFont="1" applyFill="1" applyBorder="1" applyAlignment="1" applyProtection="1">
      <alignment horizontal="center" vertical="center" wrapText="1"/>
      <protection/>
    </xf>
    <xf numFmtId="3" fontId="56" fillId="0" borderId="2" xfId="28" applyNumberFormat="1" applyFont="1" applyFill="1" applyBorder="1" applyAlignment="1">
      <alignment horizontal="right" vertical="center"/>
      <protection/>
    </xf>
    <xf numFmtId="4" fontId="56" fillId="0" borderId="2" xfId="28" applyNumberFormat="1" applyFont="1" applyFill="1" applyBorder="1" applyAlignment="1" applyProtection="1">
      <alignment horizontal="right" vertical="center"/>
      <protection locked="0"/>
    </xf>
    <xf numFmtId="3" fontId="56" fillId="0" borderId="2" xfId="28" applyNumberFormat="1" applyFont="1" applyFill="1" applyBorder="1" applyAlignment="1" applyProtection="1">
      <alignment horizontal="right" vertical="center"/>
      <protection locked="0"/>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4" fontId="56" fillId="0" borderId="2" xfId="28" applyNumberFormat="1" applyFont="1" applyFill="1" applyBorder="1" applyAlignment="1">
      <alignment horizontal="right" vertical="center"/>
      <protection/>
    </xf>
    <xf numFmtId="2" fontId="39" fillId="0" borderId="13" xfId="32" applyNumberFormat="1" applyFont="1" applyFill="1" applyBorder="1" applyAlignment="1" applyProtection="1">
      <alignment vertical="center"/>
      <protection/>
    </xf>
    <xf numFmtId="2" fontId="39" fillId="0" borderId="13" xfId="17" applyNumberFormat="1" applyFont="1" applyFill="1" applyBorder="1" applyAlignment="1" applyProtection="1">
      <alignment vertical="center"/>
      <protection/>
    </xf>
    <xf numFmtId="2" fontId="39" fillId="0" borderId="13" xfId="0" applyNumberFormat="1" applyFont="1" applyFill="1" applyBorder="1" applyAlignment="1">
      <alignment vertical="center"/>
    </xf>
    <xf numFmtId="3" fontId="39" fillId="2" borderId="0" xfId="0" applyNumberFormat="1"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9" fillId="2" borderId="3" xfId="0" applyNumberFormat="1" applyFont="1" applyFill="1" applyBorder="1" applyAlignment="1" applyProtection="1">
      <alignment horizontal="center" vertic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39" fillId="2" borderId="0" xfId="0" applyNumberFormat="1" applyFont="1" applyFill="1" applyBorder="1" applyAlignment="1" applyProtection="1">
      <alignment horizontal="center"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9" fillId="2" borderId="3" xfId="0" applyNumberFormat="1" applyFont="1" applyFill="1" applyBorder="1" applyAlignment="1" applyProtection="1">
      <alignment horizontal="center" vertical="center"/>
      <protection/>
    </xf>
    <xf numFmtId="4" fontId="36" fillId="2" borderId="0" xfId="0" applyNumberFormat="1" applyFont="1" applyFill="1" applyBorder="1" applyAlignment="1" applyProtection="1">
      <alignment horizontal="left" vertic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4" fontId="39" fillId="0" borderId="2" xfId="0" applyNumberFormat="1" applyFont="1" applyFill="1" applyBorder="1" applyAlignment="1">
      <alignment horizontal="right" wrapText="1"/>
    </xf>
    <xf numFmtId="4" fontId="39" fillId="0" borderId="2" xfId="32" applyNumberFormat="1" applyFont="1" applyFill="1" applyBorder="1" applyAlignment="1" applyProtection="1">
      <alignment vertical="center"/>
      <protection/>
    </xf>
    <xf numFmtId="4" fontId="39" fillId="0" borderId="2" xfId="32" applyNumberFormat="1" applyFont="1" applyFill="1" applyBorder="1" applyAlignment="1" applyProtection="1">
      <alignment vertical="center"/>
      <protection/>
    </xf>
    <xf numFmtId="4" fontId="39" fillId="0" borderId="13" xfId="0" applyNumberFormat="1" applyFont="1" applyFill="1" applyBorder="1" applyAlignment="1" applyProtection="1">
      <alignment vertical="center"/>
      <protection/>
    </xf>
    <xf numFmtId="3" fontId="39" fillId="0" borderId="2" xfId="17" applyNumberFormat="1" applyFont="1" applyFill="1" applyBorder="1" applyAlignment="1" applyProtection="1">
      <alignment vertical="center"/>
      <protection locked="0"/>
    </xf>
    <xf numFmtId="192" fontId="39" fillId="2" borderId="0" xfId="0" applyNumberFormat="1" applyFont="1" applyFill="1" applyBorder="1" applyAlignment="1" applyProtection="1">
      <alignment horizontal="center" vertical="center"/>
      <protection/>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9" fillId="2" borderId="0" xfId="0" applyNumberFormat="1" applyFont="1" applyFill="1" applyBorder="1" applyAlignment="1" applyProtection="1">
      <alignment horizontal="center" vertical="center"/>
      <protection/>
    </xf>
    <xf numFmtId="192" fontId="49" fillId="2" borderId="3" xfId="0" applyNumberFormat="1" applyFont="1" applyFill="1" applyBorder="1" applyAlignment="1" applyProtection="1">
      <alignment horizontal="center" vertical="center"/>
      <protection/>
    </xf>
    <xf numFmtId="192" fontId="39" fillId="0" borderId="2" xfId="32" applyNumberFormat="1" applyFont="1" applyFill="1" applyBorder="1" applyAlignment="1" applyProtection="1">
      <alignmen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4" fontId="39" fillId="0" borderId="13" xfId="32" applyNumberFormat="1" applyFont="1" applyFill="1" applyBorder="1" applyAlignment="1" applyProtection="1">
      <alignment vertical="center"/>
      <protection/>
    </xf>
    <xf numFmtId="3" fontId="56" fillId="0" borderId="2" xfId="0" applyNumberFormat="1" applyFont="1" applyFill="1" applyBorder="1" applyAlignment="1">
      <alignment vertical="center"/>
    </xf>
    <xf numFmtId="4" fontId="56" fillId="0" borderId="2" xfId="17" applyNumberFormat="1" applyFont="1" applyFill="1" applyBorder="1" applyAlignment="1" applyProtection="1">
      <alignment vertical="center"/>
      <protection locked="0"/>
    </xf>
    <xf numFmtId="3" fontId="56" fillId="0" borderId="2" xfId="17"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0" fontId="39" fillId="0" borderId="2" xfId="0" applyNumberFormat="1" applyFont="1" applyFill="1" applyBorder="1" applyAlignment="1" applyProtection="1">
      <alignment horizontal="right" vertical="center"/>
      <protection/>
    </xf>
    <xf numFmtId="4" fontId="56" fillId="0" borderId="2" xfId="0" applyNumberFormat="1" applyFont="1" applyFill="1" applyBorder="1" applyAlignment="1" applyProtection="1">
      <alignment vertical="center"/>
      <protection/>
    </xf>
    <xf numFmtId="2" fontId="39" fillId="0" borderId="13" xfId="0" applyNumberFormat="1" applyFont="1" applyFill="1" applyBorder="1" applyAlignment="1">
      <alignment horizontal="right" vertical="center"/>
    </xf>
    <xf numFmtId="0" fontId="85" fillId="6" borderId="2" xfId="0" applyFont="1" applyFill="1" applyBorder="1" applyAlignment="1">
      <alignment horizontal="right" vertical="center" shrinkToFit="1"/>
    </xf>
    <xf numFmtId="0" fontId="48" fillId="3" borderId="21" xfId="0" applyFont="1" applyFill="1" applyBorder="1" applyAlignment="1" applyProtection="1">
      <alignment vertical="center"/>
      <protection/>
    </xf>
    <xf numFmtId="4" fontId="56" fillId="7" borderId="2" xfId="18"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xf>
    <xf numFmtId="3" fontId="56" fillId="0" borderId="2" xfId="0" applyNumberFormat="1" applyFont="1" applyFill="1" applyBorder="1" applyAlignment="1">
      <alignment horizontal="right"/>
    </xf>
    <xf numFmtId="0" fontId="85" fillId="0" borderId="2" xfId="0"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xf>
    <xf numFmtId="1" fontId="45" fillId="3" borderId="22" xfId="0" applyNumberFormat="1" applyFont="1" applyFill="1" applyBorder="1" applyAlignment="1" applyProtection="1">
      <alignment horizontal="center" vertical="center" wrapText="1"/>
      <protection/>
    </xf>
    <xf numFmtId="0" fontId="45" fillId="3" borderId="23" xfId="0" applyFont="1" applyFill="1" applyBorder="1" applyAlignment="1" applyProtection="1">
      <alignment horizontal="center" vertical="center" wrapText="1"/>
      <protection/>
    </xf>
    <xf numFmtId="1" fontId="44" fillId="3" borderId="24" xfId="0" applyNumberFormat="1"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protection/>
    </xf>
    <xf numFmtId="190" fontId="44" fillId="3" borderId="1" xfId="0" applyNumberFormat="1" applyFont="1" applyFill="1" applyBorder="1" applyAlignment="1" applyProtection="1">
      <alignment horizontal="center"/>
      <protection/>
    </xf>
    <xf numFmtId="4" fontId="44" fillId="3" borderId="1" xfId="0" applyNumberFormat="1" applyFont="1" applyFill="1" applyBorder="1" applyAlignment="1" applyProtection="1">
      <alignment horizontal="center" vertical="center" wrapText="1"/>
      <protection/>
    </xf>
    <xf numFmtId="0" fontId="44" fillId="3" borderId="25" xfId="0" applyFont="1" applyFill="1" applyBorder="1" applyAlignment="1" applyProtection="1">
      <alignment horizontal="center" vertical="center" wrapText="1"/>
      <protection/>
    </xf>
    <xf numFmtId="1" fontId="44" fillId="3" borderId="26" xfId="0" applyNumberFormat="1" applyFont="1" applyFill="1" applyBorder="1" applyAlignment="1" applyProtection="1">
      <alignment horizontal="center" vertical="center" wrapText="1"/>
      <protection/>
    </xf>
    <xf numFmtId="0" fontId="44" fillId="3" borderId="5" xfId="0" applyFont="1" applyFill="1" applyBorder="1" applyAlignment="1" applyProtection="1">
      <alignment horizontal="center" vertical="center" wrapText="1"/>
      <protection/>
    </xf>
    <xf numFmtId="43" fontId="44" fillId="3" borderId="5" xfId="15" applyFont="1" applyFill="1" applyBorder="1" applyAlignment="1" applyProtection="1">
      <alignment horizontal="center"/>
      <protection/>
    </xf>
    <xf numFmtId="190" fontId="44" fillId="3" borderId="5" xfId="0" applyNumberFormat="1" applyFont="1" applyFill="1" applyBorder="1" applyAlignment="1" applyProtection="1">
      <alignment horizontal="center"/>
      <protection/>
    </xf>
    <xf numFmtId="0" fontId="44" fillId="3" borderId="5" xfId="0" applyFont="1" applyFill="1" applyBorder="1" applyAlignment="1" applyProtection="1">
      <alignment horizontal="center"/>
      <protection/>
    </xf>
    <xf numFmtId="4" fontId="44" fillId="3" borderId="5" xfId="0" applyNumberFormat="1" applyFont="1" applyFill="1" applyBorder="1" applyAlignment="1" applyProtection="1">
      <alignment horizontal="center" vertical="center" wrapText="1"/>
      <protection/>
    </xf>
    <xf numFmtId="3" fontId="44" fillId="3" borderId="5" xfId="0" applyNumberFormat="1" applyFont="1" applyFill="1" applyBorder="1" applyAlignment="1" applyProtection="1">
      <alignment horizontal="center" vertical="center" wrapText="1"/>
      <protection/>
    </xf>
    <xf numFmtId="192" fontId="44" fillId="3" borderId="5" xfId="0" applyNumberFormat="1" applyFont="1" applyFill="1" applyBorder="1" applyAlignment="1" applyProtection="1">
      <alignment horizontal="center" vertical="center" wrapText="1"/>
      <protection/>
    </xf>
    <xf numFmtId="4" fontId="57" fillId="3" borderId="5" xfId="0" applyNumberFormat="1" applyFont="1" applyFill="1" applyBorder="1" applyAlignment="1" applyProtection="1">
      <alignment horizontal="center" vertical="center" wrapText="1"/>
      <protection/>
    </xf>
    <xf numFmtId="3" fontId="57" fillId="3" borderId="5" xfId="0" applyNumberFormat="1" applyFont="1" applyFill="1" applyBorder="1" applyAlignment="1" applyProtection="1">
      <alignment horizontal="center" vertical="center" wrapText="1"/>
      <protection/>
    </xf>
    <xf numFmtId="0" fontId="44" fillId="3" borderId="27" xfId="0" applyFont="1" applyFill="1" applyBorder="1" applyAlignment="1" applyProtection="1">
      <alignment horizontal="center" vertical="center" wrapText="1"/>
      <protection/>
    </xf>
    <xf numFmtId="0" fontId="46" fillId="3" borderId="24" xfId="0" applyFont="1" applyFill="1" applyBorder="1" applyAlignment="1" applyProtection="1">
      <alignment horizontal="center"/>
      <protection/>
    </xf>
    <xf numFmtId="0" fontId="46" fillId="3" borderId="1" xfId="0" applyFont="1" applyFill="1" applyBorder="1" applyAlignment="1" applyProtection="1">
      <alignment horizontal="center"/>
      <protection/>
    </xf>
    <xf numFmtId="190" fontId="46"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protection/>
    </xf>
    <xf numFmtId="3" fontId="46" fillId="3" borderId="1" xfId="0" applyNumberFormat="1" applyFont="1" applyFill="1" applyBorder="1" applyAlignment="1" applyProtection="1">
      <alignment horizontal="center"/>
      <protection/>
    </xf>
    <xf numFmtId="4" fontId="58" fillId="3" borderId="1" xfId="0" applyNumberFormat="1" applyFont="1" applyFill="1" applyBorder="1" applyAlignment="1" applyProtection="1">
      <alignment horizontal="center"/>
      <protection/>
    </xf>
    <xf numFmtId="3" fontId="58"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vertical="center" wrapText="1"/>
      <protection/>
    </xf>
    <xf numFmtId="0" fontId="46" fillId="3" borderId="25" xfId="0" applyFont="1" applyFill="1" applyBorder="1" applyAlignment="1" applyProtection="1">
      <alignment horizontal="center" vertical="center" wrapText="1"/>
      <protection/>
    </xf>
    <xf numFmtId="0" fontId="46" fillId="3" borderId="26" xfId="0" applyFont="1" applyFill="1" applyBorder="1" applyAlignment="1" applyProtection="1">
      <alignment horizontal="center"/>
      <protection/>
    </xf>
    <xf numFmtId="0" fontId="46" fillId="3" borderId="27" xfId="0" applyFont="1" applyFill="1" applyBorder="1" applyAlignment="1" applyProtection="1">
      <alignment horizontal="center"/>
      <protection/>
    </xf>
    <xf numFmtId="4" fontId="39" fillId="0" borderId="2" xfId="22" applyNumberFormat="1" applyFont="1" applyFill="1" applyBorder="1" applyAlignment="1" applyProtection="1">
      <alignment horizontal="right" vertical="center" wrapText="1"/>
      <protection/>
    </xf>
    <xf numFmtId="3" fontId="39" fillId="0" borderId="2" xfId="22" applyNumberFormat="1" applyFont="1" applyFill="1" applyBorder="1" applyAlignment="1" applyProtection="1">
      <alignment horizontal="right" vertical="center" wrapText="1"/>
      <protection/>
    </xf>
    <xf numFmtId="190" fontId="39" fillId="0" borderId="2" xfId="0" applyNumberFormat="1" applyFont="1" applyFill="1" applyBorder="1" applyAlignment="1" applyProtection="1">
      <alignment horizontal="left" vertical="center"/>
      <protection/>
    </xf>
    <xf numFmtId="4" fontId="56" fillId="7" borderId="2" xfId="17"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4" fontId="56" fillId="7" borderId="2" xfId="22" applyNumberFormat="1" applyFont="1" applyFill="1" applyBorder="1" applyAlignment="1" applyProtection="1">
      <alignment horizontal="right" vertical="center" wrapText="1"/>
      <protection/>
    </xf>
    <xf numFmtId="3" fontId="56" fillId="7" borderId="2" xfId="22" applyNumberFormat="1" applyFont="1" applyFill="1" applyBorder="1" applyAlignment="1" applyProtection="1">
      <alignment horizontal="right" vertical="center" wrapText="1"/>
      <protection/>
    </xf>
    <xf numFmtId="3" fontId="56" fillId="0" borderId="2" xfId="0" applyNumberFormat="1" applyFont="1" applyFill="1" applyBorder="1" applyAlignment="1" applyProtection="1">
      <alignment vertical="center"/>
      <protection/>
    </xf>
    <xf numFmtId="0" fontId="85" fillId="0" borderId="2" xfId="0" applyFont="1" applyBorder="1" applyAlignment="1" applyProtection="1">
      <alignment horizontal="right" vertical="center"/>
      <protection locked="0"/>
    </xf>
    <xf numFmtId="0" fontId="39" fillId="0" borderId="11" xfId="0" applyFont="1" applyFill="1" applyBorder="1" applyAlignment="1" applyProtection="1">
      <alignment vertical="center" shrinkToFit="1"/>
      <protection locked="0"/>
    </xf>
    <xf numFmtId="3" fontId="39" fillId="0" borderId="2" xfId="18" applyNumberFormat="1" applyFont="1" applyFill="1" applyBorder="1" applyAlignment="1" applyProtection="1">
      <alignment horizontal="right" vertical="center" shrinkToFit="1"/>
      <protection locked="0"/>
    </xf>
    <xf numFmtId="3" fontId="39" fillId="0" borderId="2" xfId="0" applyNumberFormat="1" applyFont="1" applyFill="1" applyBorder="1" applyAlignment="1">
      <alignment horizontal="right"/>
    </xf>
    <xf numFmtId="3" fontId="39" fillId="0" borderId="2" xfId="18" applyNumberFormat="1" applyFont="1" applyFill="1" applyBorder="1" applyAlignment="1" applyProtection="1">
      <alignment vertical="center"/>
      <protection/>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0" fontId="39" fillId="0" borderId="2" xfId="0" applyFont="1" applyFill="1" applyBorder="1" applyAlignment="1">
      <alignment horizontal="left" vertical="center" shrinkToFit="1"/>
    </xf>
    <xf numFmtId="190" fontId="39" fillId="0" borderId="2" xfId="28" applyNumberFormat="1" applyFont="1" applyFill="1" applyBorder="1" applyAlignment="1">
      <alignment horizontal="center" vertical="center"/>
      <protection/>
    </xf>
    <xf numFmtId="0" fontId="39" fillId="0" borderId="2" xfId="28" applyFont="1" applyFill="1" applyBorder="1" applyAlignment="1">
      <alignment horizontal="left" vertical="center"/>
      <protection/>
    </xf>
    <xf numFmtId="0" fontId="39" fillId="0" borderId="2" xfId="28" applyFont="1" applyFill="1" applyBorder="1" applyAlignment="1">
      <alignment horizontal="right" vertical="center"/>
      <protection/>
    </xf>
    <xf numFmtId="0" fontId="39" fillId="6" borderId="11" xfId="0" applyFont="1" applyFill="1" applyBorder="1" applyAlignment="1">
      <alignment horizontal="left" vertical="center"/>
    </xf>
    <xf numFmtId="0" fontId="39" fillId="0" borderId="11" xfId="0" applyNumberFormat="1" applyFont="1" applyFill="1" applyBorder="1" applyAlignment="1">
      <alignment horizontal="left" vertical="center"/>
    </xf>
    <xf numFmtId="190" fontId="39" fillId="0" borderId="2" xfId="0" applyNumberFormat="1" applyFont="1" applyFill="1" applyBorder="1" applyAlignment="1">
      <alignment horizontal="center" vertical="center"/>
    </xf>
    <xf numFmtId="0"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vertical="center"/>
    </xf>
    <xf numFmtId="0" fontId="39" fillId="0" borderId="2" xfId="0" applyFont="1" applyFill="1" applyBorder="1" applyAlignment="1">
      <alignment horizontal="left" vertical="center"/>
    </xf>
    <xf numFmtId="0" fontId="39" fillId="0" borderId="11" xfId="0" applyFont="1" applyFill="1" applyBorder="1" applyAlignment="1">
      <alignment horizontal="left"/>
    </xf>
    <xf numFmtId="190" fontId="39" fillId="0" borderId="2" xfId="0" applyNumberFormat="1" applyFont="1" applyFill="1" applyBorder="1" applyAlignment="1">
      <alignment horizontal="center"/>
    </xf>
    <xf numFmtId="2" fontId="39" fillId="0" borderId="2" xfId="0" applyNumberFormat="1" applyFont="1" applyFill="1" applyBorder="1" applyAlignment="1" applyProtection="1">
      <alignment horizontal="right" vertical="center"/>
      <protection/>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0" fontId="39" fillId="0" borderId="11" xfId="25" applyNumberFormat="1" applyFont="1" applyFill="1" applyBorder="1" applyAlignment="1">
      <alignment horizontal="left" vertical="center"/>
      <protection/>
    </xf>
    <xf numFmtId="190" fontId="39" fillId="0" borderId="2" xfId="25" applyNumberFormat="1" applyFont="1" applyFill="1" applyBorder="1" applyAlignment="1">
      <alignment horizontal="center" vertical="center"/>
      <protection/>
    </xf>
    <xf numFmtId="0" fontId="39" fillId="0" borderId="2" xfId="25" applyNumberFormat="1" applyFont="1" applyFill="1" applyBorder="1" applyAlignment="1">
      <alignment horizontal="right" vertical="center"/>
      <protection/>
    </xf>
    <xf numFmtId="0" fontId="39" fillId="0" borderId="11" xfId="25" applyFont="1" applyFill="1" applyBorder="1" applyAlignment="1">
      <alignment horizontal="left" vertical="center" shrinkToFit="1"/>
      <protection/>
    </xf>
    <xf numFmtId="190" fontId="39" fillId="0" borderId="2" xfId="25" applyNumberFormat="1" applyFont="1" applyFill="1" applyBorder="1" applyAlignment="1">
      <alignment horizontal="center" vertical="center" shrinkToFit="1"/>
      <protection/>
    </xf>
    <xf numFmtId="0" fontId="39" fillId="0" borderId="2" xfId="25" applyFont="1" applyFill="1" applyBorder="1" applyAlignment="1">
      <alignment horizontal="right" vertical="center" shrinkToFit="1"/>
      <protection/>
    </xf>
    <xf numFmtId="0" fontId="39" fillId="0" borderId="11" xfId="25" applyFont="1" applyFill="1" applyBorder="1" applyAlignment="1">
      <alignment horizontal="left" vertical="center"/>
      <protection/>
    </xf>
    <xf numFmtId="0" fontId="39" fillId="0" borderId="2" xfId="25" applyFont="1" applyFill="1" applyBorder="1" applyAlignment="1">
      <alignment horizontal="right" vertical="center"/>
      <protection/>
    </xf>
    <xf numFmtId="0" fontId="39" fillId="0" borderId="11" xfId="25" applyFont="1" applyFill="1" applyBorder="1" applyAlignment="1">
      <alignment vertical="center"/>
      <protection/>
    </xf>
    <xf numFmtId="0" fontId="39" fillId="0" borderId="11" xfId="27" applyFont="1" applyFill="1" applyBorder="1" applyAlignment="1" applyProtection="1">
      <alignment horizontal="left" vertical="center"/>
      <protection locked="0"/>
    </xf>
    <xf numFmtId="0" fontId="39" fillId="0" borderId="2" xfId="27" applyFont="1" applyFill="1" applyBorder="1" applyAlignment="1" applyProtection="1">
      <alignment horizontal="left" vertical="center"/>
      <protection locked="0"/>
    </xf>
    <xf numFmtId="0" fontId="39" fillId="0" borderId="2" xfId="27" applyFont="1" applyFill="1" applyBorder="1" applyAlignment="1" applyProtection="1">
      <alignment horizontal="right" vertical="center"/>
      <protection locked="0"/>
    </xf>
    <xf numFmtId="2" fontId="39" fillId="0" borderId="13" xfId="15" applyNumberFormat="1" applyFont="1" applyFill="1" applyBorder="1" applyAlignment="1" applyProtection="1">
      <alignment horizontal="right" vertical="center"/>
      <protection/>
    </xf>
    <xf numFmtId="204" fontId="39" fillId="6" borderId="11" xfId="0" applyNumberFormat="1" applyFont="1" applyFill="1" applyBorder="1" applyAlignment="1">
      <alignment horizontal="left" vertical="center" shrinkToFit="1"/>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left" vertical="center" shrinkToFit="1"/>
    </xf>
    <xf numFmtId="0" fontId="39" fillId="6" borderId="2" xfId="0" applyFont="1" applyFill="1" applyBorder="1" applyAlignment="1">
      <alignment horizontal="right" vertical="center" shrinkToFit="1"/>
    </xf>
    <xf numFmtId="0" fontId="39" fillId="0" borderId="2" xfId="25" applyFont="1" applyFill="1" applyBorder="1" applyAlignment="1">
      <alignment horizontal="left" vertical="center"/>
      <protection/>
    </xf>
    <xf numFmtId="4" fontId="39" fillId="0" borderId="13" xfId="0" applyNumberFormat="1" applyFont="1" applyFill="1" applyBorder="1" applyAlignment="1" applyProtection="1">
      <alignment vertical="center"/>
      <protection/>
    </xf>
    <xf numFmtId="0" fontId="39" fillId="0" borderId="11" xfId="0" applyNumberFormat="1" applyFont="1" applyFill="1" applyBorder="1" applyAlignment="1" applyProtection="1">
      <alignment horizontal="left" vertical="center"/>
      <protection/>
    </xf>
    <xf numFmtId="3" fontId="39" fillId="0" borderId="2" xfId="15" applyNumberFormat="1" applyFont="1" applyFill="1" applyBorder="1" applyAlignment="1" applyProtection="1">
      <alignment vertical="center"/>
      <protection locked="0"/>
    </xf>
    <xf numFmtId="0" fontId="39" fillId="0" borderId="11"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190" fontId="39" fillId="0" borderId="2" xfId="22" applyNumberFormat="1" applyFont="1" applyFill="1" applyBorder="1" applyAlignment="1">
      <alignment horizontal="center" vertical="center"/>
      <protection/>
    </xf>
    <xf numFmtId="0" fontId="39" fillId="0" borderId="2" xfId="22" applyFont="1" applyFill="1" applyBorder="1" applyAlignment="1">
      <alignment horizontal="right" vertical="center"/>
      <protection/>
    </xf>
    <xf numFmtId="0" fontId="39" fillId="0" borderId="11" xfId="22" applyNumberFormat="1" applyFont="1" applyFill="1" applyBorder="1" applyAlignment="1">
      <alignment horizontal="left" vertical="center"/>
      <protection/>
    </xf>
    <xf numFmtId="0" fontId="39" fillId="0" borderId="2" xfId="22" applyNumberFormat="1" applyFont="1" applyFill="1" applyBorder="1" applyAlignment="1">
      <alignment horizontal="right" vertical="center"/>
      <protection/>
    </xf>
    <xf numFmtId="0" fontId="39" fillId="0" borderId="2" xfId="22" applyNumberFormat="1" applyFont="1" applyFill="1" applyBorder="1" applyAlignment="1">
      <alignment horizontal="left" vertical="center"/>
      <protection/>
    </xf>
    <xf numFmtId="2" fontId="39" fillId="0" borderId="2" xfId="22" applyNumberFormat="1" applyFont="1" applyFill="1" applyBorder="1" applyAlignment="1" applyProtection="1">
      <alignment horizontal="right" vertical="center"/>
      <protection/>
    </xf>
    <xf numFmtId="2" fontId="39" fillId="0" borderId="13" xfId="22" applyNumberFormat="1" applyFont="1" applyFill="1" applyBorder="1" applyAlignment="1" applyProtection="1">
      <alignment horizontal="right" vertical="center"/>
      <protection/>
    </xf>
    <xf numFmtId="0" fontId="39" fillId="0" borderId="11" xfId="22" applyFont="1" applyBorder="1" applyAlignment="1">
      <alignment horizontal="left"/>
      <protection/>
    </xf>
    <xf numFmtId="190" fontId="39" fillId="0" borderId="2" xfId="22" applyNumberFormat="1" applyFont="1" applyBorder="1" applyAlignment="1">
      <alignment horizontal="center"/>
      <protection/>
    </xf>
    <xf numFmtId="0" fontId="39" fillId="0" borderId="2" xfId="22" applyFont="1" applyBorder="1" applyAlignment="1">
      <alignment horizontal="right"/>
      <protection/>
    </xf>
    <xf numFmtId="0" fontId="85" fillId="0" borderId="2" xfId="0" applyFont="1" applyBorder="1" applyAlignment="1">
      <alignment horizontal="right"/>
    </xf>
    <xf numFmtId="0" fontId="39" fillId="0" borderId="11" xfId="22" applyFont="1" applyFill="1" applyBorder="1" applyAlignment="1">
      <alignment vertical="center"/>
      <protection/>
    </xf>
    <xf numFmtId="0" fontId="39" fillId="0" borderId="2" xfId="22" applyFont="1" applyFill="1" applyBorder="1" applyAlignment="1">
      <alignment horizontal="left" vertical="center"/>
      <protection/>
    </xf>
    <xf numFmtId="3" fontId="39" fillId="0" borderId="2" xfId="0" applyNumberFormat="1" applyFont="1" applyFill="1" applyBorder="1" applyAlignment="1">
      <alignment vertical="center"/>
    </xf>
    <xf numFmtId="2" fontId="39" fillId="0" borderId="2" xfId="0" applyNumberFormat="1" applyFont="1" applyFill="1" applyBorder="1" applyAlignment="1">
      <alignment horizontal="right"/>
    </xf>
    <xf numFmtId="0" fontId="39" fillId="0" borderId="11" xfId="23" applyFont="1" applyFill="1" applyBorder="1" applyAlignment="1">
      <alignment horizontal="left" vertical="center" shrinkToFit="1"/>
      <protection/>
    </xf>
    <xf numFmtId="190" fontId="39" fillId="0" borderId="2" xfId="23" applyNumberFormat="1" applyFont="1" applyFill="1" applyBorder="1" applyAlignment="1">
      <alignment horizontal="center" vertical="center"/>
      <protection/>
    </xf>
    <xf numFmtId="0" fontId="39" fillId="0" borderId="2" xfId="23" applyFont="1" applyFill="1" applyBorder="1" applyAlignment="1">
      <alignment horizontal="right" vertical="center"/>
      <protection/>
    </xf>
    <xf numFmtId="0" fontId="39" fillId="0" borderId="11" xfId="23" applyFont="1" applyFill="1" applyBorder="1" applyAlignment="1">
      <alignment horizontal="left" vertical="center"/>
      <protection/>
    </xf>
    <xf numFmtId="0" fontId="39" fillId="6" borderId="2" xfId="0" applyFont="1" applyFill="1" applyBorder="1" applyAlignment="1">
      <alignment horizontal="left" vertical="center"/>
    </xf>
    <xf numFmtId="4" fontId="56" fillId="7" borderId="2" xfId="18" applyNumberFormat="1" applyFont="1" applyFill="1" applyBorder="1" applyAlignment="1" applyProtection="1">
      <alignment horizontal="right" vertical="center"/>
      <protection/>
    </xf>
    <xf numFmtId="3" fontId="56" fillId="7" borderId="2" xfId="18" applyNumberFormat="1" applyFont="1" applyFill="1" applyBorder="1" applyAlignment="1" applyProtection="1">
      <alignment horizontal="right" vertical="center"/>
      <protection/>
    </xf>
    <xf numFmtId="0" fontId="39" fillId="0" borderId="11" xfId="28" applyFont="1" applyFill="1" applyBorder="1" applyAlignment="1">
      <alignment horizontal="left" vertical="center"/>
      <protection/>
    </xf>
    <xf numFmtId="204" fontId="39" fillId="0" borderId="11" xfId="0" applyNumberFormat="1" applyFont="1" applyFill="1" applyBorder="1" applyAlignment="1" applyProtection="1">
      <alignment horizontal="left" vertical="center"/>
      <protection/>
    </xf>
    <xf numFmtId="0" fontId="39" fillId="0" borderId="11" xfId="0" applyFont="1" applyFill="1" applyBorder="1" applyAlignment="1" applyProtection="1">
      <alignment vertical="center"/>
      <protection locked="0"/>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left" vertical="center"/>
      <protection locked="0"/>
    </xf>
    <xf numFmtId="3" fontId="39" fillId="0" borderId="2" xfId="17" applyNumberFormat="1" applyFont="1" applyFill="1" applyBorder="1" applyAlignment="1" applyProtection="1">
      <alignment horizontal="right" vertical="center"/>
      <protection/>
    </xf>
    <xf numFmtId="4" fontId="39" fillId="0" borderId="2" xfId="17" applyNumberFormat="1" applyFont="1" applyFill="1" applyBorder="1" applyAlignment="1" applyProtection="1">
      <alignment horizontal="right" vertical="center"/>
      <protection locked="0"/>
    </xf>
    <xf numFmtId="0" fontId="39" fillId="0" borderId="11" xfId="0" applyFont="1" applyFill="1" applyBorder="1" applyAlignment="1" applyProtection="1">
      <alignment horizontal="left" vertical="center"/>
      <protection/>
    </xf>
    <xf numFmtId="204" fontId="39" fillId="0" borderId="11" xfId="0" applyNumberFormat="1" applyFont="1" applyFill="1" applyBorder="1" applyAlignment="1">
      <alignment horizontal="left" vertical="center" shrinkToFit="1"/>
    </xf>
    <xf numFmtId="0" fontId="39" fillId="0" borderId="2" xfId="0" applyFont="1" applyFill="1" applyBorder="1" applyAlignment="1" applyProtection="1">
      <alignment horizontal="left" vertical="center"/>
      <protection/>
    </xf>
    <xf numFmtId="0" fontId="39" fillId="0" borderId="11" xfId="0" applyNumberFormat="1"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49" fontId="39" fillId="0" borderId="2"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horizontal="left" vertical="center"/>
      <protection/>
    </xf>
    <xf numFmtId="190" fontId="39" fillId="0" borderId="2" xfId="0" applyNumberFormat="1" applyFont="1" applyFill="1" applyBorder="1" applyAlignment="1" applyProtection="1">
      <alignment horizontal="center" vertical="center"/>
      <protection/>
    </xf>
    <xf numFmtId="49" fontId="39" fillId="0" borderId="2" xfId="0" applyNumberFormat="1" applyFont="1" applyFill="1" applyBorder="1" applyAlignment="1" applyProtection="1">
      <alignment horizontal="left" vertical="center"/>
      <protection/>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locked="0"/>
    </xf>
    <xf numFmtId="0" fontId="39" fillId="0" borderId="11" xfId="0" applyFont="1" applyFill="1" applyBorder="1" applyAlignment="1" applyProtection="1">
      <alignment horizontal="left" vertical="center"/>
      <protection locked="0"/>
    </xf>
    <xf numFmtId="2" fontId="39" fillId="0" borderId="2" xfId="0" applyNumberFormat="1" applyFont="1" applyFill="1" applyBorder="1" applyAlignment="1">
      <alignment vertical="center"/>
    </xf>
    <xf numFmtId="193" fontId="39" fillId="0" borderId="2" xfId="17"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xf>
    <xf numFmtId="2" fontId="39" fillId="0" borderId="2" xfId="15" applyNumberFormat="1" applyFont="1" applyFill="1" applyBorder="1" applyAlignment="1" applyProtection="1">
      <alignment vertical="center"/>
      <protection/>
    </xf>
    <xf numFmtId="2" fontId="39" fillId="0" borderId="13" xfId="15" applyNumberFormat="1" applyFont="1" applyFill="1" applyBorder="1" applyAlignment="1" applyProtection="1">
      <alignment horizontal="right" vertical="center"/>
      <protection/>
    </xf>
    <xf numFmtId="2" fontId="39" fillId="0" borderId="13" xfId="18" applyNumberFormat="1" applyFont="1" applyFill="1" applyBorder="1" applyAlignment="1" applyProtection="1">
      <alignment horizontal="right" vertical="center" shrinkToFit="1"/>
      <protection/>
    </xf>
    <xf numFmtId="193"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vertical="center"/>
    </xf>
    <xf numFmtId="2" fontId="39" fillId="0" borderId="17" xfId="32" applyNumberFormat="1" applyFont="1" applyFill="1" applyBorder="1" applyAlignment="1" applyProtection="1">
      <alignment horizontal="right" vertical="center"/>
      <protection/>
    </xf>
    <xf numFmtId="0" fontId="39" fillId="0" borderId="2" xfId="0" applyFont="1" applyFill="1" applyBorder="1" applyAlignment="1">
      <alignment horizontal="left" vertical="center" shrinkToFit="1"/>
    </xf>
    <xf numFmtId="204" fontId="39" fillId="0" borderId="11" xfId="0" applyNumberFormat="1" applyFont="1" applyFill="1" applyBorder="1" applyAlignment="1">
      <alignment horizontal="left" vertical="center"/>
    </xf>
    <xf numFmtId="204" fontId="39" fillId="0" borderId="11" xfId="0" applyNumberFormat="1" applyFont="1" applyFill="1" applyBorder="1" applyAlignment="1">
      <alignment horizontal="left" vertical="center" shrinkToFit="1"/>
    </xf>
    <xf numFmtId="190" fontId="39" fillId="0" borderId="2" xfId="25" applyNumberFormat="1" applyFont="1" applyFill="1" applyBorder="1" applyAlignment="1">
      <alignment horizontal="center" vertical="center"/>
      <protection/>
    </xf>
    <xf numFmtId="4" fontId="56" fillId="7" borderId="2" xfId="15" applyNumberFormat="1" applyFont="1" applyFill="1" applyBorder="1" applyAlignment="1" applyProtection="1">
      <alignment horizontal="righ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wrapText="1"/>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3" fontId="56" fillId="7" borderId="2" xfId="18"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3" fontId="56" fillId="7" borderId="2" xfId="0" applyNumberFormat="1" applyFont="1" applyFill="1" applyBorder="1" applyAlignment="1">
      <alignment horizontal="right"/>
    </xf>
    <xf numFmtId="4" fontId="56" fillId="7" borderId="2" xfId="18"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horizontal="right" vertical="center" shrinkToFit="1"/>
      <protection locked="0"/>
    </xf>
    <xf numFmtId="4" fontId="56" fillId="7" borderId="2" xfId="18" applyNumberFormat="1" applyFont="1" applyFill="1" applyBorder="1" applyAlignment="1" applyProtection="1">
      <alignment horizontal="right" vertical="center" shrinkToFit="1"/>
      <protection locked="0"/>
    </xf>
    <xf numFmtId="4" fontId="56" fillId="0" borderId="2" xfId="22" applyNumberFormat="1" applyFont="1" applyFill="1" applyBorder="1" applyAlignment="1" applyProtection="1">
      <alignment horizontal="right" vertical="center"/>
      <protection/>
    </xf>
    <xf numFmtId="3" fontId="56" fillId="0" borderId="2" xfId="22" applyNumberFormat="1" applyFont="1" applyFill="1" applyBorder="1" applyAlignment="1" applyProtection="1">
      <alignment horizontal="right" vertical="center"/>
      <protection/>
    </xf>
    <xf numFmtId="4" fontId="56" fillId="7" borderId="2" xfId="18" applyNumberFormat="1" applyFont="1" applyFill="1" applyBorder="1" applyAlignment="1" applyProtection="1">
      <alignment vertical="center"/>
      <protection locked="0"/>
    </xf>
    <xf numFmtId="4"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horizontal="right" vertical="center" shrinkToFit="1"/>
      <protection locked="0"/>
    </xf>
    <xf numFmtId="4" fontId="56" fillId="7" borderId="2" xfId="17" applyNumberFormat="1" applyFont="1" applyFill="1" applyBorder="1" applyAlignment="1" applyProtection="1">
      <alignment vertical="center"/>
      <protection locked="0"/>
    </xf>
    <xf numFmtId="3" fontId="56" fillId="7" borderId="2" xfId="17" applyNumberFormat="1" applyFont="1" applyFill="1" applyBorder="1" applyAlignment="1" applyProtection="1">
      <alignment vertical="center"/>
      <protection locked="0"/>
    </xf>
    <xf numFmtId="4" fontId="56" fillId="7" borderId="2" xfId="15" applyNumberFormat="1" applyFont="1" applyFill="1" applyBorder="1" applyAlignment="1" applyProtection="1">
      <alignmen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4" fontId="56" fillId="7" borderId="2" xfId="22" applyNumberFormat="1" applyFont="1" applyFill="1" applyBorder="1" applyAlignment="1" applyProtection="1">
      <alignment horizontal="right" vertical="center"/>
      <protection/>
    </xf>
    <xf numFmtId="3" fontId="56" fillId="7" borderId="2" xfId="22" applyNumberFormat="1" applyFont="1" applyFill="1" applyBorder="1" applyAlignment="1" applyProtection="1">
      <alignment horizontal="right" vertical="center"/>
      <protection/>
    </xf>
    <xf numFmtId="4" fontId="56" fillId="7" borderId="2" xfId="19" applyNumberFormat="1" applyFont="1" applyFill="1" applyBorder="1" applyAlignment="1" applyProtection="1">
      <alignment vertical="center"/>
      <protection locked="0"/>
    </xf>
    <xf numFmtId="3" fontId="56" fillId="7" borderId="2" xfId="19" applyNumberFormat="1" applyFont="1" applyFill="1" applyBorder="1" applyAlignment="1" applyProtection="1">
      <alignment horizontal="right" vertical="center"/>
      <protection locked="0"/>
    </xf>
    <xf numFmtId="4" fontId="56" fillId="7" borderId="2" xfId="19"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vertical="center"/>
      <protection locked="0"/>
    </xf>
    <xf numFmtId="4" fontId="56" fillId="7" borderId="2" xfId="27" applyNumberFormat="1" applyFont="1" applyFill="1" applyBorder="1" applyAlignment="1">
      <alignment horizontal="right" vertical="center"/>
      <protection/>
    </xf>
    <xf numFmtId="3" fontId="56" fillId="7" borderId="2" xfId="27" applyNumberFormat="1" applyFont="1" applyFill="1" applyBorder="1" applyAlignment="1">
      <alignment horizontal="right" vertical="center"/>
      <protection/>
    </xf>
    <xf numFmtId="4" fontId="56" fillId="7" borderId="2" xfId="0" applyNumberFormat="1" applyFont="1" applyFill="1" applyBorder="1" applyAlignment="1">
      <alignment vertical="center"/>
    </xf>
    <xf numFmtId="3" fontId="56" fillId="7" borderId="2" xfId="15" applyNumberFormat="1" applyFont="1" applyFill="1" applyBorder="1" applyAlignment="1" applyProtection="1">
      <alignment vertical="center"/>
      <protection/>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vertical="center"/>
      <protection locked="0"/>
    </xf>
    <xf numFmtId="4" fontId="56" fillId="7" borderId="2" xfId="0" applyNumberFormat="1" applyFont="1" applyFill="1" applyBorder="1" applyAlignment="1">
      <alignment vertical="center"/>
    </xf>
    <xf numFmtId="3"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3" fontId="56" fillId="7" borderId="2" xfId="19" applyNumberFormat="1" applyFont="1" applyFill="1" applyBorder="1" applyAlignment="1" applyProtection="1">
      <alignment vertical="center"/>
      <protection locked="0"/>
    </xf>
    <xf numFmtId="4" fontId="56" fillId="7" borderId="2" xfId="17"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0" fontId="39" fillId="0" borderId="2" xfId="0" applyFont="1" applyFill="1" applyBorder="1" applyAlignment="1">
      <alignment horizontal="right" vertical="top"/>
    </xf>
    <xf numFmtId="0" fontId="39" fillId="0" borderId="2" xfId="0" applyFont="1" applyFill="1" applyBorder="1" applyAlignment="1">
      <alignment vertical="center"/>
    </xf>
    <xf numFmtId="204" fontId="39" fillId="0" borderId="11" xfId="0" applyNumberFormat="1" applyFont="1" applyFill="1" applyBorder="1" applyAlignment="1">
      <alignment vertical="center"/>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right" vertical="center" shrinkToFit="1"/>
    </xf>
    <xf numFmtId="0" fontId="90" fillId="2" borderId="0" xfId="0" applyFont="1" applyFill="1" applyBorder="1" applyAlignment="1" applyProtection="1">
      <alignment horizontal="center" vertical="center" wrapText="1"/>
      <protection/>
    </xf>
    <xf numFmtId="0" fontId="91"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protection/>
    </xf>
    <xf numFmtId="0" fontId="93" fillId="2" borderId="0" xfId="0" applyFont="1" applyFill="1" applyBorder="1" applyAlignment="1" applyProtection="1">
      <alignment horizontal="left" vertical="center"/>
      <protection/>
    </xf>
    <xf numFmtId="0" fontId="94" fillId="2" borderId="0" xfId="0" applyFont="1" applyFill="1" applyAlignment="1" applyProtection="1">
      <alignment vertical="center"/>
      <protection/>
    </xf>
    <xf numFmtId="0" fontId="95" fillId="2" borderId="0" xfId="0" applyFont="1" applyFill="1" applyBorder="1" applyAlignment="1" applyProtection="1">
      <alignment vertical="center"/>
      <protection/>
    </xf>
    <xf numFmtId="0" fontId="39" fillId="0" borderId="2" xfId="0" applyFont="1" applyFill="1" applyBorder="1" applyAlignment="1">
      <alignment horizontal="left"/>
    </xf>
    <xf numFmtId="0" fontId="39" fillId="0" borderId="2" xfId="0" applyFont="1" applyFill="1" applyBorder="1" applyAlignment="1" applyProtection="1">
      <alignment vertical="center"/>
      <protection locked="0"/>
    </xf>
    <xf numFmtId="0" fontId="39" fillId="0" borderId="2" xfId="0" applyFont="1" applyFill="1" applyBorder="1" applyAlignment="1" applyProtection="1">
      <alignment horizontal="left" vertical="center"/>
      <protection/>
    </xf>
    <xf numFmtId="0" fontId="39" fillId="0" borderId="2" xfId="0" applyFont="1" applyFill="1" applyBorder="1" applyAlignment="1" applyProtection="1">
      <alignment horizontal="right" vertical="center"/>
      <protection/>
    </xf>
    <xf numFmtId="4" fontId="56" fillId="7" borderId="2" xfId="0" applyNumberFormat="1" applyFont="1" applyFill="1" applyBorder="1" applyAlignment="1">
      <alignment vertical="center"/>
    </xf>
    <xf numFmtId="2"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0" fontId="39" fillId="0" borderId="11" xfId="26" applyFont="1" applyFill="1" applyBorder="1" applyAlignment="1" applyProtection="1">
      <alignment horizontal="left" vertical="center"/>
      <protection/>
    </xf>
    <xf numFmtId="0" fontId="39" fillId="0" borderId="11" xfId="22" applyFont="1" applyFill="1" applyBorder="1" applyAlignment="1">
      <alignment horizontal="left" vertical="center"/>
      <protection/>
    </xf>
    <xf numFmtId="204" fontId="39" fillId="0" borderId="11" xfId="0" applyNumberFormat="1" applyFont="1" applyFill="1" applyBorder="1" applyAlignment="1" applyProtection="1">
      <alignment horizontal="left" vertical="center"/>
      <protection/>
    </xf>
    <xf numFmtId="0" fontId="39" fillId="0" borderId="2" xfId="28" applyFont="1" applyFill="1" applyBorder="1" applyAlignment="1" applyProtection="1">
      <alignment horizontal="left" vertical="center"/>
      <protection locked="0"/>
    </xf>
    <xf numFmtId="190" fontId="39" fillId="0" borderId="2" xfId="28" applyNumberFormat="1" applyFont="1" applyFill="1" applyBorder="1" applyAlignment="1" applyProtection="1">
      <alignment horizontal="center" vertical="center"/>
      <protection locked="0"/>
    </xf>
    <xf numFmtId="0" fontId="39" fillId="0" borderId="2" xfId="28" applyFont="1" applyFill="1" applyBorder="1" applyAlignment="1" applyProtection="1">
      <alignment horizontal="right" vertical="center"/>
      <protection locked="0"/>
    </xf>
    <xf numFmtId="14" fontId="39" fillId="0" borderId="2" xfId="28" applyNumberFormat="1" applyFont="1" applyFill="1" applyBorder="1" applyAlignment="1">
      <alignment horizontal="left"/>
      <protection/>
    </xf>
    <xf numFmtId="0" fontId="39" fillId="0" borderId="2" xfId="28" applyFont="1" applyFill="1" applyBorder="1" applyAlignment="1">
      <alignment horizontal="right"/>
      <protection/>
    </xf>
    <xf numFmtId="49" fontId="39" fillId="0" borderId="2" xfId="0" applyNumberFormat="1" applyFont="1" applyFill="1" applyBorder="1" applyAlignment="1" applyProtection="1">
      <alignment horizontal="right" vertical="center"/>
      <protection locked="0"/>
    </xf>
    <xf numFmtId="190" fontId="39" fillId="0" borderId="2" xfId="0" applyNumberFormat="1" applyFont="1" applyFill="1" applyBorder="1" applyAlignment="1" applyProtection="1">
      <alignment horizontal="center" vertical="center"/>
      <protection/>
    </xf>
    <xf numFmtId="49" fontId="39" fillId="0" borderId="2" xfId="28" applyNumberFormat="1" applyFont="1" applyFill="1" applyBorder="1" applyAlignment="1" applyProtection="1">
      <alignment horizontal="left" vertical="center"/>
      <protection locked="0"/>
    </xf>
    <xf numFmtId="0" fontId="39" fillId="0" borderId="2" xfId="28" applyNumberFormat="1" applyFont="1" applyFill="1" applyBorder="1" applyAlignment="1" applyProtection="1">
      <alignment horizontal="right" vertical="center"/>
      <protection locked="0"/>
    </xf>
    <xf numFmtId="0" fontId="39" fillId="0" borderId="2" xfId="28" applyNumberFormat="1" applyFont="1" applyFill="1" applyBorder="1" applyAlignment="1">
      <alignment horizontal="left" vertical="center"/>
      <protection/>
    </xf>
    <xf numFmtId="0" fontId="39" fillId="0" borderId="2" xfId="28" applyNumberFormat="1" applyFont="1" applyFill="1" applyBorder="1" applyAlignment="1">
      <alignment horizontal="left" vertical="center"/>
      <protection/>
    </xf>
    <xf numFmtId="0" fontId="39" fillId="0" borderId="2" xfId="28" applyNumberFormat="1" applyFont="1" applyFill="1" applyBorder="1" applyAlignment="1">
      <alignment horizontal="right" vertical="center"/>
      <protection/>
    </xf>
    <xf numFmtId="0" fontId="39" fillId="0" borderId="2" xfId="28" applyNumberFormat="1" applyFont="1" applyFill="1" applyBorder="1" applyAlignment="1">
      <alignment horizontal="right" vertical="center"/>
      <protection/>
    </xf>
    <xf numFmtId="4" fontId="56" fillId="0" borderId="2" xfId="0" applyNumberFormat="1" applyFont="1" applyFill="1" applyBorder="1" applyAlignment="1">
      <alignment vertical="center"/>
    </xf>
    <xf numFmtId="3" fontId="56" fillId="0" borderId="2" xfId="0" applyNumberFormat="1" applyFont="1" applyFill="1" applyBorder="1" applyAlignment="1">
      <alignment vertical="center"/>
    </xf>
    <xf numFmtId="0" fontId="48" fillId="3" borderId="28" xfId="0" applyFont="1" applyFill="1" applyBorder="1" applyAlignment="1" applyProtection="1">
      <alignment vertical="center"/>
      <protection/>
    </xf>
    <xf numFmtId="0" fontId="39" fillId="0" borderId="2" xfId="0" applyFont="1" applyFill="1" applyBorder="1" applyAlignment="1" applyProtection="1">
      <alignment vertical="center"/>
      <protection/>
    </xf>
    <xf numFmtId="4" fontId="39" fillId="0" borderId="2" xfId="15" applyNumberFormat="1" applyFont="1" applyFill="1" applyBorder="1" applyAlignment="1">
      <alignment vertical="center"/>
    </xf>
    <xf numFmtId="3" fontId="39" fillId="0" borderId="2" xfId="15" applyNumberFormat="1" applyFont="1" applyFill="1" applyBorder="1" applyAlignment="1">
      <alignment vertical="center"/>
    </xf>
    <xf numFmtId="0" fontId="39" fillId="0" borderId="2" xfId="0" applyFont="1" applyFill="1" applyBorder="1" applyAlignment="1" applyProtection="1">
      <alignment vertical="center"/>
      <protection/>
    </xf>
    <xf numFmtId="4" fontId="39" fillId="0" borderId="2" xfId="15"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49"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locked="0"/>
    </xf>
    <xf numFmtId="0" fontId="39" fillId="0" borderId="2" xfId="0" applyFont="1" applyFill="1" applyBorder="1" applyAlignment="1">
      <alignment vertical="center" shrinkToFit="1"/>
    </xf>
    <xf numFmtId="0" fontId="39" fillId="0" borderId="2" xfId="26" applyFont="1" applyFill="1" applyBorder="1" applyAlignment="1" applyProtection="1">
      <alignment vertical="center"/>
      <protection/>
    </xf>
    <xf numFmtId="204"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Font="1" applyFill="1" applyBorder="1" applyAlignment="1">
      <alignment vertical="center"/>
    </xf>
    <xf numFmtId="0" fontId="39" fillId="0" borderId="2" xfId="0" applyFont="1" applyFill="1" applyBorder="1" applyAlignment="1" applyProtection="1">
      <alignment vertical="center"/>
      <protection/>
    </xf>
    <xf numFmtId="4" fontId="39" fillId="0" borderId="2" xfId="18" applyNumberFormat="1" applyFont="1" applyFill="1" applyBorder="1" applyAlignment="1" applyProtection="1">
      <alignment vertical="center"/>
      <protection/>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49" fontId="39" fillId="0" borderId="2" xfId="0" applyNumberFormat="1" applyFont="1" applyFill="1" applyBorder="1" applyAlignment="1" applyProtection="1">
      <alignment vertical="center"/>
      <protection/>
    </xf>
    <xf numFmtId="3" fontId="39" fillId="0" borderId="2" xfId="15" applyNumberFormat="1" applyFont="1" applyFill="1" applyBorder="1" applyAlignment="1">
      <alignment vertical="center"/>
    </xf>
    <xf numFmtId="4" fontId="39" fillId="0" borderId="2" xfId="15" applyNumberFormat="1" applyFont="1" applyFill="1" applyBorder="1" applyAlignment="1">
      <alignment vertical="center"/>
    </xf>
    <xf numFmtId="0" fontId="39" fillId="0" borderId="2" xfId="0" applyFont="1" applyFill="1" applyBorder="1" applyAlignment="1">
      <alignment vertical="center"/>
    </xf>
    <xf numFmtId="0" fontId="39" fillId="0" borderId="29" xfId="0" applyFont="1" applyFill="1" applyBorder="1" applyAlignment="1">
      <alignment vertical="center"/>
    </xf>
    <xf numFmtId="3" fontId="56" fillId="0" borderId="2" xfId="0" applyNumberFormat="1" applyFont="1" applyFill="1" applyBorder="1" applyAlignment="1">
      <alignment horizontal="right" vertical="center"/>
    </xf>
    <xf numFmtId="49" fontId="39" fillId="6" borderId="11" xfId="0" applyNumberFormat="1" applyFont="1" applyFill="1" applyBorder="1" applyAlignment="1">
      <alignment horizontal="left" vertical="center" shrinkToFit="1"/>
    </xf>
    <xf numFmtId="0" fontId="39" fillId="0" borderId="11" xfId="0" applyFont="1" applyFill="1" applyBorder="1" applyAlignment="1">
      <alignment vertical="center"/>
    </xf>
    <xf numFmtId="0" fontId="39" fillId="0" borderId="11" xfId="0" applyNumberFormat="1" applyFont="1" applyFill="1" applyBorder="1" applyAlignment="1" applyProtection="1">
      <alignment vertical="center"/>
      <protection/>
    </xf>
    <xf numFmtId="0" fontId="39" fillId="0" borderId="11" xfId="26" applyFont="1" applyFill="1" applyBorder="1" applyAlignment="1" applyProtection="1">
      <alignment vertical="center"/>
      <protection/>
    </xf>
    <xf numFmtId="0" fontId="39" fillId="0" borderId="11" xfId="0" applyNumberFormat="1" applyFont="1" applyFill="1" applyBorder="1" applyAlignment="1">
      <alignment horizontal="left" vertical="center"/>
    </xf>
    <xf numFmtId="4" fontId="56" fillId="7" borderId="2" xfId="0" applyNumberFormat="1" applyFont="1" applyFill="1" applyBorder="1" applyAlignment="1">
      <alignment horizontal="right"/>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0" fontId="39" fillId="0" borderId="11" xfId="0" applyFont="1" applyFill="1" applyBorder="1" applyAlignment="1" applyProtection="1">
      <alignment vertical="center"/>
      <protection/>
    </xf>
    <xf numFmtId="204" fontId="39" fillId="0" borderId="11" xfId="0" applyNumberFormat="1" applyFont="1" applyFill="1" applyBorder="1" applyAlignment="1">
      <alignment vertical="center" shrinkToFit="1"/>
    </xf>
    <xf numFmtId="0" fontId="39" fillId="0" borderId="11" xfId="0" applyFont="1" applyFill="1" applyBorder="1" applyAlignment="1" applyProtection="1">
      <alignment vertical="center"/>
      <protection/>
    </xf>
    <xf numFmtId="0" fontId="39" fillId="0" borderId="11" xfId="28" applyFont="1" applyFill="1" applyBorder="1" applyAlignment="1" applyProtection="1">
      <alignment horizontal="left" vertical="center"/>
      <protection locked="0"/>
    </xf>
    <xf numFmtId="49" fontId="39" fillId="0" borderId="11" xfId="0" applyNumberFormat="1" applyFont="1" applyFill="1" applyBorder="1" applyAlignment="1">
      <alignment horizontal="left" vertical="center" shrinkToFit="1"/>
    </xf>
    <xf numFmtId="0" fontId="39" fillId="0" borderId="11" xfId="28" applyFont="1" applyFill="1" applyBorder="1" applyAlignment="1">
      <alignment horizontal="left"/>
      <protection/>
    </xf>
    <xf numFmtId="49" fontId="39" fillId="0" borderId="11" xfId="0" applyNumberFormat="1" applyFont="1" applyFill="1" applyBorder="1" applyAlignment="1" applyProtection="1">
      <alignment horizontal="left" vertical="center"/>
      <protection locked="0"/>
    </xf>
    <xf numFmtId="0" fontId="39" fillId="0" borderId="11" xfId="28" applyNumberFormat="1" applyFont="1" applyFill="1" applyBorder="1" applyAlignment="1" applyProtection="1">
      <alignment horizontal="left" vertical="center"/>
      <protection locked="0"/>
    </xf>
    <xf numFmtId="0" fontId="39" fillId="0" borderId="11" xfId="0" applyFont="1" applyFill="1" applyBorder="1" applyAlignment="1">
      <alignment/>
    </xf>
    <xf numFmtId="0" fontId="39" fillId="0" borderId="11" xfId="28" applyNumberFormat="1" applyFont="1" applyFill="1" applyBorder="1" applyAlignment="1">
      <alignment horizontal="left" vertical="center"/>
      <protection/>
    </xf>
    <xf numFmtId="0" fontId="39" fillId="0" borderId="2" xfId="0" applyNumberFormat="1" applyFont="1" applyFill="1" applyBorder="1" applyAlignment="1">
      <alignment vertical="center"/>
    </xf>
    <xf numFmtId="4"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3" fontId="39" fillId="0" borderId="2" xfId="0" applyNumberFormat="1" applyFont="1" applyFill="1" applyBorder="1" applyAlignment="1">
      <alignment vertical="center" wrapText="1"/>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wrapText="1"/>
    </xf>
    <xf numFmtId="4" fontId="39" fillId="0" borderId="29" xfId="32" applyNumberFormat="1" applyFont="1" applyFill="1" applyBorder="1" applyAlignment="1" applyProtection="1">
      <alignment vertical="center"/>
      <protection/>
    </xf>
    <xf numFmtId="3" fontId="39" fillId="0" borderId="29" xfId="32" applyNumberFormat="1" applyFont="1" applyFill="1" applyBorder="1" applyAlignment="1" applyProtection="1">
      <alignment vertical="center"/>
      <protection/>
    </xf>
    <xf numFmtId="4" fontId="39" fillId="0" borderId="13" xfId="15" applyNumberFormat="1" applyFont="1" applyFill="1" applyBorder="1" applyAlignment="1" applyProtection="1">
      <alignment vertical="center"/>
      <protection/>
    </xf>
    <xf numFmtId="4" fontId="39" fillId="0" borderId="13" xfId="32" applyNumberFormat="1" applyFont="1" applyFill="1" applyBorder="1" applyAlignment="1" applyProtection="1">
      <alignment vertical="center"/>
      <protection/>
    </xf>
    <xf numFmtId="190" fontId="39" fillId="0" borderId="2" xfId="0" applyNumberFormat="1" applyFont="1" applyFill="1" applyBorder="1" applyAlignment="1">
      <alignment horizontal="center" vertical="center" wrapText="1"/>
    </xf>
    <xf numFmtId="0" fontId="39" fillId="0" borderId="11" xfId="0" applyFont="1" applyFill="1" applyBorder="1" applyAlignment="1">
      <alignment horizontal="left"/>
    </xf>
    <xf numFmtId="0" fontId="39" fillId="0" borderId="11" xfId="0" applyFont="1" applyFill="1" applyBorder="1" applyAlignment="1">
      <alignment horizontal="left" vertical="center"/>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14" fontId="39" fillId="0" borderId="2" xfId="0" applyNumberFormat="1" applyFont="1" applyFill="1" applyBorder="1" applyAlignment="1">
      <alignment horizontal="left" vertical="center"/>
    </xf>
    <xf numFmtId="0" fontId="39" fillId="0" borderId="2" xfId="0" applyFont="1" applyFill="1" applyBorder="1" applyAlignment="1">
      <alignment horizontal="right"/>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4"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xf>
    <xf numFmtId="4" fontId="56" fillId="7" borderId="2" xfId="0" applyNumberFormat="1" applyFont="1" applyFill="1" applyBorder="1" applyAlignment="1">
      <alignment vertical="center" wrapText="1"/>
    </xf>
    <xf numFmtId="4" fontId="56" fillId="0" borderId="2" xfId="0" applyNumberFormat="1" applyFont="1" applyFill="1" applyBorder="1" applyAlignment="1">
      <alignment vertical="center" wrapText="1"/>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0" fontId="39" fillId="0" borderId="17" xfId="0" applyFont="1" applyFill="1" applyBorder="1" applyAlignment="1">
      <alignment vertical="center"/>
    </xf>
    <xf numFmtId="4" fontId="39" fillId="0" borderId="17" xfId="32" applyNumberFormat="1" applyFont="1" applyFill="1" applyBorder="1" applyAlignment="1" applyProtection="1">
      <alignment vertical="center"/>
      <protection/>
    </xf>
    <xf numFmtId="192" fontId="39" fillId="0" borderId="17" xfId="32" applyNumberFormat="1" applyFont="1" applyFill="1" applyBorder="1" applyAlignment="1" applyProtection="1">
      <alignment vertical="center"/>
      <protection/>
    </xf>
    <xf numFmtId="4" fontId="39" fillId="0" borderId="17" xfId="32" applyNumberFormat="1" applyFont="1" applyFill="1" applyBorder="1" applyAlignment="1" applyProtection="1">
      <alignment vertical="center"/>
      <protection/>
    </xf>
    <xf numFmtId="3" fontId="39" fillId="0" borderId="17" xfId="32" applyNumberFormat="1" applyFont="1" applyFill="1" applyBorder="1" applyAlignment="1" applyProtection="1">
      <alignment vertical="center"/>
      <protection/>
    </xf>
    <xf numFmtId="3" fontId="39" fillId="0" borderId="17" xfId="32" applyNumberFormat="1" applyFont="1" applyFill="1" applyBorder="1" applyAlignment="1" applyProtection="1">
      <alignment vertical="center"/>
      <protection/>
    </xf>
    <xf numFmtId="4" fontId="39" fillId="0" borderId="2" xfId="0"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wrapText="1"/>
    </xf>
    <xf numFmtId="0" fontId="48" fillId="3" borderId="30" xfId="0" applyFont="1" applyFill="1" applyBorder="1" applyAlignment="1" applyProtection="1">
      <alignment vertical="center"/>
      <protection/>
    </xf>
    <xf numFmtId="0" fontId="87" fillId="0" borderId="2" xfId="0" applyFont="1" applyFill="1" applyBorder="1" applyAlignment="1" applyProtection="1">
      <alignment vertical="center"/>
      <protection/>
    </xf>
    <xf numFmtId="0" fontId="86" fillId="2" borderId="2" xfId="0"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4" fontId="39" fillId="0" borderId="2" xfId="18" applyNumberFormat="1" applyFont="1" applyFill="1" applyBorder="1" applyAlignment="1">
      <alignment vertical="center"/>
    </xf>
    <xf numFmtId="3" fontId="39" fillId="0" borderId="2" xfId="18" applyNumberFormat="1" applyFont="1" applyFill="1" applyBorder="1" applyAlignment="1">
      <alignment vertical="center"/>
    </xf>
    <xf numFmtId="190" fontId="39" fillId="0" borderId="2" xfId="0" applyNumberFormat="1" applyFont="1" applyFill="1" applyBorder="1" applyAlignment="1" applyProtection="1">
      <alignment vertical="center"/>
      <protection/>
    </xf>
    <xf numFmtId="4" fontId="39" fillId="0" borderId="2" xfId="18" applyNumberFormat="1" applyFont="1" applyFill="1" applyBorder="1" applyAlignment="1">
      <alignment vertical="center"/>
    </xf>
    <xf numFmtId="3" fontId="39" fillId="0" borderId="2" xfId="18" applyNumberFormat="1" applyFont="1" applyFill="1" applyBorder="1" applyAlignment="1">
      <alignment vertical="center"/>
    </xf>
    <xf numFmtId="190" fontId="39" fillId="0" borderId="2" xfId="0" applyNumberFormat="1" applyFont="1" applyFill="1" applyBorder="1" applyAlignment="1">
      <alignment vertical="center"/>
    </xf>
    <xf numFmtId="0" fontId="86" fillId="0" borderId="2" xfId="0"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190" fontId="39" fillId="6" borderId="2" xfId="0" applyNumberFormat="1" applyFont="1" applyFill="1" applyBorder="1" applyAlignment="1">
      <alignment vertical="center"/>
    </xf>
    <xf numFmtId="0" fontId="39" fillId="6" borderId="2" xfId="0" applyFont="1" applyFill="1" applyBorder="1" applyAlignment="1">
      <alignment vertical="center"/>
    </xf>
    <xf numFmtId="49" fontId="39" fillId="0" borderId="2" xfId="0" applyNumberFormat="1" applyFont="1" applyFill="1" applyBorder="1" applyAlignment="1">
      <alignment vertical="center"/>
    </xf>
    <xf numFmtId="190" fontId="39" fillId="0" borderId="2" xfId="0" applyNumberFormat="1" applyFont="1" applyFill="1" applyBorder="1" applyAlignment="1">
      <alignment vertical="center"/>
    </xf>
    <xf numFmtId="190" fontId="39" fillId="0" borderId="2" xfId="0" applyNumberFormat="1" applyFont="1" applyFill="1" applyBorder="1" applyAlignment="1">
      <alignment vertical="center"/>
    </xf>
    <xf numFmtId="204" fontId="39" fillId="0" borderId="2" xfId="0" applyNumberFormat="1" applyFont="1" applyFill="1" applyBorder="1" applyAlignment="1">
      <alignment vertical="center"/>
    </xf>
    <xf numFmtId="0" fontId="86" fillId="2" borderId="11" xfId="0" applyFont="1" applyFill="1" applyBorder="1" applyAlignment="1" applyProtection="1">
      <alignment vertical="center"/>
      <protection/>
    </xf>
    <xf numFmtId="0" fontId="86" fillId="2" borderId="11" xfId="26" applyFont="1" applyFill="1" applyBorder="1" applyAlignment="1" applyProtection="1">
      <alignment vertical="center"/>
      <protection/>
    </xf>
    <xf numFmtId="204" fontId="86" fillId="2" borderId="11" xfId="0" applyNumberFormat="1" applyFont="1" applyFill="1" applyBorder="1" applyAlignment="1" applyProtection="1">
      <alignment vertical="center"/>
      <protection/>
    </xf>
    <xf numFmtId="0" fontId="56" fillId="2" borderId="11" xfId="0" applyFont="1" applyFill="1" applyBorder="1" applyAlignment="1" applyProtection="1">
      <alignment vertical="center"/>
      <protection/>
    </xf>
    <xf numFmtId="0" fontId="86" fillId="2" borderId="11" xfId="0" applyNumberFormat="1" applyFont="1" applyFill="1" applyBorder="1" applyAlignment="1" applyProtection="1">
      <alignment vertical="center"/>
      <protection/>
    </xf>
    <xf numFmtId="204" fontId="86" fillId="2" borderId="19" xfId="0" applyNumberFormat="1" applyFont="1" applyFill="1" applyBorder="1" applyAlignment="1" applyProtection="1">
      <alignment vertical="center"/>
      <protection/>
    </xf>
    <xf numFmtId="0" fontId="39" fillId="0" borderId="17" xfId="0" applyNumberFormat="1" applyFont="1" applyFill="1" applyBorder="1" applyAlignment="1" applyProtection="1">
      <alignment vertical="center"/>
      <protection/>
    </xf>
    <xf numFmtId="190" fontId="39" fillId="0" borderId="17" xfId="0" applyNumberFormat="1" applyFont="1" applyFill="1" applyBorder="1" applyAlignment="1" applyProtection="1">
      <alignment vertical="center"/>
      <protection/>
    </xf>
    <xf numFmtId="49" fontId="39" fillId="0" borderId="17" xfId="0" applyNumberFormat="1" applyFont="1" applyFill="1" applyBorder="1" applyAlignment="1" applyProtection="1">
      <alignment vertical="center"/>
      <protection/>
    </xf>
    <xf numFmtId="4" fontId="39" fillId="0" borderId="17" xfId="15" applyNumberFormat="1" applyFont="1" applyFill="1" applyBorder="1" applyAlignment="1">
      <alignment vertical="center"/>
    </xf>
    <xf numFmtId="3" fontId="39" fillId="0" borderId="17" xfId="15" applyNumberFormat="1" applyFont="1" applyFill="1" applyBorder="1" applyAlignment="1">
      <alignment vertical="center"/>
    </xf>
    <xf numFmtId="3" fontId="39" fillId="0" borderId="17" xfId="0" applyNumberFormat="1" applyFont="1" applyFill="1" applyBorder="1" applyAlignment="1">
      <alignment vertical="center"/>
    </xf>
    <xf numFmtId="4" fontId="39" fillId="0" borderId="17" xfId="0" applyNumberFormat="1" applyFont="1" applyFill="1" applyBorder="1" applyAlignment="1">
      <alignment vertical="center"/>
    </xf>
    <xf numFmtId="4" fontId="39" fillId="0" borderId="31" xfId="32" applyNumberFormat="1" applyFont="1" applyFill="1" applyBorder="1" applyAlignment="1" applyProtection="1">
      <alignment vertical="center"/>
      <protection/>
    </xf>
    <xf numFmtId="0" fontId="39" fillId="0" borderId="2" xfId="0" applyFont="1" applyBorder="1" applyAlignment="1" applyProtection="1">
      <alignment vertical="center"/>
      <protection locked="0"/>
    </xf>
    <xf numFmtId="0" fontId="39" fillId="0" borderId="2" xfId="0" applyFont="1" applyBorder="1" applyAlignment="1" applyProtection="1">
      <alignment vertical="center"/>
      <protection locked="0"/>
    </xf>
    <xf numFmtId="190" fontId="39" fillId="0" borderId="2" xfId="0" applyNumberFormat="1" applyFont="1" applyBorder="1" applyAlignment="1" applyProtection="1">
      <alignment vertical="center"/>
      <protection locked="0"/>
    </xf>
    <xf numFmtId="0" fontId="39" fillId="0" borderId="11" xfId="29" applyFont="1" applyFill="1" applyBorder="1" applyAlignment="1">
      <alignment horizontal="left" vertical="center"/>
      <protection/>
    </xf>
    <xf numFmtId="0" fontId="39" fillId="2" borderId="11" xfId="0" applyFont="1" applyFill="1" applyBorder="1" applyAlignment="1">
      <alignment horizontal="left" vertical="center"/>
    </xf>
    <xf numFmtId="0" fontId="39" fillId="0" borderId="11" xfId="0" applyNumberFormat="1" applyFont="1" applyFill="1" applyBorder="1" applyAlignment="1" applyProtection="1">
      <alignment vertical="center"/>
      <protection/>
    </xf>
    <xf numFmtId="204" fontId="39" fillId="6" borderId="11" xfId="0" applyNumberFormat="1" applyFont="1" applyFill="1" applyBorder="1" applyAlignment="1">
      <alignment vertical="center"/>
    </xf>
    <xf numFmtId="0" fontId="39" fillId="0" borderId="11" xfId="0" applyFont="1" applyFill="1" applyBorder="1" applyAlignment="1" applyProtection="1">
      <alignment horizontal="left" vertical="center"/>
      <protection/>
    </xf>
    <xf numFmtId="190" fontId="39" fillId="0" borderId="2" xfId="29" applyNumberFormat="1" applyFont="1" applyFill="1" applyBorder="1" applyAlignment="1">
      <alignment horizontal="center" vertical="center"/>
      <protection/>
    </xf>
    <xf numFmtId="14" fontId="39" fillId="0" borderId="2" xfId="29" applyNumberFormat="1" applyFont="1" applyFill="1" applyBorder="1" applyAlignment="1">
      <alignment horizontal="left" vertical="center"/>
      <protection/>
    </xf>
    <xf numFmtId="0" fontId="85" fillId="0" borderId="2" xfId="0" applyFont="1" applyFill="1" applyBorder="1" applyAlignment="1" applyProtection="1">
      <alignment horizontal="right" vertical="center"/>
      <protection locked="0"/>
    </xf>
    <xf numFmtId="0" fontId="39" fillId="0" borderId="2" xfId="29" applyFont="1" applyFill="1" applyBorder="1" applyAlignment="1">
      <alignment horizontal="right" vertical="center"/>
      <protection/>
    </xf>
    <xf numFmtId="0" fontId="85" fillId="0" borderId="2" xfId="0" applyFont="1" applyFill="1" applyBorder="1" applyAlignment="1" applyProtection="1">
      <alignment horizontal="right" vertical="center"/>
      <protection/>
    </xf>
    <xf numFmtId="4" fontId="56" fillId="7" borderId="2" xfId="0" applyNumberFormat="1" applyFont="1" applyFill="1" applyBorder="1" applyAlignment="1">
      <alignment horizontal="right" wrapText="1"/>
    </xf>
    <xf numFmtId="4"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lignment vertical="center"/>
    </xf>
    <xf numFmtId="3" fontId="39" fillId="2" borderId="2" xfId="0" applyNumberFormat="1" applyFont="1" applyFill="1" applyBorder="1" applyAlignment="1">
      <alignment horizontal="right"/>
    </xf>
    <xf numFmtId="193" fontId="39" fillId="0" borderId="2" xfId="0" applyNumberFormat="1" applyFont="1" applyFill="1" applyBorder="1" applyAlignment="1">
      <alignment horizontal="right" vertical="center"/>
    </xf>
    <xf numFmtId="2" fontId="39" fillId="2" borderId="2" xfId="0" applyNumberFormat="1" applyFont="1" applyFill="1" applyBorder="1" applyAlignment="1">
      <alignment horizontal="right"/>
    </xf>
    <xf numFmtId="3" fontId="39" fillId="0" borderId="2" xfId="0" applyNumberFormat="1" applyFont="1" applyFill="1" applyBorder="1" applyAlignment="1" applyProtection="1">
      <alignment horizontal="right" vertical="center"/>
      <protection/>
    </xf>
    <xf numFmtId="2" fontId="39" fillId="0" borderId="13" xfId="29" applyNumberFormat="1" applyFont="1" applyFill="1" applyBorder="1" applyAlignment="1">
      <alignment horizontal="right" vertical="center"/>
      <protection/>
    </xf>
    <xf numFmtId="2" fontId="39" fillId="2" borderId="13" xfId="0" applyNumberFormat="1" applyFont="1" applyFill="1" applyBorder="1" applyAlignment="1">
      <alignment horizontal="right"/>
    </xf>
    <xf numFmtId="49" fontId="39" fillId="0" borderId="11" xfId="0" applyNumberFormat="1" applyFont="1" applyFill="1" applyBorder="1" applyAlignment="1">
      <alignment vertical="center"/>
    </xf>
    <xf numFmtId="3" fontId="56" fillId="0" borderId="2" xfId="0" applyNumberFormat="1" applyFont="1" applyFill="1" applyBorder="1" applyAlignment="1">
      <alignment vertical="center"/>
    </xf>
    <xf numFmtId="4" fontId="56" fillId="0" borderId="2" xfId="18" applyNumberFormat="1" applyFont="1" applyFill="1" applyBorder="1" applyAlignment="1" applyProtection="1">
      <alignment horizontal="right" vertical="center"/>
      <protection locked="0"/>
    </xf>
    <xf numFmtId="4" fontId="56" fillId="0" borderId="2" xfId="28" applyNumberFormat="1" applyFont="1" applyFill="1" applyBorder="1" applyAlignment="1">
      <alignment horizontal="right"/>
      <protection/>
    </xf>
    <xf numFmtId="3" fontId="56" fillId="0" borderId="2" xfId="28" applyNumberFormat="1" applyFont="1" applyFill="1" applyBorder="1" applyAlignment="1">
      <alignment horizontal="right"/>
      <protection/>
    </xf>
    <xf numFmtId="190" fontId="39" fillId="0" borderId="2" xfId="28" applyNumberFormat="1" applyFont="1" applyFill="1" applyBorder="1" applyAlignment="1">
      <alignment horizontal="center" vertical="center"/>
      <protection/>
    </xf>
    <xf numFmtId="204" fontId="39" fillId="0" borderId="11" xfId="0" applyNumberFormat="1" applyFont="1" applyFill="1" applyBorder="1" applyAlignment="1">
      <alignment vertical="center"/>
    </xf>
    <xf numFmtId="0" fontId="86" fillId="0" borderId="11" xfId="0" applyFont="1" applyFill="1" applyBorder="1" applyAlignment="1" applyProtection="1">
      <alignment vertical="center"/>
      <protection/>
    </xf>
    <xf numFmtId="0" fontId="86" fillId="0" borderId="17" xfId="0" applyFont="1" applyFill="1" applyBorder="1" applyAlignment="1" applyProtection="1">
      <alignment vertical="center"/>
      <protection/>
    </xf>
    <xf numFmtId="204" fontId="39" fillId="0" borderId="2" xfId="0" applyNumberFormat="1" applyFont="1" applyFill="1" applyBorder="1" applyAlignment="1">
      <alignment vertical="center"/>
    </xf>
    <xf numFmtId="190" fontId="39" fillId="0" borderId="2" xfId="0" applyNumberFormat="1" applyFont="1" applyFill="1" applyBorder="1" applyAlignment="1" applyProtection="1">
      <alignment vertical="center"/>
      <protection locked="0"/>
    </xf>
    <xf numFmtId="4" fontId="39" fillId="0" borderId="17" xfId="15" applyNumberFormat="1" applyFont="1" applyFill="1" applyBorder="1" applyAlignment="1">
      <alignment vertical="center"/>
    </xf>
    <xf numFmtId="3" fontId="39" fillId="0" borderId="17" xfId="15" applyNumberFormat="1" applyFont="1" applyFill="1" applyBorder="1" applyAlignment="1">
      <alignment vertical="center"/>
    </xf>
    <xf numFmtId="4" fontId="39" fillId="0" borderId="17" xfId="0" applyNumberFormat="1" applyFont="1" applyFill="1" applyBorder="1" applyAlignment="1">
      <alignment vertical="center"/>
    </xf>
    <xf numFmtId="204" fontId="39" fillId="0" borderId="2" xfId="0" applyNumberFormat="1" applyFont="1" applyFill="1" applyBorder="1" applyAlignment="1">
      <alignment vertical="center" shrinkToFit="1"/>
    </xf>
    <xf numFmtId="190" fontId="39" fillId="0" borderId="2" xfId="0" applyNumberFormat="1" applyFont="1" applyFill="1" applyBorder="1" applyAlignment="1">
      <alignment vertical="center" shrinkToFit="1"/>
    </xf>
    <xf numFmtId="0" fontId="39" fillId="0" borderId="2" xfId="25" applyFont="1" applyFill="1" applyBorder="1" applyAlignment="1">
      <alignment vertical="center" shrinkToFit="1"/>
      <protection/>
    </xf>
    <xf numFmtId="190" fontId="39" fillId="0" borderId="2" xfId="25" applyNumberFormat="1" applyFont="1" applyFill="1" applyBorder="1" applyAlignment="1">
      <alignment vertical="center" shrinkToFit="1"/>
      <protection/>
    </xf>
    <xf numFmtId="49" fontId="39" fillId="0" borderId="2" xfId="0" applyNumberFormat="1" applyFont="1" applyFill="1" applyBorder="1" applyAlignment="1">
      <alignment vertical="center" shrinkToFit="1"/>
    </xf>
    <xf numFmtId="4" fontId="39" fillId="0" borderId="2" xfId="18" applyNumberFormat="1" applyFont="1" applyFill="1" applyBorder="1" applyAlignment="1" applyProtection="1">
      <alignment vertical="center" shrinkToFit="1"/>
      <protection locked="0"/>
    </xf>
    <xf numFmtId="3" fontId="39" fillId="0" borderId="2" xfId="18" applyNumberFormat="1" applyFont="1" applyFill="1" applyBorder="1" applyAlignment="1" applyProtection="1">
      <alignment vertical="center" shrinkToFit="1"/>
      <protection locked="0"/>
    </xf>
    <xf numFmtId="4" fontId="56" fillId="7" borderId="2" xfId="0" applyNumberFormat="1" applyFont="1" applyFill="1" applyBorder="1" applyAlignment="1">
      <alignment vertical="center" wrapText="1"/>
    </xf>
    <xf numFmtId="4" fontId="56" fillId="7" borderId="2" xfId="18" applyNumberFormat="1" applyFont="1" applyFill="1" applyBorder="1" applyAlignment="1" applyProtection="1">
      <alignment vertical="center" shrinkToFit="1"/>
      <protection locked="0"/>
    </xf>
    <xf numFmtId="3" fontId="56" fillId="7" borderId="2" xfId="18" applyNumberFormat="1" applyFont="1" applyFill="1" applyBorder="1" applyAlignment="1" applyProtection="1">
      <alignment vertical="center" shrinkToFit="1"/>
      <protection locked="0"/>
    </xf>
    <xf numFmtId="0" fontId="39" fillId="0" borderId="11" xfId="0" applyFont="1" applyFill="1" applyBorder="1" applyAlignment="1" applyProtection="1">
      <alignment horizontal="left" vertical="center" shrinkToFit="1"/>
      <protection locked="0"/>
    </xf>
    <xf numFmtId="49" fontId="39" fillId="0" borderId="11" xfId="0" applyNumberFormat="1" applyFont="1" applyFill="1" applyBorder="1" applyAlignment="1">
      <alignment vertical="center" shrinkToFit="1"/>
    </xf>
    <xf numFmtId="0" fontId="39" fillId="0" borderId="11" xfId="25" applyFont="1" applyFill="1" applyBorder="1" applyAlignment="1">
      <alignment vertical="center" shrinkToFit="1"/>
      <protection/>
    </xf>
    <xf numFmtId="204" fontId="39" fillId="0" borderId="19" xfId="0" applyNumberFormat="1" applyFont="1" applyFill="1" applyBorder="1" applyAlignment="1">
      <alignment horizontal="left" vertical="center" shrinkToFit="1"/>
    </xf>
    <xf numFmtId="190" fontId="39" fillId="0" borderId="2" xfId="0" applyNumberFormat="1" applyFont="1" applyBorder="1" applyAlignment="1" applyProtection="1">
      <alignment horizontal="center" vertical="center"/>
      <protection locked="0"/>
    </xf>
    <xf numFmtId="190" fontId="39" fillId="0" borderId="17" xfId="0" applyNumberFormat="1" applyFont="1" applyFill="1" applyBorder="1" applyAlignment="1">
      <alignment horizontal="center" vertical="center" shrinkToFit="1"/>
    </xf>
    <xf numFmtId="0" fontId="39" fillId="0" borderId="2" xfId="0" applyFont="1" applyBorder="1" applyAlignment="1" applyProtection="1">
      <alignment horizontal="left" vertical="center"/>
      <protection locked="0"/>
    </xf>
    <xf numFmtId="14" fontId="39" fillId="0" borderId="2" xfId="0" applyNumberFormat="1" applyFont="1" applyFill="1" applyBorder="1" applyAlignment="1">
      <alignment vertical="center"/>
    </xf>
    <xf numFmtId="0" fontId="39" fillId="0" borderId="17" xfId="0" applyFont="1" applyFill="1" applyBorder="1" applyAlignment="1" applyProtection="1">
      <alignment horizontal="left" vertical="center"/>
      <protection/>
    </xf>
    <xf numFmtId="0" fontId="39" fillId="0" borderId="2" xfId="0" applyFont="1" applyBorder="1" applyAlignment="1" applyProtection="1">
      <alignment horizontal="right" vertical="center"/>
      <protection locked="0"/>
    </xf>
    <xf numFmtId="0" fontId="39" fillId="0" borderId="17" xfId="0" applyFont="1" applyFill="1" applyBorder="1" applyAlignment="1">
      <alignment horizontal="right" vertical="center" shrinkToFit="1"/>
    </xf>
    <xf numFmtId="4" fontId="56" fillId="7" borderId="17" xfId="0" applyNumberFormat="1" applyFont="1" applyFill="1" applyBorder="1" applyAlignment="1">
      <alignment vertical="center"/>
    </xf>
    <xf numFmtId="3" fontId="56" fillId="7" borderId="17" xfId="0" applyNumberFormat="1" applyFont="1" applyFill="1" applyBorder="1" applyAlignment="1">
      <alignment vertical="center"/>
    </xf>
    <xf numFmtId="3" fontId="39" fillId="0" borderId="2" xfId="32" applyNumberFormat="1" applyFont="1" applyBorder="1" applyAlignment="1" applyProtection="1">
      <alignment horizontal="right" vertical="center"/>
      <protection/>
    </xf>
    <xf numFmtId="2" fontId="39" fillId="0" borderId="2" xfId="32" applyNumberFormat="1" applyFont="1" applyBorder="1" applyAlignment="1" applyProtection="1">
      <alignment horizontal="right" vertical="center"/>
      <protection/>
    </xf>
    <xf numFmtId="4" fontId="39" fillId="0" borderId="17" xfId="0" applyNumberFormat="1" applyFont="1" applyFill="1" applyBorder="1" applyAlignment="1">
      <alignment horizontal="right" wrapText="1"/>
    </xf>
    <xf numFmtId="3" fontId="39" fillId="0" borderId="17" xfId="0" applyNumberFormat="1" applyFont="1" applyFill="1" applyBorder="1" applyAlignment="1">
      <alignment horizontal="right" wrapText="1"/>
    </xf>
    <xf numFmtId="2" fontId="39" fillId="0" borderId="13" xfId="32" applyNumberFormat="1" applyFont="1" applyBorder="1" applyAlignment="1" applyProtection="1">
      <alignment horizontal="right" vertical="center"/>
      <protection/>
    </xf>
    <xf numFmtId="4" fontId="39" fillId="0" borderId="31" xfId="32"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vertical="center"/>
    </xf>
    <xf numFmtId="3"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xf>
    <xf numFmtId="3" fontId="56" fillId="0" borderId="2" xfId="15" applyNumberFormat="1" applyFont="1" applyFill="1" applyBorder="1" applyAlignment="1" applyProtection="1">
      <alignment vertical="center"/>
      <protection/>
    </xf>
    <xf numFmtId="0" fontId="86" fillId="0" borderId="32" xfId="0" applyFont="1" applyFill="1" applyBorder="1" applyAlignment="1" applyProtection="1">
      <alignment vertical="center"/>
      <protection/>
    </xf>
    <xf numFmtId="0" fontId="39" fillId="0" borderId="32" xfId="0" applyFont="1" applyFill="1" applyBorder="1" applyAlignment="1" applyProtection="1">
      <alignment vertical="center"/>
      <protection/>
    </xf>
    <xf numFmtId="190" fontId="39" fillId="0" borderId="32" xfId="0" applyNumberFormat="1" applyFont="1" applyFill="1" applyBorder="1" applyAlignment="1" applyProtection="1">
      <alignment horizontal="center" vertical="center"/>
      <protection/>
    </xf>
    <xf numFmtId="0" fontId="39" fillId="0" borderId="32" xfId="0" applyFont="1" applyFill="1" applyBorder="1" applyAlignment="1" applyProtection="1">
      <alignment vertical="center"/>
      <protection locked="0"/>
    </xf>
    <xf numFmtId="4" fontId="39" fillId="0" borderId="32" xfId="15" applyNumberFormat="1" applyFont="1" applyFill="1" applyBorder="1" applyAlignment="1" applyProtection="1">
      <alignment vertical="center"/>
      <protection locked="0"/>
    </xf>
    <xf numFmtId="3" fontId="39" fillId="0" borderId="32" xfId="15" applyNumberFormat="1" applyFont="1" applyFill="1" applyBorder="1" applyAlignment="1" applyProtection="1">
      <alignment vertical="center"/>
      <protection locked="0"/>
    </xf>
    <xf numFmtId="4" fontId="39" fillId="0" borderId="32" xfId="15" applyNumberFormat="1" applyFont="1" applyFill="1" applyBorder="1" applyAlignment="1" applyProtection="1">
      <alignment vertical="center"/>
      <protection/>
    </xf>
    <xf numFmtId="3" fontId="39" fillId="0" borderId="32" xfId="15" applyNumberFormat="1" applyFont="1" applyFill="1" applyBorder="1" applyAlignment="1" applyProtection="1">
      <alignment vertical="center"/>
      <protection/>
    </xf>
    <xf numFmtId="3" fontId="39" fillId="0" borderId="32" xfId="32" applyNumberFormat="1" applyFont="1" applyFill="1" applyBorder="1" applyAlignment="1" applyProtection="1">
      <alignment vertical="center"/>
      <protection/>
    </xf>
    <xf numFmtId="4" fontId="39" fillId="0" borderId="32" xfId="32" applyNumberFormat="1" applyFont="1" applyFill="1" applyBorder="1" applyAlignment="1" applyProtection="1">
      <alignment vertical="center"/>
      <protection/>
    </xf>
    <xf numFmtId="4" fontId="39" fillId="0" borderId="32" xfId="15" applyNumberFormat="1" applyFont="1" applyFill="1" applyBorder="1" applyAlignment="1" applyProtection="1">
      <alignment vertical="center"/>
      <protection/>
    </xf>
    <xf numFmtId="192" fontId="39" fillId="0" borderId="32" xfId="32" applyNumberFormat="1" applyFont="1" applyFill="1" applyBorder="1" applyAlignment="1" applyProtection="1">
      <alignment vertical="center"/>
      <protection/>
    </xf>
    <xf numFmtId="4" fontId="39" fillId="0" borderId="32" xfId="32" applyNumberFormat="1" applyFont="1" applyFill="1" applyBorder="1" applyAlignment="1" applyProtection="1">
      <alignment vertical="center"/>
      <protection/>
    </xf>
    <xf numFmtId="3" fontId="39" fillId="0" borderId="32" xfId="32" applyNumberFormat="1" applyFont="1" applyFill="1" applyBorder="1" applyAlignment="1" applyProtection="1">
      <alignment vertical="center"/>
      <protection/>
    </xf>
    <xf numFmtId="4" fontId="56" fillId="0" borderId="32" xfId="17" applyNumberFormat="1" applyFont="1" applyFill="1" applyBorder="1" applyAlignment="1" applyProtection="1">
      <alignment vertical="center"/>
      <protection locked="0"/>
    </xf>
    <xf numFmtId="3" fontId="56" fillId="0" borderId="32" xfId="17" applyNumberFormat="1" applyFont="1" applyFill="1" applyBorder="1" applyAlignment="1" applyProtection="1">
      <alignment vertical="center"/>
      <protection locked="0"/>
    </xf>
    <xf numFmtId="4" fontId="39" fillId="0" borderId="32" xfId="17" applyNumberFormat="1" applyFont="1" applyFill="1" applyBorder="1" applyAlignment="1" applyProtection="1">
      <alignment vertical="center"/>
      <protection locked="0"/>
    </xf>
    <xf numFmtId="3" fontId="39" fillId="0" borderId="32" xfId="17" applyNumberFormat="1" applyFont="1" applyFill="1" applyBorder="1" applyAlignment="1" applyProtection="1">
      <alignment vertical="center"/>
      <protection locked="0"/>
    </xf>
    <xf numFmtId="4" fontId="39" fillId="0" borderId="33" xfId="32" applyNumberFormat="1" applyFont="1" applyFill="1" applyBorder="1" applyAlignment="1" applyProtection="1">
      <alignment vertical="center"/>
      <protection/>
    </xf>
    <xf numFmtId="0" fontId="105" fillId="0" borderId="2" xfId="0" applyFont="1" applyFill="1" applyBorder="1" applyAlignment="1" applyProtection="1">
      <alignment vertical="center"/>
      <protection/>
    </xf>
    <xf numFmtId="3" fontId="39" fillId="0" borderId="2" xfId="15" applyNumberFormat="1" applyFont="1" applyFill="1" applyBorder="1" applyAlignment="1" applyProtection="1">
      <alignment horizontal="right" vertical="center"/>
      <protection/>
    </xf>
    <xf numFmtId="192" fontId="39" fillId="0" borderId="2" xfId="32" applyNumberFormat="1" applyFont="1" applyFill="1" applyBorder="1" applyAlignment="1" applyProtection="1">
      <alignment horizontal="right" vertical="center"/>
      <protection/>
    </xf>
    <xf numFmtId="4" fontId="39" fillId="0" borderId="2" xfId="18" applyNumberFormat="1" applyFont="1" applyFill="1" applyBorder="1" applyAlignment="1">
      <alignment horizontal="right" vertical="center"/>
    </xf>
    <xf numFmtId="3" fontId="39" fillId="0" borderId="2" xfId="18"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18" applyNumberFormat="1" applyFont="1" applyFill="1" applyBorder="1" applyAlignment="1">
      <alignment horizontal="right" vertical="center"/>
    </xf>
    <xf numFmtId="3" fontId="39" fillId="0" borderId="2" xfId="18"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4" fontId="39" fillId="0" borderId="2" xfId="17" applyNumberFormat="1" applyFont="1" applyFill="1" applyBorder="1" applyAlignment="1">
      <alignment horizontal="right" vertical="center"/>
    </xf>
    <xf numFmtId="3" fontId="39" fillId="0" borderId="2" xfId="17"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0" applyNumberFormat="1" applyFont="1" applyFill="1" applyBorder="1" applyAlignment="1">
      <alignment horizontal="right" vertical="center"/>
    </xf>
    <xf numFmtId="0" fontId="39" fillId="0" borderId="2" xfId="0" applyFont="1" applyFill="1" applyBorder="1" applyAlignment="1">
      <alignment horizontal="right" vertical="center"/>
    </xf>
    <xf numFmtId="3" fontId="56" fillId="7" borderId="2" xfId="0" applyNumberFormat="1" applyFont="1" applyFill="1" applyBorder="1" applyAlignment="1">
      <alignment horizontal="right" vertical="center"/>
    </xf>
    <xf numFmtId="0" fontId="39" fillId="0" borderId="2" xfId="0" applyFont="1" applyFill="1" applyBorder="1" applyAlignment="1">
      <alignment horizontal="left"/>
    </xf>
    <xf numFmtId="4" fontId="56" fillId="7" borderId="2" xfId="15" applyNumberFormat="1" applyFont="1" applyFill="1" applyBorder="1" applyAlignment="1" applyProtection="1">
      <alignment vertical="center"/>
      <protection/>
    </xf>
    <xf numFmtId="3" fontId="56" fillId="7" borderId="2" xfId="15" applyNumberFormat="1" applyFont="1" applyFill="1" applyBorder="1" applyAlignment="1" applyProtection="1">
      <alignment vertical="center"/>
      <protection/>
    </xf>
    <xf numFmtId="4" fontId="56" fillId="0" borderId="2" xfId="0" applyNumberFormat="1" applyFont="1" applyFill="1" applyBorder="1" applyAlignment="1">
      <alignment horizontal="right" vertical="center"/>
    </xf>
    <xf numFmtId="4" fontId="56" fillId="0" borderId="2" xfId="15" applyNumberFormat="1" applyFont="1" applyFill="1" applyBorder="1" applyAlignment="1" applyProtection="1">
      <alignment horizontal="right" vertical="center"/>
      <protection/>
    </xf>
    <xf numFmtId="190" fontId="39" fillId="0" borderId="2" xfId="28" applyNumberFormat="1" applyFont="1" applyFill="1" applyBorder="1" applyAlignment="1">
      <alignment horizontal="center" wrapText="1"/>
      <protection/>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xf>
    <xf numFmtId="0" fontId="86" fillId="0" borderId="11" xfId="0" applyNumberFormat="1" applyFont="1" applyFill="1" applyBorder="1" applyAlignment="1" applyProtection="1">
      <alignment vertical="center"/>
      <protection/>
    </xf>
    <xf numFmtId="204" fontId="86" fillId="0" borderId="11" xfId="0" applyNumberFormat="1" applyFont="1" applyFill="1" applyBorder="1" applyAlignment="1" applyProtection="1">
      <alignment vertical="center"/>
      <protection/>
    </xf>
    <xf numFmtId="0" fontId="86" fillId="0" borderId="11" xfId="0" applyFont="1" applyFill="1" applyBorder="1" applyAlignment="1" applyProtection="1">
      <alignment vertical="center"/>
      <protection/>
    </xf>
    <xf numFmtId="0" fontId="37" fillId="0" borderId="11" xfId="0" applyFont="1" applyFill="1" applyBorder="1" applyAlignment="1" applyProtection="1">
      <alignment vertical="center"/>
      <protection/>
    </xf>
    <xf numFmtId="0" fontId="56" fillId="0" borderId="11" xfId="0" applyFont="1" applyFill="1" applyBorder="1" applyAlignment="1" applyProtection="1">
      <alignment vertical="center"/>
      <protection/>
    </xf>
    <xf numFmtId="0" fontId="37" fillId="0" borderId="2" xfId="0" applyFont="1" applyFill="1" applyBorder="1" applyAlignment="1" applyProtection="1">
      <alignment horizontal="left" vertical="center"/>
      <protection/>
    </xf>
    <xf numFmtId="0" fontId="86" fillId="0" borderId="34" xfId="0" applyFont="1" applyFill="1" applyBorder="1" applyAlignment="1" applyProtection="1">
      <alignment vertical="center"/>
      <protection/>
    </xf>
    <xf numFmtId="4" fontId="44" fillId="0" borderId="5" xfId="0" applyNumberFormat="1" applyFont="1" applyFill="1" applyBorder="1" applyAlignment="1" applyProtection="1">
      <alignment horizontal="center" vertical="center" wrapText="1"/>
      <protection/>
    </xf>
    <xf numFmtId="192" fontId="44" fillId="0" borderId="5" xfId="0" applyNumberFormat="1" applyFont="1" applyFill="1" applyBorder="1" applyAlignment="1" applyProtection="1">
      <alignment horizontal="center" vertical="center" wrapText="1"/>
      <protection/>
    </xf>
    <xf numFmtId="4" fontId="46" fillId="0" borderId="20" xfId="0" applyNumberFormat="1" applyFont="1" applyFill="1" applyBorder="1" applyAlignment="1" applyProtection="1">
      <alignment horizontal="center" vertical="center" wrapText="1"/>
      <protection/>
    </xf>
    <xf numFmtId="192" fontId="46" fillId="0" borderId="20" xfId="0" applyNumberFormat="1" applyFont="1" applyFill="1" applyBorder="1" applyAlignment="1" applyProtection="1">
      <alignment horizontal="center" vertical="center" wrapText="1"/>
      <protection/>
    </xf>
    <xf numFmtId="204" fontId="39" fillId="6" borderId="11" xfId="0" applyNumberFormat="1" applyFont="1" applyFill="1" applyBorder="1" applyAlignment="1">
      <alignment vertical="center"/>
    </xf>
    <xf numFmtId="190" fontId="39" fillId="6" borderId="2" xfId="0" applyNumberFormat="1" applyFont="1" applyFill="1" applyBorder="1" applyAlignment="1">
      <alignment vertical="center"/>
    </xf>
    <xf numFmtId="0" fontId="39" fillId="6" borderId="2" xfId="0" applyFont="1" applyFill="1" applyBorder="1" applyAlignment="1">
      <alignment vertical="center"/>
    </xf>
    <xf numFmtId="4" fontId="56" fillId="7" borderId="2" xfId="0" applyNumberFormat="1" applyFont="1" applyFill="1" applyBorder="1" applyAlignment="1">
      <alignment vertical="center"/>
    </xf>
    <xf numFmtId="0" fontId="39" fillId="0" borderId="11" xfId="28" applyNumberFormat="1" applyFont="1" applyFill="1" applyBorder="1" applyAlignment="1">
      <alignment horizontal="left" vertical="center"/>
      <protection/>
    </xf>
    <xf numFmtId="3" fontId="56" fillId="0" borderId="2" xfId="22" applyNumberFormat="1" applyFont="1" applyFill="1" applyBorder="1" applyAlignment="1" applyProtection="1">
      <alignment horizontal="right" vertical="center"/>
      <protection/>
    </xf>
    <xf numFmtId="4"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wrapText="1"/>
      <protection/>
    </xf>
    <xf numFmtId="4" fontId="63" fillId="2" borderId="0" xfId="0" applyNumberFormat="1" applyFont="1" applyFill="1" applyBorder="1" applyAlignment="1" applyProtection="1">
      <alignment horizontal="center" vertical="center" wrapText="1"/>
      <protection/>
    </xf>
    <xf numFmtId="3" fontId="66" fillId="2" borderId="0" xfId="0" applyNumberFormat="1" applyFont="1" applyFill="1" applyBorder="1" applyAlignment="1" applyProtection="1">
      <alignment horizontal="center" vertical="center" wrapText="1"/>
      <protection/>
    </xf>
    <xf numFmtId="4" fontId="59" fillId="2" borderId="0" xfId="0" applyNumberFormat="1" applyFont="1" applyFill="1" applyBorder="1" applyAlignment="1" applyProtection="1">
      <alignment horizontal="center" vertical="center" wrapText="1"/>
      <protection/>
    </xf>
    <xf numFmtId="3" fontId="59" fillId="2" borderId="0" xfId="0" applyNumberFormat="1" applyFont="1" applyFill="1" applyBorder="1" applyAlignment="1" applyProtection="1">
      <alignment horizontal="center" vertical="center" wrapText="1"/>
      <protection/>
    </xf>
    <xf numFmtId="192" fontId="59" fillId="2" borderId="0" xfId="0" applyNumberFormat="1" applyFont="1" applyFill="1" applyBorder="1" applyAlignment="1" applyProtection="1">
      <alignment horizontal="center" vertical="center" wrapText="1"/>
      <protection/>
    </xf>
    <xf numFmtId="204" fontId="86" fillId="0" borderId="35" xfId="0" applyNumberFormat="1" applyFont="1" applyFill="1" applyBorder="1" applyAlignment="1" applyProtection="1">
      <alignment vertical="center"/>
      <protection/>
    </xf>
    <xf numFmtId="0" fontId="86" fillId="0" borderId="35" xfId="0" applyFont="1" applyFill="1" applyBorder="1" applyAlignment="1" applyProtection="1">
      <alignment vertical="center"/>
      <protection/>
    </xf>
    <xf numFmtId="0" fontId="86" fillId="0" borderId="35" xfId="0" applyNumberFormat="1" applyFont="1" applyFill="1" applyBorder="1" applyAlignment="1" applyProtection="1">
      <alignment vertical="center"/>
      <protection/>
    </xf>
    <xf numFmtId="0" fontId="86" fillId="0" borderId="35" xfId="0" applyFont="1" applyFill="1" applyBorder="1" applyAlignment="1" applyProtection="1">
      <alignment vertical="center"/>
      <protection/>
    </xf>
    <xf numFmtId="0" fontId="37" fillId="0" borderId="35" xfId="0" applyFont="1" applyFill="1" applyBorder="1" applyAlignment="1" applyProtection="1">
      <alignment vertical="center"/>
      <protection/>
    </xf>
    <xf numFmtId="0" fontId="56" fillId="0" borderId="35" xfId="0" applyFont="1" applyFill="1" applyBorder="1" applyAlignment="1" applyProtection="1">
      <alignment vertical="center"/>
      <protection/>
    </xf>
    <xf numFmtId="0" fontId="86" fillId="0" borderId="36" xfId="0" applyFont="1" applyFill="1" applyBorder="1" applyAlignment="1" applyProtection="1">
      <alignment vertical="center"/>
      <protection/>
    </xf>
    <xf numFmtId="0" fontId="86" fillId="2" borderId="35" xfId="0" applyNumberFormat="1" applyFont="1" applyFill="1" applyBorder="1" applyAlignment="1" applyProtection="1">
      <alignment vertical="center"/>
      <protection/>
    </xf>
    <xf numFmtId="0" fontId="86" fillId="2" borderId="35" xfId="26" applyFont="1" applyFill="1" applyBorder="1" applyAlignment="1" applyProtection="1">
      <alignment vertical="center"/>
      <protection/>
    </xf>
    <xf numFmtId="204" fontId="86" fillId="2" borderId="35" xfId="0" applyNumberFormat="1" applyFont="1" applyFill="1" applyBorder="1" applyAlignment="1" applyProtection="1">
      <alignment vertical="center"/>
      <protection/>
    </xf>
    <xf numFmtId="0" fontId="86" fillId="2" borderId="35" xfId="0" applyFont="1" applyFill="1" applyBorder="1" applyAlignment="1" applyProtection="1">
      <alignment vertical="center"/>
      <protection/>
    </xf>
    <xf numFmtId="0" fontId="56" fillId="2" borderId="35" xfId="0" applyFont="1" applyFill="1" applyBorder="1" applyAlignment="1" applyProtection="1">
      <alignment vertical="center"/>
      <protection/>
    </xf>
    <xf numFmtId="204" fontId="86" fillId="2" borderId="37" xfId="0" applyNumberFormat="1" applyFont="1" applyFill="1" applyBorder="1" applyAlignment="1" applyProtection="1">
      <alignment vertical="center"/>
      <protection/>
    </xf>
    <xf numFmtId="204" fontId="39" fillId="6" borderId="11" xfId="0" applyNumberFormat="1" applyFont="1" applyFill="1" applyBorder="1" applyAlignment="1">
      <alignment horizontal="left" vertical="center" shrinkToFit="1"/>
    </xf>
    <xf numFmtId="0" fontId="39" fillId="2" borderId="11" xfId="0" applyFont="1" applyFill="1" applyBorder="1" applyAlignment="1">
      <alignment horizontal="left"/>
    </xf>
    <xf numFmtId="190" fontId="39" fillId="2" borderId="2" xfId="0" applyNumberFormat="1" applyFont="1" applyFill="1" applyBorder="1" applyAlignment="1">
      <alignment horizontal="center" wrapText="1"/>
    </xf>
    <xf numFmtId="14" fontId="39" fillId="2" borderId="2" xfId="0" applyNumberFormat="1" applyFont="1" applyFill="1" applyBorder="1" applyAlignment="1">
      <alignment horizontal="left"/>
    </xf>
    <xf numFmtId="0" fontId="39" fillId="6" borderId="2" xfId="0" applyFont="1" applyFill="1" applyBorder="1" applyAlignment="1">
      <alignment horizontal="left" vertical="center" shrinkToFit="1"/>
    </xf>
    <xf numFmtId="0" fontId="39" fillId="2" borderId="2" xfId="0" applyFont="1" applyFill="1" applyBorder="1" applyAlignment="1">
      <alignment horizontal="right"/>
    </xf>
    <xf numFmtId="4" fontId="56" fillId="7" borderId="2" xfId="29" applyNumberFormat="1" applyFont="1" applyFill="1" applyBorder="1" applyAlignment="1">
      <alignment horizontal="right" vertical="center"/>
      <protection/>
    </xf>
    <xf numFmtId="3" fontId="56" fillId="7" borderId="2" xfId="29" applyNumberFormat="1" applyFont="1" applyFill="1" applyBorder="1" applyAlignment="1">
      <alignment horizontal="right" vertical="center"/>
      <protection/>
    </xf>
    <xf numFmtId="4" fontId="39" fillId="2" borderId="2" xfId="0" applyNumberFormat="1" applyFont="1" applyFill="1" applyBorder="1" applyAlignment="1">
      <alignment horizontal="right"/>
    </xf>
    <xf numFmtId="4" fontId="39" fillId="0" borderId="2" xfId="29" applyNumberFormat="1" applyFont="1" applyFill="1" applyBorder="1" applyAlignment="1">
      <alignment horizontal="right" vertical="center"/>
      <protection/>
    </xf>
    <xf numFmtId="3" fontId="39" fillId="2" borderId="2" xfId="0" applyNumberFormat="1" applyFont="1" applyFill="1" applyBorder="1" applyAlignment="1">
      <alignment horizontal="right"/>
    </xf>
    <xf numFmtId="3" fontId="39" fillId="0" borderId="2" xfId="29" applyNumberFormat="1" applyFont="1" applyFill="1" applyBorder="1" applyAlignment="1">
      <alignment horizontal="right" vertical="center"/>
      <protection/>
    </xf>
    <xf numFmtId="4" fontId="56" fillId="0" borderId="2" xfId="17" applyNumberFormat="1" applyFont="1" applyFill="1" applyBorder="1" applyAlignment="1" applyProtection="1">
      <alignment vertical="center"/>
      <protection locked="0"/>
    </xf>
    <xf numFmtId="3" fontId="56" fillId="0" borderId="2" xfId="17" applyNumberFormat="1" applyFont="1" applyFill="1" applyBorder="1" applyAlignment="1" applyProtection="1">
      <alignment vertical="center"/>
      <protection locked="0"/>
    </xf>
    <xf numFmtId="4" fontId="56" fillId="0" borderId="2" xfId="17" applyNumberFormat="1" applyFont="1" applyFill="1" applyBorder="1" applyAlignment="1" applyProtection="1">
      <alignment horizontal="right" vertical="center"/>
      <protection/>
    </xf>
    <xf numFmtId="3" fontId="56" fillId="0" borderId="2" xfId="17" applyNumberFormat="1" applyFont="1" applyFill="1" applyBorder="1" applyAlignment="1" applyProtection="1">
      <alignment horizontal="right" vertical="center"/>
      <protection/>
    </xf>
    <xf numFmtId="0" fontId="39" fillId="0" borderId="2" xfId="0" applyFont="1" applyFill="1" applyBorder="1" applyAlignment="1">
      <alignment horizontal="right"/>
    </xf>
    <xf numFmtId="0" fontId="39" fillId="0" borderId="2" xfId="0" applyFont="1" applyFill="1" applyBorder="1" applyAlignment="1">
      <alignment vertical="center" shrinkToFit="1"/>
    </xf>
    <xf numFmtId="0" fontId="39" fillId="0" borderId="2" xfId="25" applyFont="1" applyFill="1" applyBorder="1" applyAlignment="1">
      <alignment vertical="center" shrinkToFit="1"/>
      <protection/>
    </xf>
    <xf numFmtId="4" fontId="39" fillId="0" borderId="2" xfId="17" applyNumberFormat="1" applyFont="1" applyFill="1" applyBorder="1" applyAlignment="1" applyProtection="1">
      <alignment vertical="center"/>
      <protection locked="0"/>
    </xf>
    <xf numFmtId="0" fontId="39" fillId="0" borderId="2" xfId="0" applyFont="1" applyFill="1" applyBorder="1" applyAlignment="1">
      <alignment vertical="center" shrinkToFit="1"/>
    </xf>
    <xf numFmtId="0" fontId="39" fillId="0" borderId="2" xfId="0" applyFont="1" applyFill="1" applyBorder="1" applyAlignment="1">
      <alignment vertical="center" shrinkToFit="1"/>
    </xf>
    <xf numFmtId="0" fontId="39" fillId="0" borderId="2" xfId="25" applyFont="1" applyFill="1" applyBorder="1" applyAlignment="1">
      <alignment vertical="center"/>
      <protection/>
    </xf>
    <xf numFmtId="190" fontId="39" fillId="0" borderId="2" xfId="25" applyNumberFormat="1" applyFont="1" applyFill="1" applyBorder="1" applyAlignment="1">
      <alignment vertical="center"/>
      <protection/>
    </xf>
    <xf numFmtId="4" fontId="56" fillId="7" borderId="2" xfId="17" applyNumberFormat="1"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4" fontId="56" fillId="0" borderId="2" xfId="0" applyNumberFormat="1" applyFont="1" applyFill="1" applyBorder="1" applyAlignment="1">
      <alignment horizontal="right" wrapText="1"/>
    </xf>
    <xf numFmtId="3" fontId="56" fillId="0" borderId="2" xfId="0" applyNumberFormat="1" applyFont="1" applyFill="1" applyBorder="1" applyAlignment="1">
      <alignment horizontal="right"/>
    </xf>
    <xf numFmtId="4" fontId="56" fillId="0" borderId="2" xfId="0" applyNumberFormat="1" applyFont="1" applyFill="1" applyBorder="1" applyAlignment="1">
      <alignment horizontal="right"/>
    </xf>
    <xf numFmtId="3" fontId="56" fillId="0" borderId="2" xfId="0" applyNumberFormat="1" applyFont="1" applyFill="1" applyBorder="1" applyAlignment="1">
      <alignment vertical="center"/>
    </xf>
    <xf numFmtId="4" fontId="56" fillId="0" borderId="29" xfId="0" applyNumberFormat="1" applyFont="1" applyFill="1" applyBorder="1" applyAlignment="1">
      <alignment horizontal="right"/>
    </xf>
    <xf numFmtId="3" fontId="56" fillId="0" borderId="29" xfId="0" applyNumberFormat="1" applyFont="1" applyFill="1" applyBorder="1" applyAlignment="1">
      <alignment horizontal="right"/>
    </xf>
    <xf numFmtId="0" fontId="106" fillId="2" borderId="7" xfId="0" applyNumberFormat="1" applyFont="1" applyFill="1" applyBorder="1" applyAlignment="1" applyProtection="1">
      <alignment vertical="center"/>
      <protection/>
    </xf>
    <xf numFmtId="0" fontId="87" fillId="0" borderId="29" xfId="0" applyNumberFormat="1" applyFont="1" applyFill="1" applyBorder="1" applyAlignment="1" applyProtection="1">
      <alignment vertical="center"/>
      <protection/>
    </xf>
    <xf numFmtId="2" fontId="39" fillId="0" borderId="29" xfId="32" applyNumberFormat="1" applyFont="1" applyFill="1" applyBorder="1" applyAlignment="1" applyProtection="1">
      <alignment vertical="center"/>
      <protection/>
    </xf>
    <xf numFmtId="4" fontId="39" fillId="0" borderId="29" xfId="15" applyNumberFormat="1" applyFont="1" applyFill="1" applyBorder="1" applyAlignment="1" applyProtection="1">
      <alignment vertical="center"/>
      <protection/>
    </xf>
    <xf numFmtId="9" fontId="39" fillId="0" borderId="29" xfId="32" applyNumberFormat="1" applyFont="1" applyFill="1" applyBorder="1" applyAlignment="1" applyProtection="1">
      <alignment vertical="center"/>
      <protection/>
    </xf>
    <xf numFmtId="9" fontId="39" fillId="0" borderId="29" xfId="32" applyNumberFormat="1" applyFont="1" applyFill="1" applyBorder="1" applyAlignment="1" applyProtection="1">
      <alignment vertical="center"/>
      <protection/>
    </xf>
    <xf numFmtId="2" fontId="39" fillId="0" borderId="38" xfId="32" applyNumberFormat="1" applyFont="1" applyFill="1" applyBorder="1" applyAlignment="1" applyProtection="1">
      <alignment vertical="center"/>
      <protection/>
    </xf>
    <xf numFmtId="0" fontId="87" fillId="4" borderId="11" xfId="0" applyNumberFormat="1" applyFont="1" applyFill="1" applyBorder="1" applyAlignment="1" applyProtection="1">
      <alignment vertical="center"/>
      <protection/>
    </xf>
    <xf numFmtId="0" fontId="86"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NumberFormat="1" applyFont="1" applyFill="1" applyBorder="1" applyAlignment="1">
      <alignment vertical="center"/>
    </xf>
    <xf numFmtId="9" fontId="39" fillId="0" borderId="2" xfId="32" applyNumberFormat="1" applyFont="1" applyFill="1" applyBorder="1" applyAlignment="1" applyProtection="1">
      <alignment vertical="center"/>
      <protection/>
    </xf>
    <xf numFmtId="9" fontId="39" fillId="0" borderId="2"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0" fontId="86" fillId="0" borderId="11" xfId="26" applyNumberFormat="1" applyFont="1" applyFill="1" applyBorder="1" applyAlignment="1" applyProtection="1">
      <alignment vertical="center"/>
      <protection/>
    </xf>
    <xf numFmtId="0" fontId="87" fillId="8" borderId="2" xfId="0" applyNumberFormat="1" applyFont="1" applyFill="1" applyBorder="1" applyAlignment="1" applyProtection="1">
      <alignment vertical="center"/>
      <protection/>
    </xf>
    <xf numFmtId="0" fontId="39" fillId="0" borderId="2" xfId="26" applyNumberFormat="1" applyFont="1" applyFill="1" applyBorder="1" applyAlignment="1" applyProtection="1">
      <alignment vertical="center"/>
      <protection/>
    </xf>
    <xf numFmtId="0" fontId="106" fillId="0" borderId="2" xfId="0" applyNumberFormat="1" applyFont="1" applyFill="1" applyBorder="1" applyAlignment="1" applyProtection="1">
      <alignment vertical="center"/>
      <protection/>
    </xf>
    <xf numFmtId="0" fontId="106" fillId="2" borderId="11" xfId="0" applyNumberFormat="1" applyFont="1" applyFill="1" applyBorder="1" applyAlignment="1" applyProtection="1">
      <alignment vertical="center"/>
      <protection/>
    </xf>
    <xf numFmtId="0" fontId="106" fillId="2" borderId="2" xfId="0" applyNumberFormat="1" applyFont="1" applyFill="1" applyBorder="1" applyAlignment="1" applyProtection="1">
      <alignment vertical="center"/>
      <protection/>
    </xf>
    <xf numFmtId="2" fontId="39" fillId="0" borderId="2" xfId="0" applyNumberFormat="1" applyFont="1" applyFill="1" applyBorder="1" applyAlignment="1">
      <alignment vertical="center"/>
    </xf>
    <xf numFmtId="0" fontId="86" fillId="2" borderId="11" xfId="26" applyNumberFormat="1" applyFont="1" applyFill="1" applyBorder="1" applyAlignment="1" applyProtection="1">
      <alignment vertical="center"/>
      <protection/>
    </xf>
    <xf numFmtId="0" fontId="86" fillId="0" borderId="2" xfId="26" applyNumberFormat="1" applyFont="1" applyFill="1" applyBorder="1" applyAlignment="1" applyProtection="1">
      <alignment vertical="center"/>
      <protection/>
    </xf>
    <xf numFmtId="0" fontId="39" fillId="0" borderId="2" xfId="32" applyNumberFormat="1" applyFont="1" applyFill="1" applyBorder="1" applyAlignment="1" applyProtection="1">
      <alignment vertical="center"/>
      <protection/>
    </xf>
    <xf numFmtId="3" fontId="39" fillId="0" borderId="2" xfId="15" applyNumberFormat="1" applyFont="1" applyFill="1" applyBorder="1" applyAlignment="1" applyProtection="1">
      <alignment vertical="center"/>
      <protection/>
    </xf>
    <xf numFmtId="0" fontId="106" fillId="0" borderId="11" xfId="0" applyNumberFormat="1" applyFont="1" applyFill="1" applyBorder="1" applyAlignment="1" applyProtection="1">
      <alignment vertical="center"/>
      <protection/>
    </xf>
    <xf numFmtId="2" fontId="39" fillId="0" borderId="2" xfId="15" applyNumberFormat="1" applyFont="1" applyFill="1" applyBorder="1" applyAlignment="1">
      <alignment vertical="center"/>
    </xf>
    <xf numFmtId="0" fontId="39" fillId="0" borderId="2" xfId="0" applyNumberFormat="1" applyFont="1" applyFill="1" applyBorder="1" applyAlignment="1" applyProtection="1">
      <alignment horizontal="left" vertical="center"/>
      <protection/>
    </xf>
    <xf numFmtId="3" fontId="39" fillId="0" borderId="2" xfId="33" applyNumberFormat="1" applyFont="1" applyFill="1" applyBorder="1" applyAlignment="1" applyProtection="1">
      <alignment vertical="center"/>
      <protection/>
    </xf>
    <xf numFmtId="0" fontId="87" fillId="0" borderId="2" xfId="0" applyNumberFormat="1" applyFont="1" applyFill="1" applyBorder="1" applyAlignment="1" applyProtection="1">
      <alignment vertical="center"/>
      <protection/>
    </xf>
    <xf numFmtId="0" fontId="39" fillId="0" borderId="2" xfId="0" applyNumberFormat="1" applyFont="1" applyFill="1" applyBorder="1" applyAlignment="1">
      <alignment vertical="center"/>
    </xf>
    <xf numFmtId="0" fontId="39" fillId="0" borderId="2" xfId="0" applyNumberFormat="1" applyFont="1" applyFill="1" applyBorder="1" applyAlignment="1">
      <alignment vertical="center"/>
    </xf>
    <xf numFmtId="0" fontId="86" fillId="0" borderId="39" xfId="0" applyNumberFormat="1" applyFont="1" applyFill="1" applyBorder="1" applyAlignment="1" applyProtection="1">
      <alignment vertical="center"/>
      <protection/>
    </xf>
    <xf numFmtId="0" fontId="86" fillId="0" borderId="12" xfId="0" applyNumberFormat="1" applyFont="1" applyFill="1" applyBorder="1" applyAlignment="1" applyProtection="1">
      <alignment vertical="center"/>
      <protection/>
    </xf>
    <xf numFmtId="0" fontId="86" fillId="2" borderId="12" xfId="0" applyNumberFormat="1" applyFont="1" applyFill="1" applyBorder="1" applyAlignment="1" applyProtection="1">
      <alignment vertical="center"/>
      <protection/>
    </xf>
    <xf numFmtId="0" fontId="87" fillId="0" borderId="11" xfId="0" applyNumberFormat="1" applyFont="1" applyFill="1" applyBorder="1" applyAlignment="1" applyProtection="1">
      <alignment vertical="center"/>
      <protection/>
    </xf>
    <xf numFmtId="4" fontId="56" fillId="0" borderId="2" xfId="0" applyNumberFormat="1" applyFont="1" applyFill="1" applyBorder="1" applyAlignment="1">
      <alignment vertical="center"/>
    </xf>
    <xf numFmtId="0" fontId="39" fillId="0" borderId="32" xfId="0" applyFont="1" applyFill="1" applyBorder="1" applyAlignment="1" applyProtection="1">
      <alignment vertical="center"/>
      <protection/>
    </xf>
    <xf numFmtId="190" fontId="39" fillId="0" borderId="32" xfId="0" applyNumberFormat="1" applyFont="1" applyFill="1" applyBorder="1" applyAlignment="1" applyProtection="1">
      <alignment vertical="center"/>
      <protection/>
    </xf>
    <xf numFmtId="2" fontId="39" fillId="0" borderId="33" xfId="32" applyNumberFormat="1" applyFont="1" applyFill="1" applyBorder="1" applyAlignment="1" applyProtection="1">
      <alignment vertical="center"/>
      <protection/>
    </xf>
    <xf numFmtId="204" fontId="86" fillId="0" borderId="2" xfId="0" applyNumberFormat="1" applyFont="1" applyFill="1" applyBorder="1" applyAlignment="1" applyProtection="1">
      <alignment vertical="center"/>
      <protection/>
    </xf>
    <xf numFmtId="0" fontId="86" fillId="2" borderId="12" xfId="0" applyFont="1" applyFill="1" applyBorder="1" applyAlignment="1" applyProtection="1">
      <alignment vertical="center"/>
      <protection/>
    </xf>
    <xf numFmtId="204" fontId="86" fillId="0" borderId="39" xfId="0" applyNumberFormat="1" applyFont="1" applyFill="1" applyBorder="1" applyAlignment="1" applyProtection="1">
      <alignment vertical="center"/>
      <protection/>
    </xf>
    <xf numFmtId="0" fontId="86" fillId="2" borderId="0" xfId="0" applyFont="1" applyFill="1" applyBorder="1" applyAlignment="1" applyProtection="1">
      <alignment vertical="center"/>
      <protection/>
    </xf>
    <xf numFmtId="4" fontId="39" fillId="0" borderId="2" xfId="22" applyNumberFormat="1" applyFont="1" applyFill="1" applyBorder="1" applyAlignment="1" applyProtection="1">
      <alignment vertical="center"/>
      <protection/>
    </xf>
    <xf numFmtId="3" fontId="39" fillId="0" borderId="2" xfId="22" applyNumberFormat="1" applyFont="1" applyFill="1" applyBorder="1" applyAlignment="1" applyProtection="1">
      <alignment vertical="center"/>
      <protection/>
    </xf>
    <xf numFmtId="0" fontId="39" fillId="0" borderId="32" xfId="0" applyFont="1" applyFill="1" applyBorder="1" applyAlignment="1">
      <alignment vertical="center"/>
    </xf>
    <xf numFmtId="4" fontId="39" fillId="0" borderId="32" xfId="0" applyNumberFormat="1" applyFont="1" applyFill="1" applyBorder="1" applyAlignment="1">
      <alignment vertical="center"/>
    </xf>
    <xf numFmtId="3" fontId="39" fillId="0" borderId="32" xfId="0" applyNumberFormat="1" applyFont="1" applyFill="1" applyBorder="1" applyAlignment="1">
      <alignment vertical="center"/>
    </xf>
    <xf numFmtId="4" fontId="56" fillId="0" borderId="32" xfId="0" applyNumberFormat="1" applyFont="1" applyFill="1" applyBorder="1" applyAlignment="1">
      <alignment vertical="center"/>
    </xf>
    <xf numFmtId="3" fontId="56" fillId="0" borderId="32" xfId="0" applyNumberFormat="1" applyFont="1" applyFill="1" applyBorder="1" applyAlignment="1">
      <alignment vertical="center"/>
    </xf>
    <xf numFmtId="3" fontId="39" fillId="0" borderId="29" xfId="15" applyNumberFormat="1" applyFont="1" applyFill="1" applyBorder="1" applyAlignment="1" applyProtection="1">
      <alignment vertical="center"/>
      <protection/>
    </xf>
    <xf numFmtId="4" fontId="56" fillId="7" borderId="29" xfId="18" applyNumberFormat="1" applyFont="1" applyFill="1" applyBorder="1" applyAlignment="1" applyProtection="1">
      <alignment vertical="center"/>
      <protection locked="0"/>
    </xf>
    <xf numFmtId="3" fontId="56" fillId="7" borderId="29" xfId="18" applyNumberFormat="1" applyFont="1" applyFill="1" applyBorder="1" applyAlignment="1" applyProtection="1">
      <alignment vertical="center"/>
      <protection locked="0"/>
    </xf>
    <xf numFmtId="4" fontId="39" fillId="0" borderId="29" xfId="18" applyNumberFormat="1" applyFont="1" applyFill="1" applyBorder="1" applyAlignment="1" applyProtection="1">
      <alignment vertical="center"/>
      <protection locked="0"/>
    </xf>
    <xf numFmtId="3" fontId="39" fillId="0" borderId="29" xfId="18" applyNumberFormat="1" applyFont="1" applyFill="1" applyBorder="1" applyAlignment="1" applyProtection="1">
      <alignment vertical="center"/>
      <protection locked="0"/>
    </xf>
    <xf numFmtId="0" fontId="39" fillId="0" borderId="11" xfId="25" applyFont="1" applyFill="1" applyBorder="1" applyAlignment="1" applyProtection="1">
      <alignment horizontal="left" vertical="center"/>
      <protection/>
    </xf>
    <xf numFmtId="0" fontId="39" fillId="0" borderId="11" xfId="0" applyFont="1" applyFill="1" applyBorder="1" applyAlignment="1">
      <alignment horizontal="left"/>
    </xf>
    <xf numFmtId="0" fontId="39" fillId="0" borderId="7" xfId="0" applyFont="1" applyFill="1" applyBorder="1" applyAlignment="1">
      <alignment horizontal="left" vertical="center"/>
    </xf>
    <xf numFmtId="190" fontId="39" fillId="0" borderId="2" xfId="25" applyNumberFormat="1" applyFont="1" applyFill="1" applyBorder="1" applyAlignment="1" applyProtection="1">
      <alignment horizontal="center" vertical="center"/>
      <protection/>
    </xf>
    <xf numFmtId="190" fontId="39" fillId="0" borderId="2" xfId="0" applyNumberFormat="1" applyFont="1" applyFill="1" applyBorder="1" applyAlignment="1">
      <alignment vertical="center" wrapText="1"/>
    </xf>
    <xf numFmtId="190" fontId="39" fillId="0" borderId="29" xfId="0" applyNumberFormat="1" applyFont="1" applyFill="1" applyBorder="1" applyAlignment="1">
      <alignment vertical="center"/>
    </xf>
    <xf numFmtId="0" fontId="39" fillId="0" borderId="2" xfId="25" applyNumberFormat="1" applyFont="1" applyFill="1" applyBorder="1" applyAlignment="1">
      <alignment horizontal="left" vertical="center"/>
      <protection/>
    </xf>
    <xf numFmtId="0" fontId="39" fillId="0" borderId="29" xfId="0" applyNumberFormat="1" applyFont="1" applyFill="1" applyBorder="1" applyAlignment="1" applyProtection="1">
      <alignment vertical="center"/>
      <protection/>
    </xf>
    <xf numFmtId="0" fontId="39" fillId="0" borderId="2" xfId="25" applyFont="1" applyFill="1" applyBorder="1" applyAlignment="1">
      <alignment horizontal="right" vertical="center"/>
      <protection/>
    </xf>
    <xf numFmtId="0" fontId="39" fillId="0" borderId="2" xfId="25" applyFont="1" applyFill="1" applyBorder="1" applyAlignment="1" applyProtection="1">
      <alignment horizontal="right" vertical="center"/>
      <protection/>
    </xf>
    <xf numFmtId="0" fontId="85" fillId="6" borderId="2" xfId="0" applyFont="1" applyFill="1" applyBorder="1" applyAlignment="1">
      <alignment horizontal="right" vertical="center" shrinkToFit="1"/>
    </xf>
    <xf numFmtId="0" fontId="85" fillId="0" borderId="2" xfId="0" applyNumberFormat="1" applyFont="1" applyFill="1" applyBorder="1" applyAlignment="1" applyProtection="1">
      <alignment horizontal="right" vertical="center"/>
      <protection locked="0"/>
    </xf>
    <xf numFmtId="4" fontId="56" fillId="7" borderId="2" xfId="18" applyNumberFormat="1" applyFont="1" applyFill="1" applyBorder="1" applyAlignment="1" applyProtection="1">
      <alignment horizontal="right" vertical="center" shrinkToFit="1"/>
      <protection locked="0"/>
    </xf>
    <xf numFmtId="3" fontId="39" fillId="0" borderId="2" xfId="17" applyNumberFormat="1" applyFont="1" applyFill="1" applyBorder="1" applyAlignment="1" applyProtection="1">
      <alignment vertical="center"/>
      <protection/>
    </xf>
    <xf numFmtId="2" fontId="39" fillId="0" borderId="2" xfId="15"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shrinkToFit="1"/>
      <protection locked="0"/>
    </xf>
    <xf numFmtId="2" fontId="39" fillId="0" borderId="13"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2" fontId="39" fillId="0" borderId="38" xfId="32" applyNumberFormat="1" applyFont="1" applyFill="1" applyBorder="1" applyAlignment="1" applyProtection="1">
      <alignment vertical="center"/>
      <protection/>
    </xf>
    <xf numFmtId="9" fontId="39" fillId="0" borderId="12" xfId="32" applyNumberFormat="1" applyFont="1" applyFill="1" applyBorder="1" applyAlignment="1" applyProtection="1">
      <alignment vertical="center"/>
      <protection/>
    </xf>
    <xf numFmtId="2" fontId="39" fillId="0" borderId="40" xfId="0" applyNumberFormat="1" applyFont="1" applyFill="1" applyBorder="1" applyAlignment="1" applyProtection="1">
      <alignment vertical="center"/>
      <protection/>
    </xf>
    <xf numFmtId="0" fontId="39" fillId="0" borderId="11" xfId="0" applyNumberFormat="1" applyFont="1" applyFill="1" applyBorder="1" applyAlignment="1" applyProtection="1">
      <alignment vertical="center"/>
      <protection/>
    </xf>
    <xf numFmtId="0" fontId="39" fillId="0" borderId="11" xfId="0" applyNumberFormat="1" applyFont="1" applyFill="1" applyBorder="1" applyAlignment="1">
      <alignment vertical="center"/>
    </xf>
    <xf numFmtId="0" fontId="39" fillId="0" borderId="11" xfId="0" applyNumberFormat="1" applyFont="1" applyFill="1" applyBorder="1" applyAlignment="1">
      <alignment vertical="center"/>
    </xf>
    <xf numFmtId="0" fontId="39" fillId="0" borderId="11" xfId="26" applyNumberFormat="1" applyFont="1" applyFill="1" applyBorder="1" applyAlignment="1" applyProtection="1">
      <alignment vertical="center"/>
      <protection/>
    </xf>
    <xf numFmtId="4" fontId="39" fillId="0" borderId="17" xfId="15" applyNumberFormat="1" applyFont="1" applyFill="1" applyBorder="1" applyAlignment="1" applyProtection="1">
      <alignment vertical="center"/>
      <protection/>
    </xf>
    <xf numFmtId="3" fontId="39" fillId="0" borderId="17" xfId="15" applyNumberFormat="1" applyFont="1" applyFill="1" applyBorder="1" applyAlignment="1" applyProtection="1">
      <alignment vertical="center"/>
      <protection/>
    </xf>
    <xf numFmtId="2" fontId="39" fillId="0" borderId="17" xfId="32" applyNumberFormat="1" applyFont="1" applyFill="1" applyBorder="1" applyAlignment="1" applyProtection="1">
      <alignment vertical="center"/>
      <protection/>
    </xf>
    <xf numFmtId="9" fontId="39" fillId="0" borderId="17" xfId="32" applyNumberFormat="1" applyFont="1" applyFill="1" applyBorder="1" applyAlignment="1" applyProtection="1">
      <alignment vertical="center"/>
      <protection/>
    </xf>
    <xf numFmtId="9" fontId="39" fillId="0" borderId="17" xfId="32" applyNumberFormat="1" applyFont="1" applyFill="1" applyBorder="1" applyAlignment="1" applyProtection="1">
      <alignment vertical="center"/>
      <protection/>
    </xf>
    <xf numFmtId="2" fontId="39" fillId="0" borderId="31" xfId="0" applyNumberFormat="1" applyFont="1" applyFill="1" applyBorder="1" applyAlignment="1" applyProtection="1">
      <alignment vertical="center"/>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4" fontId="56" fillId="0" borderId="2" xfId="0" applyNumberFormat="1" applyFont="1" applyFill="1" applyBorder="1" applyAlignment="1">
      <alignment horizontal="right" wrapText="1"/>
    </xf>
    <xf numFmtId="0" fontId="39" fillId="0" borderId="7" xfId="0" applyFont="1" applyFill="1" applyBorder="1" applyAlignment="1">
      <alignment horizontal="left"/>
    </xf>
    <xf numFmtId="190" fontId="39" fillId="0" borderId="29" xfId="0" applyNumberFormat="1" applyFont="1" applyFill="1" applyBorder="1" applyAlignment="1">
      <alignment horizontal="center"/>
    </xf>
    <xf numFmtId="0" fontId="39" fillId="0" borderId="29" xfId="0" applyFont="1" applyFill="1" applyBorder="1" applyAlignment="1">
      <alignment/>
    </xf>
    <xf numFmtId="0" fontId="39" fillId="0" borderId="11" xfId="0" applyNumberFormat="1" applyFont="1" applyFill="1" applyBorder="1" applyAlignment="1" applyProtection="1">
      <alignment horizontal="left" vertical="center"/>
      <protection/>
    </xf>
    <xf numFmtId="0" fontId="39" fillId="0" borderId="11" xfId="26" applyNumberFormat="1" applyFont="1" applyFill="1" applyBorder="1" applyAlignment="1" applyProtection="1">
      <alignment horizontal="left" vertical="center"/>
      <protection/>
    </xf>
    <xf numFmtId="9" fontId="39" fillId="0" borderId="29" xfId="32" applyNumberFormat="1" applyFont="1" applyFill="1" applyBorder="1" applyAlignment="1" applyProtection="1">
      <alignment horizontal="right" vertical="center"/>
      <protection/>
    </xf>
    <xf numFmtId="9" fontId="39" fillId="0" borderId="2" xfId="32" applyNumberFormat="1" applyFont="1" applyFill="1" applyBorder="1" applyAlignment="1" applyProtection="1">
      <alignment horizontal="right" vertical="center"/>
      <protection/>
    </xf>
    <xf numFmtId="192" fontId="39" fillId="0" borderId="32" xfId="32" applyNumberFormat="1" applyFont="1" applyFill="1" applyBorder="1" applyAlignment="1" applyProtection="1">
      <alignment horizontal="right" vertical="center"/>
      <protection/>
    </xf>
    <xf numFmtId="0" fontId="46" fillId="3" borderId="41" xfId="0" applyFont="1" applyFill="1" applyBorder="1" applyAlignment="1" applyProtection="1">
      <alignment horizontal="center" vertical="center" wrapText="1"/>
      <protection/>
    </xf>
    <xf numFmtId="0" fontId="44" fillId="3" borderId="42" xfId="0" applyFont="1" applyFill="1" applyBorder="1" applyAlignment="1" applyProtection="1">
      <alignment horizontal="center" vertical="center" wrapText="1"/>
      <protection/>
    </xf>
    <xf numFmtId="0" fontId="44" fillId="3" borderId="41" xfId="0" applyFont="1" applyFill="1" applyBorder="1" applyAlignment="1" applyProtection="1">
      <alignment horizontal="center" vertical="center" wrapText="1"/>
      <protection/>
    </xf>
    <xf numFmtId="0" fontId="46" fillId="3" borderId="42"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6" fillId="3" borderId="1" xfId="0" applyFont="1" applyFill="1" applyBorder="1" applyAlignment="1" applyProtection="1">
      <alignment horizontal="center" vertical="center" wrapText="1"/>
      <protection/>
    </xf>
    <xf numFmtId="0" fontId="104" fillId="3" borderId="3" xfId="0" applyFont="1" applyFill="1" applyBorder="1" applyAlignment="1" applyProtection="1">
      <alignment horizontal="right" vertical="center" wrapText="1"/>
      <protection/>
    </xf>
    <xf numFmtId="0" fontId="75" fillId="3" borderId="3" xfId="0" applyFont="1" applyFill="1" applyBorder="1" applyAlignment="1" applyProtection="1">
      <alignment horizontal="right" vertical="center" wrapText="1"/>
      <protection/>
    </xf>
    <xf numFmtId="0" fontId="68" fillId="2" borderId="0" xfId="0" applyFont="1" applyFill="1" applyBorder="1" applyAlignment="1" applyProtection="1">
      <alignment horizontal="center" vertical="center" wrapText="1"/>
      <protection/>
    </xf>
    <xf numFmtId="0" fontId="2" fillId="2" borderId="0" xfId="21" applyFill="1" applyBorder="1" applyAlignment="1" applyProtection="1">
      <alignment horizontal="center" vertical="center" wrapText="1"/>
      <protection/>
    </xf>
    <xf numFmtId="0" fontId="71" fillId="0" borderId="0" xfId="0" applyFont="1" applyBorder="1" applyAlignment="1">
      <alignment horizontal="center" vertical="center" wrapText="1"/>
    </xf>
    <xf numFmtId="1" fontId="96"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54" fillId="2" borderId="0" xfId="0" applyFont="1" applyFill="1" applyBorder="1" applyAlignment="1" applyProtection="1">
      <alignment horizontal="center" vertical="center" wrapText="1"/>
      <protection/>
    </xf>
    <xf numFmtId="1" fontId="77" fillId="2" borderId="3" xfId="21" applyNumberFormat="1" applyFont="1" applyFill="1" applyBorder="1" applyAlignment="1" applyProtection="1">
      <alignment horizontal="center" vertical="center" wrapText="1"/>
      <protection/>
    </xf>
    <xf numFmtId="0" fontId="76" fillId="2" borderId="3" xfId="0" applyFont="1" applyFill="1" applyBorder="1" applyAlignment="1" applyProtection="1">
      <alignment horizontal="center" vertical="center" wrapText="1"/>
      <protection/>
    </xf>
    <xf numFmtId="0" fontId="104" fillId="3" borderId="43" xfId="0" applyFont="1" applyFill="1" applyBorder="1" applyAlignment="1" applyProtection="1">
      <alignment horizontal="right" vertical="center" wrapText="1"/>
      <protection/>
    </xf>
    <xf numFmtId="0" fontId="75" fillId="3" borderId="43" xfId="0" applyFont="1" applyFill="1" applyBorder="1" applyAlignment="1" applyProtection="1">
      <alignment horizontal="right" vertical="center" wrapText="1"/>
      <protection/>
    </xf>
    <xf numFmtId="0" fontId="100" fillId="2" borderId="22" xfId="0" applyFont="1" applyFill="1" applyBorder="1" applyAlignment="1" applyProtection="1">
      <alignment horizontal="center" vertical="center" wrapText="1"/>
      <protection/>
    </xf>
    <xf numFmtId="0" fontId="103" fillId="0" borderId="23" xfId="0" applyFont="1" applyBorder="1" applyAlignment="1" applyProtection="1">
      <alignment horizontal="center" vertical="center" wrapText="1"/>
      <protection/>
    </xf>
    <xf numFmtId="0" fontId="103" fillId="0" borderId="44" xfId="0" applyFont="1" applyBorder="1" applyAlignment="1" applyProtection="1">
      <alignment horizontal="center" vertical="center" wrapText="1"/>
      <protection/>
    </xf>
    <xf numFmtId="190" fontId="42" fillId="2" borderId="45" xfId="0" applyNumberFormat="1" applyFont="1" applyFill="1" applyBorder="1" applyAlignment="1" applyProtection="1">
      <alignment horizontal="left" vertical="center" wrapText="1"/>
      <protection/>
    </xf>
    <xf numFmtId="0" fontId="0" fillId="2" borderId="43" xfId="0" applyFill="1" applyBorder="1" applyAlignment="1" applyProtection="1">
      <alignment vertical="center" wrapText="1"/>
      <protection/>
    </xf>
    <xf numFmtId="0" fontId="0" fillId="2" borderId="46" xfId="0" applyFill="1" applyBorder="1" applyAlignment="1" applyProtection="1">
      <alignment vertical="center" wrapText="1"/>
      <protection/>
    </xf>
    <xf numFmtId="0" fontId="0" fillId="2" borderId="47"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48" xfId="0" applyFill="1" applyBorder="1" applyAlignment="1" applyProtection="1">
      <alignment vertical="center" wrapText="1"/>
      <protection/>
    </xf>
    <xf numFmtId="0" fontId="0" fillId="2" borderId="49"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50" xfId="0" applyFill="1" applyBorder="1" applyAlignment="1" applyProtection="1">
      <alignment vertical="center" wrapText="1"/>
      <protection/>
    </xf>
    <xf numFmtId="0" fontId="45" fillId="3" borderId="23" xfId="0" applyFont="1" applyFill="1" applyBorder="1" applyAlignment="1" applyProtection="1">
      <alignment horizontal="center" vertical="center" wrapText="1"/>
      <protection/>
    </xf>
    <xf numFmtId="0" fontId="45" fillId="3" borderId="44" xfId="0" applyFont="1" applyFill="1" applyBorder="1" applyAlignment="1" applyProtection="1">
      <alignment horizontal="center" vertical="center" wrapText="1"/>
      <protection/>
    </xf>
    <xf numFmtId="0" fontId="57" fillId="3" borderId="1" xfId="0" applyFont="1" applyFill="1" applyBorder="1" applyAlignment="1" applyProtection="1">
      <alignment horizontal="center" vertical="center" wrapText="1"/>
      <protection/>
    </xf>
    <xf numFmtId="0" fontId="111" fillId="3" borderId="1" xfId="0" applyFont="1" applyFill="1" applyBorder="1" applyAlignment="1" applyProtection="1">
      <alignment horizontal="center" vertical="center" wrapText="1"/>
      <protection/>
    </xf>
    <xf numFmtId="0" fontId="80" fillId="3" borderId="0" xfId="0" applyFont="1" applyFill="1" applyBorder="1" applyAlignment="1" applyProtection="1">
      <alignment horizontal="right" vertical="center" wrapText="1"/>
      <protection/>
    </xf>
    <xf numFmtId="0" fontId="75" fillId="3" borderId="0" xfId="0" applyFont="1" applyFill="1" applyBorder="1" applyAlignment="1" applyProtection="1">
      <alignment horizontal="right" vertical="center" wrapText="1"/>
      <protection/>
    </xf>
    <xf numFmtId="0" fontId="74" fillId="3" borderId="3" xfId="0" applyFont="1" applyFill="1" applyBorder="1" applyAlignment="1" applyProtection="1">
      <alignment horizontal="right" vertical="center" wrapText="1"/>
      <protection/>
    </xf>
    <xf numFmtId="0" fontId="0" fillId="2" borderId="3" xfId="0" applyFill="1" applyBorder="1" applyAlignment="1" applyProtection="1">
      <alignment horizontal="center" vertical="center" wrapText="1"/>
      <protection/>
    </xf>
    <xf numFmtId="1" fontId="61" fillId="2" borderId="0" xfId="0" applyNumberFormat="1" applyFont="1" applyFill="1" applyBorder="1" applyAlignment="1" applyProtection="1">
      <alignment horizontal="center" vertical="center" wrapText="1"/>
      <protection/>
    </xf>
    <xf numFmtId="0" fontId="78" fillId="2"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81"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0" fontId="45" fillId="2" borderId="4" xfId="0"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70" fillId="2" borderId="0" xfId="21" applyFont="1" applyFill="1" applyBorder="1" applyAlignment="1" applyProtection="1">
      <alignment horizontal="center" vertical="center" wrapText="1"/>
      <protection/>
    </xf>
    <xf numFmtId="0" fontId="71" fillId="2" borderId="0" xfId="0" applyFont="1" applyFill="1" applyBorder="1" applyAlignment="1">
      <alignment horizontal="center" vertical="center" wrapText="1"/>
    </xf>
    <xf numFmtId="0" fontId="69" fillId="2" borderId="3" xfId="0" applyFont="1" applyFill="1" applyBorder="1" applyAlignment="1" applyProtection="1">
      <alignment horizontal="center" vertical="center" wrapText="1"/>
      <protection/>
    </xf>
    <xf numFmtId="1" fontId="72" fillId="2" borderId="0" xfId="0" applyNumberFormat="1" applyFont="1" applyFill="1" applyBorder="1" applyAlignment="1" applyProtection="1">
      <alignment horizontal="center" vertical="center" wrapText="1"/>
      <protection/>
    </xf>
    <xf numFmtId="0" fontId="73" fillId="2" borderId="0" xfId="0" applyFont="1" applyFill="1" applyBorder="1" applyAlignment="1" applyProtection="1">
      <alignment horizontal="center" vertical="center" wrapText="1"/>
      <protection/>
    </xf>
    <xf numFmtId="0" fontId="82" fillId="2" borderId="0" xfId="0" applyFont="1" applyFill="1" applyBorder="1" applyAlignment="1" applyProtection="1">
      <alignment horizontal="center" vertical="center" wrapText="1"/>
      <protection/>
    </xf>
    <xf numFmtId="0" fontId="80" fillId="3" borderId="43" xfId="0" applyFont="1" applyFill="1" applyBorder="1" applyAlignment="1" applyProtection="1">
      <alignment horizontal="right" vertical="center" wrapText="1"/>
      <protection/>
    </xf>
    <xf numFmtId="0" fontId="57" fillId="2" borderId="1" xfId="0" applyFont="1" applyFill="1" applyBorder="1" applyAlignment="1" applyProtection="1">
      <alignment horizontal="center" vertical="center" wrapText="1"/>
      <protection/>
    </xf>
    <xf numFmtId="0" fontId="46" fillId="0" borderId="1" xfId="0" applyFont="1" applyFill="1" applyBorder="1" applyAlignment="1" applyProtection="1">
      <alignment horizontal="center" vertical="center" wrapText="1"/>
      <protection/>
    </xf>
    <xf numFmtId="0" fontId="83" fillId="2" borderId="3" xfId="0" applyFont="1" applyFill="1" applyBorder="1" applyAlignment="1" applyProtection="1">
      <alignment horizontal="center" vertical="center" wrapText="1"/>
      <protection/>
    </xf>
    <xf numFmtId="0" fontId="44" fillId="0" borderId="1" xfId="0" applyFont="1" applyFill="1" applyBorder="1" applyAlignment="1" applyProtection="1">
      <alignment horizontal="center" vertical="center" wrapText="1"/>
      <protection/>
    </xf>
    <xf numFmtId="1" fontId="98" fillId="2" borderId="0" xfId="0" applyNumberFormat="1" applyFont="1" applyFill="1" applyBorder="1" applyAlignment="1" applyProtection="1">
      <alignment horizontal="center" vertical="center" wrapText="1"/>
      <protection/>
    </xf>
    <xf numFmtId="0" fontId="107" fillId="3" borderId="3" xfId="0" applyFont="1" applyFill="1" applyBorder="1" applyAlignment="1" applyProtection="1">
      <alignment horizontal="right" vertical="center" wrapText="1"/>
      <protection/>
    </xf>
    <xf numFmtId="0" fontId="109" fillId="3" borderId="3" xfId="0" applyFont="1" applyFill="1" applyBorder="1" applyAlignment="1" applyProtection="1">
      <alignment horizontal="right" vertical="center" wrapText="1"/>
      <protection/>
    </xf>
    <xf numFmtId="1" fontId="60" fillId="2" borderId="0" xfId="0" applyNumberFormat="1" applyFont="1" applyFill="1" applyBorder="1" applyAlignment="1" applyProtection="1">
      <alignment horizontal="center" vertical="center" wrapText="1"/>
      <protection/>
    </xf>
    <xf numFmtId="0" fontId="107" fillId="3" borderId="43" xfId="0" applyFont="1" applyFill="1" applyBorder="1" applyAlignment="1" applyProtection="1">
      <alignment horizontal="right" vertical="center" wrapText="1"/>
      <protection/>
    </xf>
    <xf numFmtId="0" fontId="109" fillId="3" borderId="43" xfId="0" applyFont="1" applyFill="1" applyBorder="1" applyAlignment="1" applyProtection="1">
      <alignment horizontal="right" vertical="center" wrapText="1"/>
      <protection/>
    </xf>
    <xf numFmtId="0" fontId="44" fillId="2" borderId="42" xfId="0" applyFont="1" applyFill="1" applyBorder="1" applyAlignment="1" applyProtection="1">
      <alignment horizontal="center" vertical="center" wrapText="1"/>
      <protection/>
    </xf>
    <xf numFmtId="0" fontId="44" fillId="2" borderId="41" xfId="0" applyFont="1" applyFill="1" applyBorder="1" applyAlignment="1" applyProtection="1">
      <alignment horizontal="center" vertical="center" wrapText="1"/>
      <protection/>
    </xf>
    <xf numFmtId="0" fontId="46" fillId="2" borderId="42" xfId="0" applyFont="1" applyFill="1" applyBorder="1" applyAlignment="1" applyProtection="1">
      <alignment horizontal="center" vertical="center" wrapText="1"/>
      <protection/>
    </xf>
    <xf numFmtId="0" fontId="46" fillId="2" borderId="41" xfId="0" applyFont="1" applyFill="1" applyBorder="1" applyAlignment="1" applyProtection="1">
      <alignment horizontal="center" vertical="center" wrapText="1"/>
      <protection/>
    </xf>
    <xf numFmtId="0" fontId="86" fillId="2" borderId="2" xfId="0" applyNumberFormat="1" applyFont="1" applyFill="1" applyBorder="1" applyAlignment="1" applyProtection="1">
      <alignment vertical="center"/>
      <protection/>
    </xf>
    <xf numFmtId="4" fontId="39" fillId="0" borderId="2" xfId="15" applyNumberFormat="1" applyFont="1" applyFill="1" applyBorder="1" applyAlignment="1">
      <alignment horizontal="right"/>
    </xf>
    <xf numFmtId="3" fontId="39" fillId="0" borderId="2" xfId="15" applyNumberFormat="1" applyFont="1" applyFill="1" applyBorder="1" applyAlignment="1">
      <alignment horizontal="right"/>
    </xf>
    <xf numFmtId="0" fontId="87" fillId="5" borderId="2" xfId="0" applyNumberFormat="1" applyFont="1" applyFill="1" applyBorder="1" applyAlignment="1" applyProtection="1">
      <alignment vertical="center"/>
      <protection/>
    </xf>
    <xf numFmtId="4" fontId="39" fillId="0" borderId="2" xfId="18" applyNumberFormat="1" applyFont="1" applyFill="1" applyBorder="1" applyAlignment="1">
      <alignment horizontal="right" vertical="center" shrinkToFit="1"/>
    </xf>
    <xf numFmtId="3" fontId="39" fillId="0" borderId="2" xfId="18" applyNumberFormat="1" applyFont="1" applyFill="1" applyBorder="1" applyAlignment="1">
      <alignment horizontal="right" vertical="center" shrinkToFit="1"/>
    </xf>
    <xf numFmtId="3" fontId="39" fillId="0" borderId="2" xfId="33" applyNumberFormat="1" applyFont="1" applyFill="1" applyBorder="1" applyAlignment="1" applyProtection="1">
      <alignment vertical="center"/>
      <protection/>
    </xf>
    <xf numFmtId="0" fontId="86" fillId="0" borderId="2" xfId="0" applyNumberFormat="1" applyFont="1" applyFill="1" applyBorder="1" applyAlignment="1">
      <alignment vertical="center"/>
    </xf>
    <xf numFmtId="4" fontId="39" fillId="0" borderId="2" xfId="0" applyNumberFormat="1" applyFont="1" applyFill="1" applyBorder="1" applyAlignment="1">
      <alignment horizontal="right"/>
    </xf>
    <xf numFmtId="4" fontId="39" fillId="0" borderId="2" xfId="18" applyNumberFormat="1" applyFont="1" applyFill="1" applyBorder="1" applyAlignment="1">
      <alignment horizontal="right" vertical="center" shrinkToFit="1"/>
    </xf>
    <xf numFmtId="3" fontId="39" fillId="0" borderId="2" xfId="18" applyNumberFormat="1" applyFont="1" applyFill="1" applyBorder="1" applyAlignment="1">
      <alignment horizontal="right" vertical="center" shrinkToFit="1"/>
    </xf>
    <xf numFmtId="4" fontId="56" fillId="0" borderId="2" xfId="22" applyNumberFormat="1" applyFont="1" applyFill="1" applyBorder="1" applyAlignment="1" applyProtection="1">
      <alignment vertical="center"/>
      <protection/>
    </xf>
    <xf numFmtId="3" fontId="56" fillId="0" borderId="2" xfId="22"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NumberFormat="1" applyFont="1" applyFill="1" applyBorder="1" applyAlignment="1">
      <alignment horizontal="left" vertical="center"/>
    </xf>
    <xf numFmtId="43" fontId="46" fillId="3" borderId="20" xfId="15" applyFont="1" applyFill="1" applyBorder="1" applyAlignment="1" applyProtection="1">
      <alignment horizontal="center"/>
      <protection/>
    </xf>
    <xf numFmtId="0" fontId="46" fillId="3" borderId="20" xfId="0" applyFont="1" applyFill="1" applyBorder="1" applyAlignment="1" applyProtection="1">
      <alignment horizontal="center"/>
      <protection/>
    </xf>
    <xf numFmtId="190" fontId="46" fillId="3" borderId="20" xfId="0" applyNumberFormat="1" applyFont="1" applyFill="1" applyBorder="1" applyAlignment="1" applyProtection="1">
      <alignment horizontal="center"/>
      <protection/>
    </xf>
    <xf numFmtId="4" fontId="46" fillId="3" borderId="20" xfId="0" applyNumberFormat="1" applyFont="1" applyFill="1" applyBorder="1" applyAlignment="1" applyProtection="1">
      <alignment horizontal="center" vertical="center" wrapText="1"/>
      <protection/>
    </xf>
    <xf numFmtId="3" fontId="46" fillId="3" borderId="20" xfId="0" applyNumberFormat="1" applyFont="1" applyFill="1" applyBorder="1" applyAlignment="1" applyProtection="1">
      <alignment horizontal="center" vertical="center" wrapText="1"/>
      <protection/>
    </xf>
    <xf numFmtId="192" fontId="46" fillId="3" borderId="20" xfId="0" applyNumberFormat="1" applyFont="1" applyFill="1" applyBorder="1" applyAlignment="1" applyProtection="1">
      <alignment horizontal="center" vertical="center" wrapText="1"/>
      <protection/>
    </xf>
    <xf numFmtId="4" fontId="58" fillId="3" borderId="20" xfId="0" applyNumberFormat="1" applyFont="1" applyFill="1" applyBorder="1" applyAlignment="1" applyProtection="1">
      <alignment horizontal="center" vertical="center" wrapText="1"/>
      <protection/>
    </xf>
    <xf numFmtId="3" fontId="58" fillId="3" borderId="20" xfId="0" applyNumberFormat="1" applyFont="1" applyFill="1" applyBorder="1" applyAlignment="1" applyProtection="1">
      <alignment horizontal="center" vertical="center" wrapText="1"/>
      <protection/>
    </xf>
    <xf numFmtId="204" fontId="86" fillId="0" borderId="32" xfId="0" applyNumberFormat="1" applyFont="1" applyFill="1" applyBorder="1" applyAlignment="1" applyProtection="1">
      <alignment vertical="center"/>
      <protection/>
    </xf>
    <xf numFmtId="0" fontId="86" fillId="2" borderId="21" xfId="0" applyFont="1" applyFill="1" applyBorder="1" applyAlignment="1" applyProtection="1">
      <alignment vertical="center"/>
      <protection/>
    </xf>
    <xf numFmtId="0" fontId="39" fillId="0" borderId="32" xfId="0" applyFont="1" applyFill="1" applyBorder="1" applyAlignment="1" applyProtection="1">
      <alignment horizontal="left" vertical="center"/>
      <protection/>
    </xf>
    <xf numFmtId="190" fontId="39" fillId="0" borderId="32" xfId="0" applyNumberFormat="1" applyFont="1" applyFill="1" applyBorder="1" applyAlignment="1" applyProtection="1">
      <alignment vertical="center"/>
      <protection/>
    </xf>
    <xf numFmtId="0" fontId="39" fillId="0" borderId="32" xfId="0" applyNumberFormat="1" applyFont="1" applyFill="1" applyBorder="1" applyAlignment="1">
      <alignment vertical="center"/>
    </xf>
    <xf numFmtId="4" fontId="56" fillId="0" borderId="32" xfId="22" applyNumberFormat="1" applyFont="1" applyFill="1" applyBorder="1" applyAlignment="1" applyProtection="1">
      <alignment vertical="center"/>
      <protection/>
    </xf>
    <xf numFmtId="3" fontId="56" fillId="0" borderId="32" xfId="22" applyNumberFormat="1" applyFont="1" applyFill="1" applyBorder="1" applyAlignment="1" applyProtection="1">
      <alignment vertical="center"/>
      <protection/>
    </xf>
    <xf numFmtId="9" fontId="39" fillId="0" borderId="21" xfId="32" applyNumberFormat="1" applyFont="1" applyFill="1" applyBorder="1" applyAlignment="1" applyProtection="1">
      <alignment vertical="center"/>
      <protection/>
    </xf>
    <xf numFmtId="4" fontId="39" fillId="0" borderId="32" xfId="22" applyNumberFormat="1" applyFont="1" applyFill="1" applyBorder="1" applyAlignment="1" applyProtection="1">
      <alignment vertical="center"/>
      <protection/>
    </xf>
    <xf numFmtId="3" fontId="39" fillId="0" borderId="32" xfId="22" applyNumberFormat="1" applyFont="1" applyFill="1" applyBorder="1" applyAlignment="1" applyProtection="1">
      <alignment vertical="center"/>
      <protection/>
    </xf>
    <xf numFmtId="4" fontId="39" fillId="0" borderId="30" xfId="32" applyNumberFormat="1" applyFont="1" applyFill="1" applyBorder="1" applyAlignment="1" applyProtection="1">
      <alignment vertical="center"/>
      <protection/>
    </xf>
    <xf numFmtId="0" fontId="50" fillId="2" borderId="34" xfId="0" applyFont="1" applyFill="1" applyBorder="1" applyAlignment="1" applyProtection="1">
      <alignment vertical="center"/>
      <protection/>
    </xf>
    <xf numFmtId="0" fontId="50" fillId="2" borderId="11" xfId="0" applyFont="1" applyFill="1" applyBorder="1" applyAlignment="1" applyProtection="1">
      <alignment vertical="center"/>
      <protection/>
    </xf>
    <xf numFmtId="49" fontId="86" fillId="0" borderId="2" xfId="0" applyNumberFormat="1" applyFont="1" applyFill="1" applyBorder="1" applyAlignment="1">
      <alignment vertical="center" shrinkToFit="1"/>
    </xf>
    <xf numFmtId="204" fontId="39" fillId="0" borderId="2" xfId="0" applyNumberFormat="1" applyFont="1" applyFill="1" applyBorder="1" applyAlignment="1">
      <alignment horizontal="left" vertical="center" shrinkToFit="1"/>
    </xf>
    <xf numFmtId="0" fontId="39" fillId="0" borderId="2" xfId="0" applyNumberFormat="1" applyFont="1" applyFill="1" applyBorder="1" applyAlignment="1">
      <alignment horizontal="left" vertical="center" shrinkToFit="1"/>
    </xf>
    <xf numFmtId="3" fontId="56" fillId="0" borderId="2" xfId="0" applyNumberFormat="1" applyFont="1" applyFill="1" applyBorder="1" applyAlignment="1">
      <alignment horizontal="right"/>
    </xf>
    <xf numFmtId="190" fontId="39" fillId="0" borderId="2" xfId="0" applyNumberFormat="1" applyFont="1" applyFill="1" applyBorder="1" applyAlignment="1" applyProtection="1">
      <alignment horizontal="center" vertical="center"/>
      <protection/>
    </xf>
    <xf numFmtId="190" fontId="39" fillId="0" borderId="2" xfId="0" applyNumberFormat="1" applyFont="1" applyFill="1" applyBorder="1" applyAlignment="1">
      <alignment horizontal="center" vertical="center"/>
    </xf>
    <xf numFmtId="0" fontId="86" fillId="0" borderId="29" xfId="0" applyNumberFormat="1" applyFont="1" applyFill="1" applyBorder="1" applyAlignment="1" applyProtection="1">
      <alignment vertical="center"/>
      <protection/>
    </xf>
    <xf numFmtId="190" fontId="39" fillId="0" borderId="29" xfId="0" applyNumberFormat="1" applyFont="1" applyFill="1" applyBorder="1" applyAlignment="1" applyProtection="1">
      <alignment horizontal="center" vertical="center"/>
      <protection/>
    </xf>
    <xf numFmtId="0" fontId="39" fillId="0" borderId="29" xfId="0" applyNumberFormat="1" applyFont="1" applyFill="1" applyBorder="1" applyAlignment="1" applyProtection="1">
      <alignment horizontal="right" vertical="center"/>
      <protection locked="0"/>
    </xf>
    <xf numFmtId="0" fontId="39" fillId="0" borderId="29" xfId="0" applyFont="1" applyFill="1" applyBorder="1" applyAlignment="1" applyProtection="1">
      <alignment horizontal="right" vertical="center"/>
      <protection locked="0"/>
    </xf>
    <xf numFmtId="4" fontId="39" fillId="0" borderId="29" xfId="15" applyNumberFormat="1" applyFont="1" applyFill="1" applyBorder="1" applyAlignment="1" applyProtection="1">
      <alignment horizontal="right" vertical="center"/>
      <protection locked="0"/>
    </xf>
    <xf numFmtId="3" fontId="39" fillId="0" borderId="29" xfId="15" applyNumberFormat="1" applyFont="1" applyFill="1" applyBorder="1" applyAlignment="1" applyProtection="1">
      <alignment horizontal="right" vertical="center"/>
      <protection locked="0"/>
    </xf>
    <xf numFmtId="0" fontId="106" fillId="2" borderId="11" xfId="0" applyFont="1" applyFill="1" applyBorder="1" applyAlignment="1" applyProtection="1">
      <alignment horizontal="left" vertical="center"/>
      <protection/>
    </xf>
    <xf numFmtId="3" fontId="39" fillId="0" borderId="29" xfId="32" applyNumberFormat="1" applyFont="1" applyFill="1" applyBorder="1" applyAlignment="1" applyProtection="1">
      <alignment horizontal="right" vertical="center"/>
      <protection/>
    </xf>
    <xf numFmtId="2" fontId="39" fillId="0" borderId="29" xfId="32" applyNumberFormat="1" applyFont="1" applyFill="1" applyBorder="1" applyAlignment="1" applyProtection="1">
      <alignment horizontal="right" vertical="center"/>
      <protection/>
    </xf>
    <xf numFmtId="4" fontId="39" fillId="0" borderId="29" xfId="32" applyNumberFormat="1" applyFont="1" applyFill="1" applyBorder="1" applyAlignment="1" applyProtection="1">
      <alignment horizontal="right" vertical="center"/>
      <protection/>
    </xf>
    <xf numFmtId="9" fontId="39" fillId="0" borderId="29" xfId="32" applyNumberFormat="1" applyFont="1" applyFill="1" applyBorder="1" applyAlignment="1" applyProtection="1">
      <alignment horizontal="right" vertical="center"/>
      <protection/>
    </xf>
    <xf numFmtId="4" fontId="39" fillId="0" borderId="29" xfId="17" applyNumberFormat="1" applyFont="1" applyFill="1" applyBorder="1" applyAlignment="1" applyProtection="1">
      <alignment horizontal="right" vertical="center"/>
      <protection locked="0"/>
    </xf>
    <xf numFmtId="3" fontId="39" fillId="0" borderId="29" xfId="17" applyNumberFormat="1" applyFont="1" applyFill="1" applyBorder="1" applyAlignment="1" applyProtection="1">
      <alignment horizontal="right" vertical="center"/>
      <protection locked="0"/>
    </xf>
    <xf numFmtId="2" fontId="39" fillId="0" borderId="38" xfId="32" applyNumberFormat="1" applyFont="1" applyFill="1" applyBorder="1" applyAlignment="1" applyProtection="1">
      <alignment horizontal="right" vertical="center"/>
      <protection/>
    </xf>
    <xf numFmtId="9" fontId="39" fillId="0" borderId="2" xfId="32" applyNumberFormat="1" applyFont="1" applyFill="1" applyBorder="1" applyAlignment="1" applyProtection="1">
      <alignment horizontal="right" vertical="center"/>
      <protection/>
    </xf>
    <xf numFmtId="2" fontId="39" fillId="0" borderId="13" xfId="0" applyNumberFormat="1" applyFont="1" applyFill="1" applyBorder="1" applyAlignment="1" applyProtection="1">
      <alignment horizontal="right" vertical="center"/>
      <protection/>
    </xf>
    <xf numFmtId="2" fontId="39" fillId="0" borderId="13" xfId="0" applyNumberFormat="1" applyFont="1" applyFill="1" applyBorder="1" applyAlignment="1" applyProtection="1">
      <alignment horizontal="right" vertical="center"/>
      <protection/>
    </xf>
    <xf numFmtId="4" fontId="39" fillId="0" borderId="2" xfId="22" applyNumberFormat="1" applyFont="1" applyFill="1" applyBorder="1" applyAlignment="1" applyProtection="1">
      <alignment horizontal="right" vertical="center" wrapText="1"/>
      <protection/>
    </xf>
    <xf numFmtId="3" fontId="39" fillId="0" borderId="2" xfId="22" applyNumberFormat="1" applyFont="1" applyFill="1" applyBorder="1" applyAlignment="1" applyProtection="1">
      <alignment horizontal="right" vertical="center" wrapText="1"/>
      <protection/>
    </xf>
    <xf numFmtId="4" fontId="56" fillId="9" borderId="29" xfId="17" applyNumberFormat="1" applyFont="1" applyFill="1" applyBorder="1" applyAlignment="1" applyProtection="1">
      <alignment horizontal="right" vertical="center"/>
      <protection locked="0"/>
    </xf>
    <xf numFmtId="3" fontId="56" fillId="9" borderId="29" xfId="17" applyNumberFormat="1" applyFont="1" applyFill="1" applyBorder="1" applyAlignment="1" applyProtection="1">
      <alignment horizontal="right" vertical="center"/>
      <protection locked="0"/>
    </xf>
    <xf numFmtId="4" fontId="56" fillId="9" borderId="2" xfId="17" applyNumberFormat="1" applyFont="1" applyFill="1" applyBorder="1" applyAlignment="1" applyProtection="1">
      <alignment horizontal="right" vertical="center"/>
      <protection locked="0"/>
    </xf>
    <xf numFmtId="3" fontId="56" fillId="9" borderId="2" xfId="17" applyNumberFormat="1" applyFont="1" applyFill="1" applyBorder="1" applyAlignment="1" applyProtection="1">
      <alignment horizontal="right" vertical="center"/>
      <protection locked="0"/>
    </xf>
    <xf numFmtId="4" fontId="56" fillId="9" borderId="2" xfId="18" applyNumberFormat="1" applyFont="1" applyFill="1" applyBorder="1" applyAlignment="1" applyProtection="1">
      <alignment horizontal="right" vertical="center"/>
      <protection locked="0"/>
    </xf>
    <xf numFmtId="3" fontId="56" fillId="9" borderId="2" xfId="18" applyNumberFormat="1" applyFont="1" applyFill="1" applyBorder="1" applyAlignment="1" applyProtection="1">
      <alignment horizontal="right" vertical="center"/>
      <protection locked="0"/>
    </xf>
    <xf numFmtId="4" fontId="56" fillId="9" borderId="2" xfId="0" applyNumberFormat="1" applyFont="1" applyFill="1" applyBorder="1" applyAlignment="1">
      <alignment horizontal="right" wrapText="1"/>
    </xf>
    <xf numFmtId="3" fontId="56" fillId="9" borderId="2" xfId="0" applyNumberFormat="1" applyFont="1" applyFill="1" applyBorder="1" applyAlignment="1">
      <alignment horizontal="right"/>
    </xf>
    <xf numFmtId="4" fontId="56" fillId="9" borderId="2" xfId="0" applyNumberFormat="1" applyFont="1" applyFill="1" applyBorder="1" applyAlignment="1">
      <alignment horizontal="right"/>
    </xf>
    <xf numFmtId="4" fontId="56" fillId="9" borderId="2" xfId="15" applyNumberFormat="1" applyFont="1" applyFill="1" applyBorder="1" applyAlignment="1" applyProtection="1">
      <alignment horizontal="right" vertical="center"/>
      <protection locked="0"/>
    </xf>
    <xf numFmtId="3" fontId="56" fillId="9" borderId="2" xfId="15" applyNumberFormat="1" applyFont="1" applyFill="1" applyBorder="1" applyAlignment="1" applyProtection="1">
      <alignment horizontal="right" vertical="center"/>
      <protection locked="0"/>
    </xf>
    <xf numFmtId="4" fontId="56" fillId="9" borderId="2" xfId="0" applyNumberFormat="1" applyFont="1" applyFill="1" applyBorder="1" applyAlignment="1">
      <alignment horizontal="right"/>
    </xf>
    <xf numFmtId="3" fontId="56" fillId="9" borderId="2" xfId="0" applyNumberFormat="1" applyFont="1" applyFill="1" applyBorder="1" applyAlignment="1">
      <alignment horizontal="right"/>
    </xf>
    <xf numFmtId="4" fontId="56" fillId="9" borderId="2" xfId="15" applyNumberFormat="1" applyFont="1" applyFill="1" applyBorder="1" applyAlignment="1" applyProtection="1">
      <alignment horizontal="right" vertical="center"/>
      <protection/>
    </xf>
    <xf numFmtId="3" fontId="56" fillId="9" borderId="2" xfId="15" applyNumberFormat="1" applyFont="1" applyFill="1" applyBorder="1" applyAlignment="1" applyProtection="1">
      <alignment horizontal="right" vertical="center"/>
      <protection/>
    </xf>
    <xf numFmtId="3" fontId="56" fillId="9" borderId="2" xfId="0" applyNumberFormat="1" applyFont="1" applyFill="1" applyBorder="1" applyAlignment="1">
      <alignment horizontal="right"/>
    </xf>
    <xf numFmtId="4" fontId="56" fillId="9" borderId="2" xfId="0" applyNumberFormat="1" applyFont="1" applyFill="1" applyBorder="1" applyAlignment="1">
      <alignment horizontal="right"/>
    </xf>
    <xf numFmtId="4" fontId="56" fillId="9" borderId="2" xfId="15" applyNumberFormat="1" applyFont="1" applyFill="1" applyBorder="1" applyAlignment="1" applyProtection="1">
      <alignment horizontal="right" vertical="center"/>
      <protection locked="0"/>
    </xf>
    <xf numFmtId="3" fontId="56" fillId="9" borderId="2" xfId="15" applyNumberFormat="1" applyFont="1" applyFill="1" applyBorder="1" applyAlignment="1" applyProtection="1">
      <alignment horizontal="right" vertical="center"/>
      <protection locked="0"/>
    </xf>
    <xf numFmtId="4" fontId="56" fillId="9" borderId="2" xfId="18" applyNumberFormat="1" applyFont="1" applyFill="1" applyBorder="1" applyAlignment="1" applyProtection="1">
      <alignment horizontal="right" vertical="center"/>
      <protection locked="0"/>
    </xf>
    <xf numFmtId="3" fontId="56" fillId="9" borderId="2" xfId="18" applyNumberFormat="1" applyFont="1" applyFill="1" applyBorder="1" applyAlignment="1" applyProtection="1">
      <alignment horizontal="right" vertical="center"/>
      <protection locked="0"/>
    </xf>
    <xf numFmtId="4" fontId="56" fillId="9" borderId="2" xfId="15" applyNumberFormat="1" applyFont="1" applyFill="1" applyBorder="1" applyAlignment="1" applyProtection="1">
      <alignment horizontal="right" vertical="center"/>
      <protection/>
    </xf>
    <xf numFmtId="3" fontId="56" fillId="9" borderId="2" xfId="15" applyNumberFormat="1" applyFont="1" applyFill="1" applyBorder="1" applyAlignment="1" applyProtection="1">
      <alignment horizontal="right" vertical="center"/>
      <protection/>
    </xf>
    <xf numFmtId="4" fontId="56" fillId="9" borderId="2" xfId="22" applyNumberFormat="1" applyFont="1" applyFill="1" applyBorder="1" applyAlignment="1" applyProtection="1">
      <alignment horizontal="right" vertical="center" wrapText="1"/>
      <protection/>
    </xf>
    <xf numFmtId="3" fontId="56" fillId="9" borderId="2" xfId="22" applyNumberFormat="1" applyFont="1" applyFill="1" applyBorder="1" applyAlignment="1" applyProtection="1">
      <alignment horizontal="right" vertical="center" wrapText="1"/>
      <protection/>
    </xf>
    <xf numFmtId="4" fontId="56" fillId="9" borderId="2" xfId="22" applyNumberFormat="1" applyFont="1" applyFill="1" applyBorder="1" applyAlignment="1" applyProtection="1">
      <alignment horizontal="right" vertical="center" wrapText="1"/>
      <protection/>
    </xf>
    <xf numFmtId="3" fontId="56" fillId="9" borderId="2" xfId="22" applyNumberFormat="1" applyFont="1" applyFill="1" applyBorder="1" applyAlignment="1" applyProtection="1">
      <alignment horizontal="right" vertical="center" wrapText="1"/>
      <protection/>
    </xf>
    <xf numFmtId="0" fontId="39" fillId="0" borderId="7" xfId="0" applyNumberFormat="1" applyFont="1" applyFill="1" applyBorder="1" applyAlignment="1" applyProtection="1">
      <alignment vertical="center"/>
      <protection/>
    </xf>
    <xf numFmtId="0" fontId="39" fillId="0" borderId="19" xfId="0" applyNumberFormat="1" applyFont="1" applyFill="1" applyBorder="1" applyAlignment="1">
      <alignment vertical="center"/>
    </xf>
    <xf numFmtId="190" fontId="39" fillId="0" borderId="17" xfId="0" applyNumberFormat="1" applyFont="1" applyFill="1" applyBorder="1" applyAlignment="1">
      <alignment horizontal="center" vertical="center"/>
    </xf>
    <xf numFmtId="0" fontId="39" fillId="0" borderId="17" xfId="0" applyNumberFormat="1" applyFont="1" applyFill="1" applyBorder="1" applyAlignment="1">
      <alignment horizontal="right" vertical="center"/>
    </xf>
    <xf numFmtId="0" fontId="39" fillId="0" borderId="17" xfId="0" applyFont="1" applyFill="1" applyBorder="1" applyAlignment="1" applyProtection="1">
      <alignment horizontal="right" vertical="center"/>
      <protection locked="0"/>
    </xf>
    <xf numFmtId="4" fontId="39" fillId="0" borderId="17" xfId="15" applyNumberFormat="1" applyFont="1" applyFill="1" applyBorder="1" applyAlignment="1" applyProtection="1">
      <alignment horizontal="right" vertical="center"/>
      <protection locked="0"/>
    </xf>
    <xf numFmtId="3" fontId="39" fillId="0" borderId="17" xfId="15" applyNumberFormat="1" applyFont="1" applyFill="1" applyBorder="1" applyAlignment="1" applyProtection="1">
      <alignment horizontal="right" vertical="center"/>
      <protection locked="0"/>
    </xf>
    <xf numFmtId="4" fontId="39" fillId="0" borderId="17" xfId="0" applyNumberFormat="1" applyFont="1" applyFill="1" applyBorder="1" applyAlignment="1">
      <alignment vertical="center"/>
    </xf>
    <xf numFmtId="4" fontId="56" fillId="9" borderId="17" xfId="17" applyNumberFormat="1" applyFont="1" applyFill="1" applyBorder="1" applyAlignment="1" applyProtection="1">
      <alignment horizontal="right" vertical="center"/>
      <protection locked="0"/>
    </xf>
    <xf numFmtId="3" fontId="56" fillId="9" borderId="17" xfId="17" applyNumberFormat="1" applyFont="1" applyFill="1" applyBorder="1" applyAlignment="1" applyProtection="1">
      <alignment horizontal="right" vertical="center"/>
      <protection locked="0"/>
    </xf>
    <xf numFmtId="9" fontId="39" fillId="0" borderId="17" xfId="32" applyNumberFormat="1" applyFont="1" applyFill="1" applyBorder="1" applyAlignment="1" applyProtection="1">
      <alignment horizontal="right" vertical="center"/>
      <protection/>
    </xf>
    <xf numFmtId="4" fontId="39" fillId="0" borderId="17" xfId="17" applyNumberFormat="1" applyFont="1" applyFill="1" applyBorder="1" applyAlignment="1" applyProtection="1">
      <alignment horizontal="right" vertical="center"/>
      <protection locked="0"/>
    </xf>
    <xf numFmtId="3" fontId="39" fillId="0" borderId="17" xfId="17" applyNumberFormat="1" applyFont="1" applyFill="1" applyBorder="1" applyAlignment="1" applyProtection="1">
      <alignment horizontal="right" vertical="center"/>
      <protection locked="0"/>
    </xf>
    <xf numFmtId="0" fontId="39" fillId="0" borderId="11" xfId="25" applyFont="1" applyFill="1" applyBorder="1" applyAlignment="1">
      <alignment horizontal="left" vertical="center"/>
      <protection/>
    </xf>
    <xf numFmtId="0" fontId="39" fillId="0" borderId="11" xfId="0" applyFont="1" applyFill="1" applyBorder="1" applyAlignment="1" applyProtection="1">
      <alignment horizontal="left" vertical="center"/>
      <protection/>
    </xf>
    <xf numFmtId="0" fontId="39" fillId="6" borderId="11" xfId="0" applyFont="1" applyFill="1" applyBorder="1" applyAlignment="1">
      <alignment horizontal="left" vertical="center"/>
    </xf>
    <xf numFmtId="190" fontId="39" fillId="0" borderId="2" xfId="0" applyNumberFormat="1" applyFont="1" applyFill="1" applyBorder="1" applyAlignment="1">
      <alignment horizontal="center"/>
    </xf>
    <xf numFmtId="190" fontId="39" fillId="0" borderId="2" xfId="0" applyNumberFormat="1" applyFont="1" applyFill="1" applyBorder="1" applyAlignment="1" applyProtection="1">
      <alignment horizontal="left" vertical="center"/>
      <protection/>
    </xf>
    <xf numFmtId="190" fontId="39" fillId="0" borderId="2" xfId="0" applyNumberFormat="1" applyFont="1" applyBorder="1" applyAlignment="1" applyProtection="1">
      <alignment vertical="center"/>
      <protection locked="0"/>
    </xf>
    <xf numFmtId="0" fontId="89" fillId="0" borderId="2" xfId="0" applyNumberFormat="1" applyFont="1" applyFill="1" applyBorder="1" applyAlignment="1">
      <alignment horizontal="right" vertical="center"/>
    </xf>
    <xf numFmtId="4" fontId="56" fillId="7" borderId="2" xfId="0" applyNumberFormat="1" applyFont="1" applyFill="1" applyBorder="1" applyAlignment="1" applyProtection="1">
      <alignment horizontal="right" vertical="center"/>
      <protection/>
    </xf>
    <xf numFmtId="4" fontId="39" fillId="0" borderId="2" xfId="0" applyNumberFormat="1" applyFont="1" applyFill="1" applyBorder="1" applyAlignment="1" applyProtection="1">
      <alignment horizontal="right" vertical="center"/>
      <protection/>
    </xf>
    <xf numFmtId="3" fontId="56" fillId="0" borderId="2" xfId="0" applyNumberFormat="1" applyFont="1" applyFill="1" applyBorder="1" applyAlignment="1">
      <alignment horizontal="right" vertical="center"/>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190" fontId="39" fillId="0" borderId="2" xfId="28" applyNumberFormat="1" applyFont="1" applyFill="1" applyBorder="1" applyAlignment="1" applyProtection="1">
      <alignment horizontal="center" vertical="center"/>
      <protection locked="0"/>
    </xf>
    <xf numFmtId="4" fontId="56" fillId="0" borderId="2" xfId="0" applyNumberFormat="1" applyFont="1" applyFill="1" applyBorder="1" applyAlignment="1">
      <alignment horizontal="right"/>
    </xf>
    <xf numFmtId="0" fontId="39" fillId="0" borderId="2" xfId="28" applyNumberFormat="1" applyFont="1" applyFill="1" applyBorder="1" applyAlignment="1">
      <alignment horizontal="right" vertical="center"/>
      <protection/>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4" fontId="56" fillId="0" borderId="2" xfId="22" applyNumberFormat="1" applyFont="1" applyFill="1" applyBorder="1" applyAlignment="1" applyProtection="1">
      <alignment horizontal="right" vertical="center" wrapText="1"/>
      <protection/>
    </xf>
    <xf numFmtId="3" fontId="56" fillId="0" borderId="2" xfId="22" applyNumberFormat="1" applyFont="1" applyFill="1" applyBorder="1" applyAlignment="1" applyProtection="1">
      <alignment horizontal="right" vertical="center" wrapText="1"/>
      <protection/>
    </xf>
    <xf numFmtId="0" fontId="39" fillId="0" borderId="11" xfId="28" applyFont="1" applyFill="1" applyBorder="1" applyAlignment="1" applyProtection="1">
      <alignment horizontal="left" vertical="center"/>
      <protection locked="0"/>
    </xf>
    <xf numFmtId="0" fontId="39" fillId="0" borderId="11" xfId="0" applyNumberFormat="1" applyFont="1" applyFill="1" applyBorder="1" applyAlignment="1">
      <alignment horizontal="left" vertical="center" shrinkToFit="1"/>
    </xf>
    <xf numFmtId="0" fontId="39" fillId="0" borderId="19" xfId="0" applyNumberFormat="1" applyFont="1" applyFill="1" applyBorder="1" applyAlignment="1">
      <alignment horizontal="left" vertical="center"/>
    </xf>
    <xf numFmtId="190" fontId="39" fillId="0" borderId="17" xfId="0" applyNumberFormat="1" applyFont="1" applyFill="1" applyBorder="1" applyAlignment="1">
      <alignment horizontal="center" vertical="center"/>
    </xf>
    <xf numFmtId="0" fontId="39" fillId="0" borderId="17" xfId="0" applyNumberFormat="1" applyFont="1" applyFill="1" applyBorder="1" applyAlignment="1">
      <alignment vertical="center"/>
    </xf>
    <xf numFmtId="4" fontId="56" fillId="0" borderId="17" xfId="22" applyNumberFormat="1" applyFont="1" applyFill="1" applyBorder="1" applyAlignment="1" applyProtection="1">
      <alignment horizontal="right" vertical="center" wrapText="1"/>
      <protection/>
    </xf>
    <xf numFmtId="3" fontId="56" fillId="0" borderId="17" xfId="22" applyNumberFormat="1" applyFont="1" applyFill="1" applyBorder="1" applyAlignment="1" applyProtection="1">
      <alignment horizontal="right" vertical="center" wrapText="1"/>
      <protection/>
    </xf>
    <xf numFmtId="2" fontId="39" fillId="0" borderId="31" xfId="32" applyNumberFormat="1" applyFont="1" applyFill="1" applyBorder="1" applyAlignment="1" applyProtection="1">
      <alignment horizontal="right" vertical="center"/>
      <protection/>
    </xf>
  </cellXfs>
  <cellStyles count="20">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Normal_Ex years releases (Annual)" xfId="27"/>
    <cellStyle name="Normal_Sayfa1" xfId="28"/>
    <cellStyle name="Normal_Sayfa1_2" xfId="29"/>
    <cellStyle name="Currency" xfId="30"/>
    <cellStyle name="Currency [0]" xfId="31"/>
    <cellStyle name="Percent" xfId="32"/>
    <cellStyle name="Yüzde 2"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78295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Box 2"/>
        <xdr:cNvSpPr txBox="1">
          <a:spLocks noChangeArrowheads="1"/>
        </xdr:cNvSpPr>
      </xdr:nvSpPr>
      <xdr:spPr>
        <a:xfrm>
          <a:off x="7143750" y="0"/>
          <a:ext cx="466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123825</xdr:colOff>
      <xdr:row>3</xdr:row>
      <xdr:rowOff>152400</xdr:rowOff>
    </xdr:from>
    <xdr:to>
      <xdr:col>9</xdr:col>
      <xdr:colOff>400050</xdr:colOff>
      <xdr:row>4</xdr:row>
      <xdr:rowOff>304800</xdr:rowOff>
    </xdr:to>
    <xdr:pic>
      <xdr:nvPicPr>
        <xdr:cNvPr id="3" name="Picture 22"/>
        <xdr:cNvPicPr preferRelativeResize="1">
          <a:picLocks noChangeAspect="1"/>
        </xdr:cNvPicPr>
      </xdr:nvPicPr>
      <xdr:blipFill>
        <a:blip r:embed="rId1"/>
        <a:stretch>
          <a:fillRect/>
        </a:stretch>
      </xdr:blipFill>
      <xdr:spPr>
        <a:xfrm>
          <a:off x="4457700" y="1609725"/>
          <a:ext cx="2543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0</xdr:row>
      <xdr:rowOff>0</xdr:rowOff>
    </xdr:to>
    <xdr:sp>
      <xdr:nvSpPr>
        <xdr:cNvPr id="1" name="TextBox 1"/>
        <xdr:cNvSpPr txBox="1">
          <a:spLocks noChangeArrowheads="1"/>
        </xdr:cNvSpPr>
      </xdr:nvSpPr>
      <xdr:spPr>
        <a:xfrm>
          <a:off x="0" y="0"/>
          <a:ext cx="111442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2" name="TextBox 2"/>
        <xdr:cNvSpPr txBox="1">
          <a:spLocks noChangeArrowheads="1"/>
        </xdr:cNvSpPr>
      </xdr:nvSpPr>
      <xdr:spPr>
        <a:xfrm>
          <a:off x="977265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0</xdr:colOff>
      <xdr:row>0</xdr:row>
      <xdr:rowOff>0</xdr:rowOff>
    </xdr:to>
    <xdr:sp>
      <xdr:nvSpPr>
        <xdr:cNvPr id="3" name="TextBox 5"/>
        <xdr:cNvSpPr txBox="1">
          <a:spLocks noChangeArrowheads="1"/>
        </xdr:cNvSpPr>
      </xdr:nvSpPr>
      <xdr:spPr>
        <a:xfrm>
          <a:off x="0" y="0"/>
          <a:ext cx="111442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4" name="TextBox 6"/>
        <xdr:cNvSpPr txBox="1">
          <a:spLocks noChangeArrowheads="1"/>
        </xdr:cNvSpPr>
      </xdr:nvSpPr>
      <xdr:spPr>
        <a:xfrm>
          <a:off x="977265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5" name="TextBox 9"/>
        <xdr:cNvSpPr txBox="1">
          <a:spLocks noChangeArrowheads="1"/>
        </xdr:cNvSpPr>
      </xdr:nvSpPr>
      <xdr:spPr>
        <a:xfrm>
          <a:off x="0" y="0"/>
          <a:ext cx="59531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Box 10"/>
        <xdr:cNvSpPr txBox="1">
          <a:spLocks noChangeArrowheads="1"/>
        </xdr:cNvSpPr>
      </xdr:nvSpPr>
      <xdr:spPr>
        <a:xfrm>
          <a:off x="59531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7" name="TextBox 12"/>
        <xdr:cNvSpPr txBox="1">
          <a:spLocks noChangeArrowheads="1"/>
        </xdr:cNvSpPr>
      </xdr:nvSpPr>
      <xdr:spPr>
        <a:xfrm>
          <a:off x="0" y="0"/>
          <a:ext cx="59531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Box 13"/>
        <xdr:cNvSpPr txBox="1">
          <a:spLocks noChangeArrowheads="1"/>
        </xdr:cNvSpPr>
      </xdr:nvSpPr>
      <xdr:spPr>
        <a:xfrm>
          <a:off x="59531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9" name="TextBox 14"/>
        <xdr:cNvSpPr txBox="1">
          <a:spLocks noChangeArrowheads="1"/>
        </xdr:cNvSpPr>
      </xdr:nvSpPr>
      <xdr:spPr>
        <a:xfrm>
          <a:off x="0" y="0"/>
          <a:ext cx="59531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0" name="TextBox 15"/>
        <xdr:cNvSpPr txBox="1">
          <a:spLocks noChangeArrowheads="1"/>
        </xdr:cNvSpPr>
      </xdr:nvSpPr>
      <xdr:spPr>
        <a:xfrm>
          <a:off x="59531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314325</xdr:colOff>
      <xdr:row>3</xdr:row>
      <xdr:rowOff>133350</xdr:rowOff>
    </xdr:from>
    <xdr:to>
      <xdr:col>10</xdr:col>
      <xdr:colOff>0</xdr:colOff>
      <xdr:row>4</xdr:row>
      <xdr:rowOff>295275</xdr:rowOff>
    </xdr:to>
    <xdr:pic>
      <xdr:nvPicPr>
        <xdr:cNvPr id="11" name="Picture 16"/>
        <xdr:cNvPicPr preferRelativeResize="1">
          <a:picLocks noChangeAspect="1"/>
        </xdr:cNvPicPr>
      </xdr:nvPicPr>
      <xdr:blipFill>
        <a:blip r:embed="rId1"/>
        <a:stretch>
          <a:fillRect/>
        </a:stretch>
      </xdr:blipFill>
      <xdr:spPr>
        <a:xfrm>
          <a:off x="5724525" y="1038225"/>
          <a:ext cx="25431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TextBox 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Box 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3" name="TextBox 4"/>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xtBox 5"/>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5" name="TextBox 6"/>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Box 7"/>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7" name="TextBox 8"/>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Box 9"/>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9" name="TextBox 1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Box 1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11" name="TextBox 13"/>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2" name="TextBox 14"/>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3</xdr:col>
      <xdr:colOff>190500</xdr:colOff>
      <xdr:row>3</xdr:row>
      <xdr:rowOff>142875</xdr:rowOff>
    </xdr:from>
    <xdr:to>
      <xdr:col>6</xdr:col>
      <xdr:colOff>447675</xdr:colOff>
      <xdr:row>4</xdr:row>
      <xdr:rowOff>304800</xdr:rowOff>
    </xdr:to>
    <xdr:pic>
      <xdr:nvPicPr>
        <xdr:cNvPr id="13" name="Picture 15"/>
        <xdr:cNvPicPr preferRelativeResize="1">
          <a:picLocks noChangeAspect="1"/>
        </xdr:cNvPicPr>
      </xdr:nvPicPr>
      <xdr:blipFill>
        <a:blip r:embed="rId1"/>
        <a:stretch>
          <a:fillRect/>
        </a:stretch>
      </xdr:blipFill>
      <xdr:spPr>
        <a:xfrm>
          <a:off x="4524375" y="1162050"/>
          <a:ext cx="25431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Box 2"/>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Box 4"/>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Box 5"/>
        <xdr:cNvSpPr txBox="1">
          <a:spLocks noChangeArrowheads="1"/>
        </xdr:cNvSpPr>
      </xdr:nvSpPr>
      <xdr:spPr>
        <a:xfrm>
          <a:off x="19050" y="0"/>
          <a:ext cx="5800725"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Box 6"/>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Box 8"/>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Box 9"/>
        <xdr:cNvSpPr txBox="1">
          <a:spLocks noChangeArrowheads="1"/>
        </xdr:cNvSpPr>
      </xdr:nvSpPr>
      <xdr:spPr>
        <a:xfrm>
          <a:off x="19050" y="0"/>
          <a:ext cx="58007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Box 10"/>
        <xdr:cNvSpPr txBox="1">
          <a:spLocks noChangeArrowheads="1"/>
        </xdr:cNvSpPr>
      </xdr:nvSpPr>
      <xdr:spPr>
        <a:xfrm>
          <a:off x="5819775" y="0"/>
          <a:ext cx="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xdr:nvSpPr>
        <xdr:cNvPr id="11" name="TextBox 11"/>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Box 12"/>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Box 14"/>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Box 16"/>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Box 18"/>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Box 19"/>
        <xdr:cNvSpPr txBox="1">
          <a:spLocks noChangeArrowheads="1"/>
        </xdr:cNvSpPr>
      </xdr:nvSpPr>
      <xdr:spPr>
        <a:xfrm>
          <a:off x="19050" y="0"/>
          <a:ext cx="58007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Box 21"/>
        <xdr:cNvSpPr txBox="1">
          <a:spLocks noChangeArrowheads="1"/>
        </xdr:cNvSpPr>
      </xdr:nvSpPr>
      <xdr:spPr>
        <a:xfrm>
          <a:off x="19050" y="0"/>
          <a:ext cx="5800725"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Box 22"/>
        <xdr:cNvSpPr txBox="1">
          <a:spLocks noChangeArrowheads="1"/>
        </xdr:cNvSpPr>
      </xdr:nvSpPr>
      <xdr:spPr>
        <a:xfrm>
          <a:off x="5819775" y="0"/>
          <a:ext cx="0"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Box 24"/>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Box 28"/>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Box 32"/>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Box 36"/>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Box 40"/>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Box 44"/>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Box 48"/>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Box 52"/>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Box 56"/>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44</xdr:col>
      <xdr:colOff>104775</xdr:colOff>
      <xdr:row>0</xdr:row>
      <xdr:rowOff>0</xdr:rowOff>
    </xdr:to>
    <xdr:sp>
      <xdr:nvSpPr>
        <xdr:cNvPr id="39" name="TextBox 57"/>
        <xdr:cNvSpPr txBox="1">
          <a:spLocks noChangeArrowheads="1"/>
        </xdr:cNvSpPr>
      </xdr:nvSpPr>
      <xdr:spPr>
        <a:xfrm>
          <a:off x="19050" y="0"/>
          <a:ext cx="143732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Box 60"/>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Box 64"/>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Box 68"/>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57912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Box 72"/>
        <xdr:cNvSpPr txBox="1">
          <a:spLocks noChangeArrowheads="1"/>
        </xdr:cNvSpPr>
      </xdr:nvSpPr>
      <xdr:spPr>
        <a:xfrm>
          <a:off x="5819775" y="0"/>
          <a:ext cx="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22</xdr:col>
      <xdr:colOff>0</xdr:colOff>
      <xdr:row>0</xdr:row>
      <xdr:rowOff>0</xdr:rowOff>
    </xdr:to>
    <xdr:sp>
      <xdr:nvSpPr>
        <xdr:cNvPr id="48" name="TextBox 73"/>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Box 74"/>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50" name="TextBox 77"/>
        <xdr:cNvSpPr txBox="1">
          <a:spLocks noChangeArrowheads="1"/>
        </xdr:cNvSpPr>
      </xdr:nvSpPr>
      <xdr:spPr>
        <a:xfrm>
          <a:off x="0" y="0"/>
          <a:ext cx="5819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Box 78"/>
        <xdr:cNvSpPr txBox="1">
          <a:spLocks noChangeArrowheads="1"/>
        </xdr:cNvSpPr>
      </xdr:nvSpPr>
      <xdr:spPr>
        <a:xfrm>
          <a:off x="58197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180975</xdr:colOff>
      <xdr:row>3</xdr:row>
      <xdr:rowOff>133350</xdr:rowOff>
    </xdr:from>
    <xdr:to>
      <xdr:col>8</xdr:col>
      <xdr:colOff>447675</xdr:colOff>
      <xdr:row>4</xdr:row>
      <xdr:rowOff>295275</xdr:rowOff>
    </xdr:to>
    <xdr:pic>
      <xdr:nvPicPr>
        <xdr:cNvPr id="52" name="Picture 81"/>
        <xdr:cNvPicPr preferRelativeResize="1">
          <a:picLocks noChangeAspect="1"/>
        </xdr:cNvPicPr>
      </xdr:nvPicPr>
      <xdr:blipFill>
        <a:blip r:embed="rId1"/>
        <a:stretch>
          <a:fillRect/>
        </a:stretch>
      </xdr:blipFill>
      <xdr:spPr>
        <a:xfrm>
          <a:off x="3152775" y="1171575"/>
          <a:ext cx="2543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167"/>
  <sheetViews>
    <sheetView tabSelected="1" zoomScale="85" zoomScaleNormal="85" workbookViewId="0" topLeftCell="A1">
      <pane xSplit="10" ySplit="10" topLeftCell="K11" activePane="bottomRight" state="frozen"/>
      <selection pane="topLeft" activeCell="A1" sqref="A1"/>
      <selection pane="topRight" activeCell="J1" sqref="J1"/>
      <selection pane="bottomLeft" activeCell="A12" sqref="A12"/>
      <selection pane="bottomRight" activeCell="B11" sqref="B11"/>
    </sheetView>
  </sheetViews>
  <sheetFormatPr defaultColWidth="9.140625" defaultRowHeight="12.75"/>
  <cols>
    <col min="1" max="1" width="4.7109375" style="143" customWidth="1"/>
    <col min="2" max="2" width="2.140625" style="144" bestFit="1" customWidth="1"/>
    <col min="3" max="3" width="2.00390625" style="144" bestFit="1" customWidth="1"/>
    <col min="4" max="4" width="1.8515625" style="145" bestFit="1" customWidth="1"/>
    <col min="5" max="5" width="46.140625" style="146" customWidth="1"/>
    <col min="6" max="6" width="8.140625" style="147" bestFit="1" customWidth="1"/>
    <col min="7" max="7" width="19.8515625" style="147" bestFit="1" customWidth="1"/>
    <col min="8" max="8" width="6.00390625" style="147" bestFit="1" customWidth="1"/>
    <col min="9" max="9" width="8.140625" style="148" customWidth="1"/>
    <col min="10" max="10" width="8.140625" style="149" customWidth="1"/>
    <col min="11" max="11" width="9.28125" style="148" hidden="1" customWidth="1"/>
    <col min="12" max="12" width="6.421875" style="149" hidden="1" customWidth="1"/>
    <col min="13" max="13" width="10.28125" style="148" hidden="1" customWidth="1"/>
    <col min="14" max="14" width="6.7109375" style="149" hidden="1" customWidth="1"/>
    <col min="15" max="15" width="10.28125" style="150" hidden="1" customWidth="1"/>
    <col min="16" max="16" width="6.7109375" style="151" hidden="1" customWidth="1"/>
    <col min="17" max="17" width="10.28125" style="154" hidden="1" customWidth="1"/>
    <col min="18" max="18" width="6.7109375" style="152" hidden="1" customWidth="1"/>
    <col min="19" max="19" width="10.57421875" style="152" hidden="1" customWidth="1"/>
    <col min="20" max="20" width="7.7109375" style="154" hidden="1" customWidth="1"/>
    <col min="21" max="21" width="10.28125" style="154" hidden="1" customWidth="1"/>
    <col min="22" max="22" width="7.421875" style="155" hidden="1" customWidth="1"/>
    <col min="23" max="23" width="10.28125" style="154" bestFit="1" customWidth="1"/>
    <col min="24" max="24" width="6.7109375" style="306" bestFit="1" customWidth="1"/>
    <col min="25" max="25" width="11.7109375" style="314" bestFit="1" customWidth="1"/>
    <col min="26" max="26" width="7.7109375" style="305" bestFit="1" customWidth="1"/>
    <col min="27" max="28" width="9.00390625" style="328" customWidth="1"/>
    <col min="29" max="29" width="6.421875" style="158" bestFit="1" customWidth="1"/>
    <col min="30" max="30" width="7.7109375" style="315" bestFit="1" customWidth="1"/>
    <col min="31" max="31" width="11.7109375" style="315" bestFit="1" customWidth="1"/>
    <col min="32" max="32" width="7.421875" style="315" bestFit="1" customWidth="1"/>
    <col min="33" max="33" width="12.7109375" style="315" bestFit="1" customWidth="1"/>
    <col min="34" max="34" width="9.28125" style="158" bestFit="1" customWidth="1"/>
    <col min="35" max="35" width="9.421875" style="315" bestFit="1" customWidth="1"/>
    <col min="36" max="36" width="4.7109375" style="146" bestFit="1" customWidth="1"/>
    <col min="37" max="37" width="7.28125" style="146" bestFit="1" customWidth="1"/>
    <col min="38" max="38" width="8.421875" style="146" bestFit="1" customWidth="1"/>
    <col min="39" max="41" width="6.8515625" style="146" customWidth="1"/>
    <col min="42" max="16384" width="4.421875" style="146" customWidth="1"/>
  </cols>
  <sheetData>
    <row r="1" spans="1:36" s="53" customFormat="1" ht="49.5">
      <c r="A1" s="983" t="s">
        <v>378</v>
      </c>
      <c r="B1" s="984"/>
      <c r="C1" s="984"/>
      <c r="D1" s="984"/>
      <c r="E1" s="984"/>
      <c r="F1" s="984"/>
      <c r="G1" s="984"/>
      <c r="H1" s="984"/>
      <c r="I1" s="984"/>
      <c r="J1" s="984"/>
      <c r="K1" s="307"/>
      <c r="L1" s="299"/>
      <c r="M1" s="307"/>
      <c r="N1" s="299"/>
      <c r="O1" s="307"/>
      <c r="P1" s="299"/>
      <c r="Q1" s="307"/>
      <c r="R1" s="299"/>
      <c r="S1" s="299"/>
      <c r="T1" s="307"/>
      <c r="U1" s="307"/>
      <c r="V1" s="321"/>
      <c r="W1" s="307"/>
      <c r="X1" s="299"/>
      <c r="Y1" s="980"/>
      <c r="Z1" s="980"/>
      <c r="AA1" s="980"/>
      <c r="AB1" s="980"/>
      <c r="AC1" s="980"/>
      <c r="AD1" s="980"/>
      <c r="AE1" s="980"/>
      <c r="AF1" s="980"/>
      <c r="AG1" s="980"/>
      <c r="AH1" s="980"/>
      <c r="AI1" s="980"/>
      <c r="AJ1" s="980"/>
    </row>
    <row r="2" spans="1:36" s="53" customFormat="1" ht="38.25" customHeight="1">
      <c r="A2" s="985" t="s">
        <v>81</v>
      </c>
      <c r="B2" s="986"/>
      <c r="C2" s="986"/>
      <c r="D2" s="986"/>
      <c r="E2" s="986"/>
      <c r="F2" s="986"/>
      <c r="G2" s="986"/>
      <c r="H2" s="986"/>
      <c r="I2" s="986"/>
      <c r="J2" s="986"/>
      <c r="K2" s="308"/>
      <c r="L2" s="300"/>
      <c r="M2" s="308"/>
      <c r="N2" s="300"/>
      <c r="O2" s="308"/>
      <c r="P2" s="300"/>
      <c r="Q2" s="308"/>
      <c r="R2" s="300"/>
      <c r="S2" s="300"/>
      <c r="T2" s="308"/>
      <c r="U2" s="308"/>
      <c r="V2" s="322"/>
      <c r="W2" s="308"/>
      <c r="X2" s="300"/>
      <c r="Y2" s="824"/>
      <c r="Z2" s="825"/>
      <c r="AA2" s="826"/>
      <c r="AB2" s="826"/>
      <c r="AC2" s="825"/>
      <c r="AD2" s="824"/>
      <c r="AE2" s="824"/>
      <c r="AF2" s="824"/>
      <c r="AG2" s="824"/>
      <c r="AH2" s="825"/>
      <c r="AI2" s="824"/>
      <c r="AJ2" s="161"/>
    </row>
    <row r="3" spans="1:36" s="53" customFormat="1" ht="27" thickBot="1">
      <c r="A3" s="987" t="s">
        <v>133</v>
      </c>
      <c r="B3" s="988"/>
      <c r="C3" s="988"/>
      <c r="D3" s="988"/>
      <c r="E3" s="988"/>
      <c r="F3" s="988"/>
      <c r="G3" s="988"/>
      <c r="H3" s="988"/>
      <c r="I3" s="988"/>
      <c r="J3" s="988"/>
      <c r="K3" s="309"/>
      <c r="L3" s="301"/>
      <c r="M3" s="309"/>
      <c r="N3" s="301"/>
      <c r="O3" s="309"/>
      <c r="P3" s="301"/>
      <c r="Q3" s="309"/>
      <c r="R3" s="301"/>
      <c r="S3" s="301"/>
      <c r="T3" s="309"/>
      <c r="U3" s="309"/>
      <c r="V3" s="323"/>
      <c r="W3" s="309"/>
      <c r="X3" s="301"/>
      <c r="Y3" s="819"/>
      <c r="Z3" s="820"/>
      <c r="AA3" s="819"/>
      <c r="AB3" s="819"/>
      <c r="AC3" s="821"/>
      <c r="AD3" s="819"/>
      <c r="AE3" s="819"/>
      <c r="AF3" s="819"/>
      <c r="AG3" s="820"/>
      <c r="AH3" s="819"/>
      <c r="AI3" s="822"/>
      <c r="AJ3" s="821"/>
    </row>
    <row r="4" spans="1:36" s="53" customFormat="1" ht="33" thickBot="1">
      <c r="A4" s="989" t="s">
        <v>458</v>
      </c>
      <c r="B4" s="990"/>
      <c r="C4" s="990"/>
      <c r="D4" s="990"/>
      <c r="E4" s="990"/>
      <c r="F4" s="990"/>
      <c r="G4" s="56"/>
      <c r="H4" s="56"/>
      <c r="I4" s="56"/>
      <c r="J4" s="56"/>
      <c r="K4" s="310"/>
      <c r="L4" s="302"/>
      <c r="M4" s="310"/>
      <c r="N4" s="302"/>
      <c r="O4" s="310"/>
      <c r="P4" s="302"/>
      <c r="Q4" s="310"/>
      <c r="R4" s="302"/>
      <c r="S4" s="302"/>
      <c r="T4" s="310"/>
      <c r="U4" s="310"/>
      <c r="V4" s="324"/>
      <c r="W4" s="310"/>
      <c r="X4" s="302"/>
      <c r="Y4" s="981" t="s">
        <v>134</v>
      </c>
      <c r="Z4" s="982"/>
      <c r="AA4" s="982"/>
      <c r="AB4" s="982"/>
      <c r="AC4" s="982"/>
      <c r="AD4" s="169"/>
      <c r="AE4" s="169"/>
      <c r="AF4" s="169"/>
      <c r="AG4" s="169"/>
      <c r="AH4" s="823"/>
      <c r="AI4" s="169"/>
      <c r="AJ4" s="169"/>
    </row>
    <row r="5" spans="1:36" s="53" customFormat="1" ht="33" thickBot="1">
      <c r="A5" s="978" t="s">
        <v>459</v>
      </c>
      <c r="B5" s="979"/>
      <c r="C5" s="979"/>
      <c r="D5" s="979"/>
      <c r="E5" s="979"/>
      <c r="F5" s="979"/>
      <c r="G5" s="57"/>
      <c r="H5" s="57"/>
      <c r="I5" s="57"/>
      <c r="J5" s="57"/>
      <c r="K5" s="311"/>
      <c r="L5" s="303"/>
      <c r="M5" s="311"/>
      <c r="N5" s="303"/>
      <c r="O5" s="311"/>
      <c r="P5" s="303"/>
      <c r="Q5" s="311"/>
      <c r="R5" s="303"/>
      <c r="S5" s="303"/>
      <c r="T5" s="311"/>
      <c r="U5" s="311"/>
      <c r="V5" s="325"/>
      <c r="W5" s="311"/>
      <c r="X5" s="303"/>
      <c r="Y5" s="991" t="s">
        <v>397</v>
      </c>
      <c r="Z5" s="992"/>
      <c r="AA5" s="992"/>
      <c r="AB5" s="992"/>
      <c r="AC5" s="992"/>
      <c r="AD5" s="992"/>
      <c r="AE5" s="992"/>
      <c r="AF5" s="992"/>
      <c r="AG5" s="992"/>
      <c r="AH5" s="992"/>
      <c r="AI5" s="992"/>
      <c r="AJ5" s="993"/>
    </row>
    <row r="6" spans="1:36" s="60" customFormat="1" ht="15.75" thickBot="1">
      <c r="A6" s="345"/>
      <c r="B6" s="346"/>
      <c r="C6" s="346"/>
      <c r="D6" s="346"/>
      <c r="E6" s="1003" t="s">
        <v>439</v>
      </c>
      <c r="F6" s="1003"/>
      <c r="G6" s="1003"/>
      <c r="H6" s="1003"/>
      <c r="I6" s="1003" t="s">
        <v>115</v>
      </c>
      <c r="J6" s="1003"/>
      <c r="K6" s="1003" t="s">
        <v>372</v>
      </c>
      <c r="L6" s="1003"/>
      <c r="M6" s="1003"/>
      <c r="N6" s="1003"/>
      <c r="O6" s="1003"/>
      <c r="P6" s="1003"/>
      <c r="Q6" s="1003"/>
      <c r="R6" s="1003"/>
      <c r="S6" s="1003"/>
      <c r="T6" s="1003"/>
      <c r="U6" s="1003"/>
      <c r="V6" s="1003"/>
      <c r="W6" s="1003" t="s">
        <v>440</v>
      </c>
      <c r="X6" s="1003"/>
      <c r="Y6" s="1003" t="s">
        <v>118</v>
      </c>
      <c r="Z6" s="1003"/>
      <c r="AA6" s="1003" t="s">
        <v>117</v>
      </c>
      <c r="AB6" s="1003"/>
      <c r="AC6" s="1003" t="s">
        <v>122</v>
      </c>
      <c r="AD6" s="1003"/>
      <c r="AE6" s="346"/>
      <c r="AF6" s="346"/>
      <c r="AG6" s="1003" t="s">
        <v>371</v>
      </c>
      <c r="AH6" s="1003"/>
      <c r="AI6" s="1003"/>
      <c r="AJ6" s="1004"/>
    </row>
    <row r="7" spans="1:36" s="64" customFormat="1" ht="15">
      <c r="A7" s="347"/>
      <c r="B7" s="348"/>
      <c r="C7" s="348"/>
      <c r="D7" s="348"/>
      <c r="E7" s="349"/>
      <c r="F7" s="350" t="s">
        <v>85</v>
      </c>
      <c r="G7" s="349"/>
      <c r="H7" s="349" t="s">
        <v>88</v>
      </c>
      <c r="I7" s="349" t="s">
        <v>88</v>
      </c>
      <c r="J7" s="349" t="s">
        <v>90</v>
      </c>
      <c r="K7" s="973" t="s">
        <v>2</v>
      </c>
      <c r="L7" s="974"/>
      <c r="M7" s="973" t="s">
        <v>3</v>
      </c>
      <c r="N7" s="974"/>
      <c r="O7" s="973" t="s">
        <v>4</v>
      </c>
      <c r="P7" s="974"/>
      <c r="Q7" s="976" t="s">
        <v>11</v>
      </c>
      <c r="R7" s="976"/>
      <c r="S7" s="976" t="s">
        <v>100</v>
      </c>
      <c r="T7" s="976"/>
      <c r="U7" s="976" t="s">
        <v>0</v>
      </c>
      <c r="V7" s="976"/>
      <c r="W7" s="1006" t="s">
        <v>441</v>
      </c>
      <c r="X7" s="1006"/>
      <c r="Y7" s="1005"/>
      <c r="Z7" s="1005"/>
      <c r="AA7" s="976" t="s">
        <v>111</v>
      </c>
      <c r="AB7" s="976"/>
      <c r="AC7" s="976" t="s">
        <v>123</v>
      </c>
      <c r="AD7" s="976"/>
      <c r="AE7" s="976" t="s">
        <v>429</v>
      </c>
      <c r="AF7" s="976"/>
      <c r="AG7" s="976"/>
      <c r="AH7" s="976"/>
      <c r="AI7" s="351" t="s">
        <v>100</v>
      </c>
      <c r="AJ7" s="352"/>
    </row>
    <row r="8" spans="1:36" s="64" customFormat="1" ht="13.5" thickBot="1">
      <c r="A8" s="353"/>
      <c r="B8" s="354"/>
      <c r="C8" s="354"/>
      <c r="D8" s="354"/>
      <c r="E8" s="355" t="s">
        <v>9</v>
      </c>
      <c r="F8" s="356" t="s">
        <v>86</v>
      </c>
      <c r="G8" s="357" t="s">
        <v>1</v>
      </c>
      <c r="H8" s="357" t="s">
        <v>87</v>
      </c>
      <c r="I8" s="357" t="s">
        <v>89</v>
      </c>
      <c r="J8" s="357" t="s">
        <v>85</v>
      </c>
      <c r="K8" s="358" t="s">
        <v>7</v>
      </c>
      <c r="L8" s="359" t="s">
        <v>6</v>
      </c>
      <c r="M8" s="358" t="s">
        <v>7</v>
      </c>
      <c r="N8" s="359" t="s">
        <v>6</v>
      </c>
      <c r="O8" s="358" t="s">
        <v>7</v>
      </c>
      <c r="P8" s="359" t="s">
        <v>6</v>
      </c>
      <c r="Q8" s="358" t="s">
        <v>7</v>
      </c>
      <c r="R8" s="359" t="s">
        <v>6</v>
      </c>
      <c r="S8" s="359" t="s">
        <v>119</v>
      </c>
      <c r="T8" s="358" t="s">
        <v>101</v>
      </c>
      <c r="U8" s="358" t="s">
        <v>7</v>
      </c>
      <c r="V8" s="360" t="s">
        <v>5</v>
      </c>
      <c r="W8" s="358" t="s">
        <v>7</v>
      </c>
      <c r="X8" s="359" t="s">
        <v>6</v>
      </c>
      <c r="Y8" s="361" t="s">
        <v>7</v>
      </c>
      <c r="Z8" s="362" t="s">
        <v>6</v>
      </c>
      <c r="AA8" s="360" t="s">
        <v>6</v>
      </c>
      <c r="AB8" s="360" t="s">
        <v>6</v>
      </c>
      <c r="AC8" s="359" t="s">
        <v>6</v>
      </c>
      <c r="AD8" s="358" t="s">
        <v>101</v>
      </c>
      <c r="AE8" s="358" t="s">
        <v>7</v>
      </c>
      <c r="AF8" s="360" t="s">
        <v>5</v>
      </c>
      <c r="AG8" s="358" t="s">
        <v>7</v>
      </c>
      <c r="AH8" s="359" t="s">
        <v>6</v>
      </c>
      <c r="AI8" s="358" t="s">
        <v>101</v>
      </c>
      <c r="AJ8" s="363"/>
    </row>
    <row r="9" spans="1:36" s="78" customFormat="1" ht="12.75">
      <c r="A9" s="364"/>
      <c r="B9" s="365"/>
      <c r="C9" s="365"/>
      <c r="D9" s="365"/>
      <c r="E9" s="365"/>
      <c r="F9" s="366" t="s">
        <v>92</v>
      </c>
      <c r="G9" s="365"/>
      <c r="H9" s="365" t="s">
        <v>95</v>
      </c>
      <c r="I9" s="365" t="s">
        <v>97</v>
      </c>
      <c r="J9" s="365" t="s">
        <v>98</v>
      </c>
      <c r="K9" s="975" t="s">
        <v>102</v>
      </c>
      <c r="L9" s="972"/>
      <c r="M9" s="975" t="s">
        <v>103</v>
      </c>
      <c r="N9" s="972"/>
      <c r="O9" s="975" t="s">
        <v>104</v>
      </c>
      <c r="P9" s="972"/>
      <c r="Q9" s="977" t="s">
        <v>120</v>
      </c>
      <c r="R9" s="977"/>
      <c r="S9" s="977" t="s">
        <v>106</v>
      </c>
      <c r="T9" s="977"/>
      <c r="U9" s="977" t="s">
        <v>121</v>
      </c>
      <c r="V9" s="977"/>
      <c r="W9" s="367"/>
      <c r="X9" s="368"/>
      <c r="Y9" s="369"/>
      <c r="Z9" s="370"/>
      <c r="AA9" s="977" t="s">
        <v>110</v>
      </c>
      <c r="AB9" s="977"/>
      <c r="AC9" s="977" t="s">
        <v>124</v>
      </c>
      <c r="AD9" s="977"/>
      <c r="AE9" s="977" t="s">
        <v>434</v>
      </c>
      <c r="AF9" s="977"/>
      <c r="AG9" s="367"/>
      <c r="AH9" s="368"/>
      <c r="AI9" s="371" t="s">
        <v>106</v>
      </c>
      <c r="AJ9" s="372"/>
    </row>
    <row r="10" spans="1:36" s="78" customFormat="1" ht="13.5" thickBot="1">
      <c r="A10" s="373"/>
      <c r="B10" s="1056"/>
      <c r="C10" s="1056"/>
      <c r="D10" s="1057"/>
      <c r="E10" s="1056" t="s">
        <v>91</v>
      </c>
      <c r="F10" s="1058" t="s">
        <v>93</v>
      </c>
      <c r="G10" s="1057" t="s">
        <v>94</v>
      </c>
      <c r="H10" s="1057" t="s">
        <v>96</v>
      </c>
      <c r="I10" s="1057" t="s">
        <v>96</v>
      </c>
      <c r="J10" s="1057" t="s">
        <v>99</v>
      </c>
      <c r="K10" s="1059" t="s">
        <v>108</v>
      </c>
      <c r="L10" s="1060" t="s">
        <v>105</v>
      </c>
      <c r="M10" s="1059" t="s">
        <v>108</v>
      </c>
      <c r="N10" s="1060" t="s">
        <v>105</v>
      </c>
      <c r="O10" s="1059" t="s">
        <v>108</v>
      </c>
      <c r="P10" s="1060" t="s">
        <v>105</v>
      </c>
      <c r="Q10" s="1059" t="s">
        <v>108</v>
      </c>
      <c r="R10" s="1060" t="s">
        <v>105</v>
      </c>
      <c r="S10" s="1060" t="s">
        <v>105</v>
      </c>
      <c r="T10" s="1059" t="s">
        <v>107</v>
      </c>
      <c r="U10" s="1059" t="s">
        <v>108</v>
      </c>
      <c r="V10" s="1061" t="s">
        <v>109</v>
      </c>
      <c r="W10" s="1059" t="s">
        <v>108</v>
      </c>
      <c r="X10" s="1060" t="s">
        <v>105</v>
      </c>
      <c r="Y10" s="1062" t="s">
        <v>108</v>
      </c>
      <c r="Z10" s="1063" t="s">
        <v>105</v>
      </c>
      <c r="AA10" s="1061" t="s">
        <v>105</v>
      </c>
      <c r="AB10" s="1061" t="s">
        <v>105</v>
      </c>
      <c r="AC10" s="1060" t="s">
        <v>105</v>
      </c>
      <c r="AD10" s="1059" t="s">
        <v>107</v>
      </c>
      <c r="AE10" s="1059" t="s">
        <v>108</v>
      </c>
      <c r="AF10" s="1061" t="s">
        <v>109</v>
      </c>
      <c r="AG10" s="1059" t="s">
        <v>105</v>
      </c>
      <c r="AH10" s="1060" t="s">
        <v>107</v>
      </c>
      <c r="AI10" s="1059" t="s">
        <v>107</v>
      </c>
      <c r="AJ10" s="374"/>
    </row>
    <row r="11" spans="1:36" s="90" customFormat="1" ht="9.75" customHeight="1">
      <c r="A11" s="338">
        <v>1</v>
      </c>
      <c r="B11" s="872"/>
      <c r="C11" s="873"/>
      <c r="D11" s="1083"/>
      <c r="E11" s="935" t="s">
        <v>443</v>
      </c>
      <c r="F11" s="1084">
        <v>40795</v>
      </c>
      <c r="G11" s="935" t="s">
        <v>10</v>
      </c>
      <c r="H11" s="1085">
        <v>142</v>
      </c>
      <c r="I11" s="1086">
        <v>132</v>
      </c>
      <c r="J11" s="1086">
        <v>3</v>
      </c>
      <c r="K11" s="1087">
        <v>80778</v>
      </c>
      <c r="L11" s="1088">
        <v>7283</v>
      </c>
      <c r="M11" s="1087">
        <v>142586</v>
      </c>
      <c r="N11" s="1088">
        <v>12579</v>
      </c>
      <c r="O11" s="1087">
        <v>158615</v>
      </c>
      <c r="P11" s="1088">
        <v>14080</v>
      </c>
      <c r="Q11" s="875">
        <f>+K11+M11+O11</f>
        <v>381979</v>
      </c>
      <c r="R11" s="923">
        <f>+L11+N11+P11</f>
        <v>33942</v>
      </c>
      <c r="S11" s="628">
        <f>IF(Q11&lt;&gt;0,R11/I11,"")</f>
        <v>257.1363636363636</v>
      </c>
      <c r="T11" s="874">
        <f>IF(Q11&lt;&gt;0,Q11/R11,"")</f>
        <v>11.253874256083908</v>
      </c>
      <c r="U11" s="875">
        <v>585581</v>
      </c>
      <c r="V11" s="876">
        <f>IF(U11&lt;&gt;0,-(U11-Q11)/U11,"")</f>
        <v>-0.34769229192887063</v>
      </c>
      <c r="W11" s="627">
        <f>Y11-Q11</f>
        <v>214218</v>
      </c>
      <c r="X11" s="628">
        <f>Z11-R11</f>
        <v>21753</v>
      </c>
      <c r="Y11" s="1102">
        <v>596197</v>
      </c>
      <c r="Z11" s="1103">
        <v>55695</v>
      </c>
      <c r="AA11" s="969">
        <f>R11*1/Z11</f>
        <v>0.6094263398868839</v>
      </c>
      <c r="AB11" s="969">
        <f>X11*1/Z11</f>
        <v>0.39057366011311606</v>
      </c>
      <c r="AC11" s="1090">
        <f>Z11/I11</f>
        <v>421.9318181818182</v>
      </c>
      <c r="AD11" s="1091">
        <f>Y11/Z11</f>
        <v>10.704677260077206</v>
      </c>
      <c r="AE11" s="1092">
        <v>962769</v>
      </c>
      <c r="AF11" s="1093">
        <f>IF(AE11&lt;&gt;0,-(AE11-Y11)/AE11,"")</f>
        <v>-0.3807476144329533</v>
      </c>
      <c r="AG11" s="1094">
        <v>3008294</v>
      </c>
      <c r="AH11" s="1095">
        <v>281318</v>
      </c>
      <c r="AI11" s="1096">
        <f>+AG11/AH11</f>
        <v>10.69357097661721</v>
      </c>
      <c r="AJ11" s="655">
        <v>1</v>
      </c>
    </row>
    <row r="12" spans="1:36" s="90" customFormat="1" ht="9.75" customHeight="1">
      <c r="A12" s="338">
        <v>2</v>
      </c>
      <c r="B12" s="677"/>
      <c r="C12" s="880"/>
      <c r="D12" s="1041"/>
      <c r="E12" s="24" t="s">
        <v>452</v>
      </c>
      <c r="F12" s="2">
        <v>40802</v>
      </c>
      <c r="G12" s="582" t="s">
        <v>10</v>
      </c>
      <c r="H12" s="5">
        <v>74</v>
      </c>
      <c r="I12" s="3">
        <v>73</v>
      </c>
      <c r="J12" s="3">
        <v>1</v>
      </c>
      <c r="K12" s="10">
        <v>58225</v>
      </c>
      <c r="L12" s="11">
        <v>4899</v>
      </c>
      <c r="M12" s="10">
        <v>91801</v>
      </c>
      <c r="N12" s="11">
        <v>7664</v>
      </c>
      <c r="O12" s="10">
        <v>96024</v>
      </c>
      <c r="P12" s="11">
        <v>8011</v>
      </c>
      <c r="Q12" s="34">
        <f>SUM(K12+M12+O12)</f>
        <v>246050</v>
      </c>
      <c r="R12" s="896">
        <f>SUM(L12+N12+P12)</f>
        <v>20574</v>
      </c>
      <c r="S12" s="245">
        <f>IF(Q12&lt;&gt;0,R12/I12,"")</f>
        <v>281.83561643835617</v>
      </c>
      <c r="T12" s="221">
        <f>+Q12/R12</f>
        <v>11.959268980266355</v>
      </c>
      <c r="U12" s="557">
        <v>138053</v>
      </c>
      <c r="V12" s="883"/>
      <c r="W12" s="318">
        <f>Y12-Q12</f>
        <v>142946</v>
      </c>
      <c r="X12" s="245">
        <f>Z12-R12</f>
        <v>15154</v>
      </c>
      <c r="Y12" s="1104">
        <v>388996</v>
      </c>
      <c r="Z12" s="1105">
        <v>35728</v>
      </c>
      <c r="AA12" s="970">
        <f>R12*1/Z12</f>
        <v>0.5758508732646663</v>
      </c>
      <c r="AB12" s="970">
        <f>X12*1/Z12</f>
        <v>0.4241491267353336</v>
      </c>
      <c r="AC12" s="94">
        <f>Z12/I12</f>
        <v>489.4246575342466</v>
      </c>
      <c r="AD12" s="212">
        <f>Y12/Z12</f>
        <v>10.887707120465741</v>
      </c>
      <c r="AE12" s="96">
        <v>132077</v>
      </c>
      <c r="AF12" s="1097">
        <f>IF(AE12&lt;&gt;0,-(AE12-Y12)/AE12,"")</f>
        <v>1.9452213481529714</v>
      </c>
      <c r="AG12" s="44">
        <v>521073</v>
      </c>
      <c r="AH12" s="46">
        <v>46693</v>
      </c>
      <c r="AI12" s="276">
        <f>+AG12/AH12</f>
        <v>11.159552823763732</v>
      </c>
      <c r="AJ12" s="655">
        <v>2</v>
      </c>
    </row>
    <row r="13" spans="1:36" s="90" customFormat="1" ht="9.75" customHeight="1">
      <c r="A13" s="338">
        <v>3</v>
      </c>
      <c r="B13" s="879" t="s">
        <v>442</v>
      </c>
      <c r="C13" s="880"/>
      <c r="D13" s="1044" t="s">
        <v>446</v>
      </c>
      <c r="E13" s="1078" t="s">
        <v>465</v>
      </c>
      <c r="F13" s="185">
        <v>40809</v>
      </c>
      <c r="G13" s="582" t="s">
        <v>31</v>
      </c>
      <c r="H13" s="33">
        <v>66</v>
      </c>
      <c r="I13" s="186">
        <v>78</v>
      </c>
      <c r="J13" s="186">
        <v>1</v>
      </c>
      <c r="K13" s="1045">
        <v>46442.5</v>
      </c>
      <c r="L13" s="1046">
        <v>3910</v>
      </c>
      <c r="M13" s="1045">
        <f>+M26+O55+O60+O63+O70+O80+O82</f>
        <v>7815</v>
      </c>
      <c r="N13" s="1046">
        <v>6503</v>
      </c>
      <c r="O13" s="1045">
        <v>99535.5</v>
      </c>
      <c r="P13" s="1046">
        <v>8160</v>
      </c>
      <c r="Q13" s="34">
        <f>SUM(K13+M13+O13)</f>
        <v>153793</v>
      </c>
      <c r="R13" s="896">
        <f>SUM(L13+N13+P13)</f>
        <v>18573</v>
      </c>
      <c r="S13" s="1047">
        <f>IF(Q13&lt;&gt;0,R13/I13,"")</f>
        <v>238.1153846153846</v>
      </c>
      <c r="T13" s="221">
        <f>IF(Q13&lt;&gt;0,Q13/R13,"")</f>
        <v>8.280460884079039</v>
      </c>
      <c r="U13" s="34"/>
      <c r="V13" s="883"/>
      <c r="W13" s="318">
        <f>Y13-Q13</f>
        <v>228497</v>
      </c>
      <c r="X13" s="245">
        <f>Z13-R13</f>
        <v>16290</v>
      </c>
      <c r="Y13" s="1106">
        <v>382290</v>
      </c>
      <c r="Z13" s="1107">
        <v>34863</v>
      </c>
      <c r="AA13" s="970">
        <f>R13*1/Z13</f>
        <v>0.5327424490147148</v>
      </c>
      <c r="AB13" s="970">
        <f>X13*1/Z13</f>
        <v>0.46725755098528526</v>
      </c>
      <c r="AC13" s="94">
        <f>Z13/I13</f>
        <v>446.96153846153845</v>
      </c>
      <c r="AD13" s="212">
        <f>Y13/Z13</f>
        <v>10.965493503140866</v>
      </c>
      <c r="AE13" s="96"/>
      <c r="AF13" s="1097"/>
      <c r="AG13" s="12">
        <f>382290</f>
        <v>382290</v>
      </c>
      <c r="AH13" s="13">
        <f>34863</f>
        <v>34863</v>
      </c>
      <c r="AI13" s="276">
        <f>+AG13/AH13</f>
        <v>10.965493503140866</v>
      </c>
      <c r="AJ13" s="655">
        <v>3</v>
      </c>
    </row>
    <row r="14" spans="1:36" s="90" customFormat="1" ht="9.75" customHeight="1">
      <c r="A14" s="338">
        <v>4</v>
      </c>
      <c r="B14" s="879" t="s">
        <v>442</v>
      </c>
      <c r="C14" s="880"/>
      <c r="D14" s="1041"/>
      <c r="E14" s="178" t="s">
        <v>464</v>
      </c>
      <c r="F14" s="32">
        <v>40809</v>
      </c>
      <c r="G14" s="588" t="s">
        <v>28</v>
      </c>
      <c r="H14" s="181">
        <v>51</v>
      </c>
      <c r="I14" s="240">
        <v>51</v>
      </c>
      <c r="J14" s="240">
        <v>1</v>
      </c>
      <c r="K14" s="1042">
        <v>56723.5</v>
      </c>
      <c r="L14" s="1043">
        <v>4676</v>
      </c>
      <c r="M14" s="1042">
        <v>88942</v>
      </c>
      <c r="N14" s="1043">
        <v>7256</v>
      </c>
      <c r="O14" s="1042">
        <v>100125.5</v>
      </c>
      <c r="P14" s="1043">
        <v>8183</v>
      </c>
      <c r="Q14" s="34">
        <f>+K14+M14+O14</f>
        <v>245791</v>
      </c>
      <c r="R14" s="896">
        <f>+L14+N14+P14</f>
        <v>20115</v>
      </c>
      <c r="S14" s="245">
        <f>IF(Q14&lt;&gt;0,R14/I14,"")</f>
        <v>394.4117647058824</v>
      </c>
      <c r="T14" s="221">
        <f>IF(Q14&lt;&gt;0,Q14/R14,"")</f>
        <v>12.219289087745464</v>
      </c>
      <c r="U14" s="557"/>
      <c r="V14" s="883"/>
      <c r="W14" s="318">
        <f>Y14-Q14</f>
        <v>119533</v>
      </c>
      <c r="X14" s="245">
        <f>Z14-R14</f>
        <v>12632</v>
      </c>
      <c r="Y14" s="1108">
        <v>365324</v>
      </c>
      <c r="Z14" s="1109">
        <v>32747</v>
      </c>
      <c r="AA14" s="970">
        <f>R14*1/Z14</f>
        <v>0.6142547408922955</v>
      </c>
      <c r="AB14" s="970">
        <f>X14*1/Z14</f>
        <v>0.3857452591077045</v>
      </c>
      <c r="AC14" s="94">
        <f>Z14/I14</f>
        <v>642.0980392156863</v>
      </c>
      <c r="AD14" s="212">
        <f>Y14/Z14</f>
        <v>11.15595321708859</v>
      </c>
      <c r="AE14" s="96"/>
      <c r="AF14" s="1097"/>
      <c r="AG14" s="654">
        <f>365324</f>
        <v>365324</v>
      </c>
      <c r="AH14" s="216">
        <f>32747</f>
        <v>32747</v>
      </c>
      <c r="AI14" s="276">
        <f>+AG14/AH14</f>
        <v>11.15595321708859</v>
      </c>
      <c r="AJ14" s="655">
        <v>4</v>
      </c>
    </row>
    <row r="15" spans="1:36" s="90" customFormat="1" ht="9.75" customHeight="1">
      <c r="A15" s="338">
        <v>5</v>
      </c>
      <c r="B15" s="879" t="s">
        <v>442</v>
      </c>
      <c r="C15" s="880"/>
      <c r="D15" s="1041"/>
      <c r="E15" s="899" t="s">
        <v>466</v>
      </c>
      <c r="F15" s="113">
        <v>40809</v>
      </c>
      <c r="G15" s="588" t="s">
        <v>23</v>
      </c>
      <c r="H15" s="181">
        <v>79</v>
      </c>
      <c r="I15" s="33">
        <v>118</v>
      </c>
      <c r="J15" s="33">
        <v>1</v>
      </c>
      <c r="K15" s="1042">
        <v>42648</v>
      </c>
      <c r="L15" s="1043">
        <v>3387</v>
      </c>
      <c r="M15" s="1042">
        <v>62812</v>
      </c>
      <c r="N15" s="1043">
        <v>5393</v>
      </c>
      <c r="O15" s="1042">
        <v>69255</v>
      </c>
      <c r="P15" s="1043">
        <v>6116</v>
      </c>
      <c r="Q15" s="34">
        <f>SUM(K15+M15+O15)</f>
        <v>174715</v>
      </c>
      <c r="R15" s="896">
        <f>SUM(L15+N15+P15)</f>
        <v>14896</v>
      </c>
      <c r="S15" s="245">
        <f>IF(Q15&lt;&gt;0,R15/I15,"")</f>
        <v>126.23728813559322</v>
      </c>
      <c r="T15" s="221">
        <f>IF(Q15&lt;&gt;0,Q15/R15,"")</f>
        <v>11.728987647690655</v>
      </c>
      <c r="U15" s="34"/>
      <c r="V15" s="883"/>
      <c r="W15" s="318"/>
      <c r="X15" s="245"/>
      <c r="Y15" s="1110">
        <v>270170</v>
      </c>
      <c r="Z15" s="1109">
        <v>24964</v>
      </c>
      <c r="AA15" s="970">
        <f>R15*1/Z15</f>
        <v>0.5966992469155584</v>
      </c>
      <c r="AB15" s="970">
        <f>X15*1/Z15</f>
        <v>0</v>
      </c>
      <c r="AC15" s="94">
        <f>Z15/I15</f>
        <v>211.5593220338983</v>
      </c>
      <c r="AD15" s="212">
        <f>Y15/Z15</f>
        <v>10.822384233295946</v>
      </c>
      <c r="AE15" s="96"/>
      <c r="AF15" s="1097"/>
      <c r="AG15" s="217">
        <v>270170</v>
      </c>
      <c r="AH15" s="216">
        <v>24964</v>
      </c>
      <c r="AI15" s="1098">
        <f>AG15/AH15</f>
        <v>10.822384233295946</v>
      </c>
      <c r="AJ15" s="655">
        <v>5</v>
      </c>
    </row>
    <row r="16" spans="1:36" s="90" customFormat="1" ht="9.75" customHeight="1">
      <c r="A16" s="338">
        <v>6</v>
      </c>
      <c r="B16" s="677"/>
      <c r="C16" s="887" t="s">
        <v>444</v>
      </c>
      <c r="D16" s="1041"/>
      <c r="E16" s="24" t="s">
        <v>396</v>
      </c>
      <c r="F16" s="2">
        <v>40760</v>
      </c>
      <c r="G16" s="588" t="s">
        <v>10</v>
      </c>
      <c r="H16" s="181">
        <v>184</v>
      </c>
      <c r="I16" s="3">
        <v>123</v>
      </c>
      <c r="J16" s="3">
        <v>8</v>
      </c>
      <c r="K16" s="10">
        <v>18656</v>
      </c>
      <c r="L16" s="11">
        <v>2467</v>
      </c>
      <c r="M16" s="10">
        <v>65812</v>
      </c>
      <c r="N16" s="11">
        <v>7976</v>
      </c>
      <c r="O16" s="10">
        <v>65892</v>
      </c>
      <c r="P16" s="11">
        <v>7764</v>
      </c>
      <c r="Q16" s="34">
        <f>SUM(K16+M16+O16)</f>
        <v>150360</v>
      </c>
      <c r="R16" s="896">
        <f>SUM(L16+N16+P16)</f>
        <v>18207</v>
      </c>
      <c r="S16" s="245">
        <f>IF(Q16&lt;&gt;0,R16/I16,"")</f>
        <v>148.02439024390245</v>
      </c>
      <c r="T16" s="221">
        <f>+Q16/R16</f>
        <v>8.25836216839677</v>
      </c>
      <c r="U16" s="34">
        <v>177825</v>
      </c>
      <c r="V16" s="883">
        <f>IF(U16&lt;&gt;0,-(U16-Q16)/U16,"")</f>
        <v>-0.15444959932517924</v>
      </c>
      <c r="W16" s="318">
        <f>Y16-Q16</f>
        <v>54657</v>
      </c>
      <c r="X16" s="245">
        <f>Z16-R16</f>
        <v>7894</v>
      </c>
      <c r="Y16" s="1104">
        <v>205017</v>
      </c>
      <c r="Z16" s="1105">
        <v>26101</v>
      </c>
      <c r="AA16" s="970">
        <f>R16*1/Z16</f>
        <v>0.6975594804796751</v>
      </c>
      <c r="AB16" s="970">
        <f>X16*1/Z16</f>
        <v>0.3024405195203249</v>
      </c>
      <c r="AC16" s="94">
        <f>Z16/I16</f>
        <v>212.20325203252034</v>
      </c>
      <c r="AD16" s="212">
        <f>Y16/Z16</f>
        <v>7.854756522738592</v>
      </c>
      <c r="AE16" s="96">
        <v>254180</v>
      </c>
      <c r="AF16" s="1097">
        <f>IF(AE16&lt;&gt;0,-(AE16-Y16)/AE16,"")</f>
        <v>-0.1934180502006452</v>
      </c>
      <c r="AG16" s="44">
        <f>10775246+204918+99</f>
        <v>10980263</v>
      </c>
      <c r="AH16" s="46">
        <f>1039444+26101</f>
        <v>1065545</v>
      </c>
      <c r="AI16" s="1098">
        <f>+AG16/AH16</f>
        <v>10.304832738176238</v>
      </c>
      <c r="AJ16" s="655">
        <v>6</v>
      </c>
    </row>
    <row r="17" spans="1:36" s="90" customFormat="1" ht="9.75" customHeight="1">
      <c r="A17" s="338">
        <v>7</v>
      </c>
      <c r="B17" s="907"/>
      <c r="C17" s="880"/>
      <c r="D17" s="1041"/>
      <c r="E17" s="881" t="s">
        <v>450</v>
      </c>
      <c r="F17" s="113">
        <v>40802</v>
      </c>
      <c r="G17" s="588" t="s">
        <v>23</v>
      </c>
      <c r="H17" s="181">
        <v>139</v>
      </c>
      <c r="I17" s="33">
        <v>138</v>
      </c>
      <c r="J17" s="33">
        <v>2</v>
      </c>
      <c r="K17" s="1042">
        <v>30005</v>
      </c>
      <c r="L17" s="1043">
        <v>2843</v>
      </c>
      <c r="M17" s="1042">
        <v>56879</v>
      </c>
      <c r="N17" s="1043">
        <v>5273</v>
      </c>
      <c r="O17" s="1042">
        <v>53407</v>
      </c>
      <c r="P17" s="1043">
        <v>5128</v>
      </c>
      <c r="Q17" s="34">
        <f>SUM(K17+M17+O17)</f>
        <v>140291</v>
      </c>
      <c r="R17" s="896">
        <f>SUM(L17+N17+P17)</f>
        <v>13244</v>
      </c>
      <c r="S17" s="1047">
        <f>IF(Q17&lt;&gt;0,R17/I17,"")</f>
        <v>95.97101449275362</v>
      </c>
      <c r="T17" s="221">
        <f>IF(Q17&lt;&gt;0,Q17/R17,"")</f>
        <v>10.592796738145575</v>
      </c>
      <c r="U17" s="34">
        <v>245994</v>
      </c>
      <c r="V17" s="883"/>
      <c r="W17" s="318">
        <f>Y17-Q17</f>
        <v>61938</v>
      </c>
      <c r="X17" s="245">
        <f>Z17-R17</f>
        <v>7326</v>
      </c>
      <c r="Y17" s="1110">
        <v>202229</v>
      </c>
      <c r="Z17" s="1109">
        <v>20570</v>
      </c>
      <c r="AA17" s="970">
        <f>R17*1/Z17</f>
        <v>0.6438502673796791</v>
      </c>
      <c r="AB17" s="970">
        <f>X17*1/Z17</f>
        <v>0.35614973262032085</v>
      </c>
      <c r="AC17" s="94">
        <f>Z17/I17</f>
        <v>149.05797101449275</v>
      </c>
      <c r="AD17" s="95">
        <f>Y17/Z17</f>
        <v>9.831259115216335</v>
      </c>
      <c r="AE17" s="96">
        <v>372540</v>
      </c>
      <c r="AF17" s="1097"/>
      <c r="AG17" s="217">
        <v>581422</v>
      </c>
      <c r="AH17" s="216">
        <v>58638</v>
      </c>
      <c r="AI17" s="1098">
        <f>AG17/AH17</f>
        <v>9.91544732084996</v>
      </c>
      <c r="AJ17" s="655">
        <v>7</v>
      </c>
    </row>
    <row r="18" spans="1:36" s="90" customFormat="1" ht="9.75" customHeight="1">
      <c r="A18" s="338">
        <v>8</v>
      </c>
      <c r="B18" s="879" t="s">
        <v>442</v>
      </c>
      <c r="C18" s="880"/>
      <c r="D18" s="1041"/>
      <c r="E18" s="899" t="s">
        <v>467</v>
      </c>
      <c r="F18" s="475">
        <v>40809</v>
      </c>
      <c r="G18" s="588" t="s">
        <v>23</v>
      </c>
      <c r="H18" s="181">
        <v>53</v>
      </c>
      <c r="I18" s="33">
        <v>48</v>
      </c>
      <c r="J18" s="33">
        <v>1</v>
      </c>
      <c r="K18" s="1042">
        <v>27423</v>
      </c>
      <c r="L18" s="1043">
        <v>2072</v>
      </c>
      <c r="M18" s="1042">
        <v>42105</v>
      </c>
      <c r="N18" s="1043">
        <v>4023</v>
      </c>
      <c r="O18" s="1042">
        <v>42406</v>
      </c>
      <c r="P18" s="1043">
        <v>3199</v>
      </c>
      <c r="Q18" s="34">
        <f>SUM(K18+M18+O18)</f>
        <v>111934</v>
      </c>
      <c r="R18" s="896">
        <f>SUM(L18+N18+P18)</f>
        <v>9294</v>
      </c>
      <c r="S18" s="245">
        <f>IF(Q18&lt;&gt;0,R18/I18,"")</f>
        <v>193.625</v>
      </c>
      <c r="T18" s="221">
        <f>IF(Q18&lt;&gt;0,Q18/R18,"")</f>
        <v>12.043684097267054</v>
      </c>
      <c r="U18" s="34"/>
      <c r="V18" s="883"/>
      <c r="W18" s="318"/>
      <c r="X18" s="245"/>
      <c r="Y18" s="1110">
        <v>187160</v>
      </c>
      <c r="Z18" s="1109">
        <v>15327</v>
      </c>
      <c r="AA18" s="970">
        <f>R18*1/Z18</f>
        <v>0.6063808964572324</v>
      </c>
      <c r="AB18" s="970">
        <f>X18*1/Z18</f>
        <v>0</v>
      </c>
      <c r="AC18" s="94">
        <f>Z18/I18</f>
        <v>319.3125</v>
      </c>
      <c r="AD18" s="212">
        <f>Y18/Z18</f>
        <v>12.211130684413128</v>
      </c>
      <c r="AE18" s="96"/>
      <c r="AF18" s="1097"/>
      <c r="AG18" s="217">
        <v>187160</v>
      </c>
      <c r="AH18" s="216">
        <v>15327</v>
      </c>
      <c r="AI18" s="276">
        <f>+AG18/AH18</f>
        <v>12.211130684413128</v>
      </c>
      <c r="AJ18" s="655">
        <v>8</v>
      </c>
    </row>
    <row r="19" spans="1:36" s="90" customFormat="1" ht="9.75" customHeight="1">
      <c r="A19" s="338">
        <v>9</v>
      </c>
      <c r="B19" s="886"/>
      <c r="C19" s="887" t="s">
        <v>444</v>
      </c>
      <c r="D19" s="880"/>
      <c r="E19" s="618" t="s">
        <v>416</v>
      </c>
      <c r="F19" s="32">
        <v>40774</v>
      </c>
      <c r="G19" s="588" t="s">
        <v>23</v>
      </c>
      <c r="H19" s="181">
        <v>123</v>
      </c>
      <c r="I19" s="33">
        <v>117</v>
      </c>
      <c r="J19" s="33">
        <v>6</v>
      </c>
      <c r="K19" s="1042">
        <v>21518</v>
      </c>
      <c r="L19" s="1043">
        <v>1618</v>
      </c>
      <c r="M19" s="1042">
        <v>53750</v>
      </c>
      <c r="N19" s="1043">
        <v>6026</v>
      </c>
      <c r="O19" s="1042">
        <v>62399</v>
      </c>
      <c r="P19" s="1043">
        <v>6948</v>
      </c>
      <c r="Q19" s="34">
        <f>SUM(K19+M19+O19)</f>
        <v>137667</v>
      </c>
      <c r="R19" s="896">
        <f>SUM(L19+N19+P19)</f>
        <v>14592</v>
      </c>
      <c r="S19" s="245">
        <f>IF(Q19&lt;&gt;0,R19/I19,"")</f>
        <v>124.71794871794872</v>
      </c>
      <c r="T19" s="221">
        <f>IF(Q19&lt;&gt;0,Q19/R19,"")</f>
        <v>9.434416118421053</v>
      </c>
      <c r="U19" s="34">
        <v>204601</v>
      </c>
      <c r="V19" s="883">
        <f>IF(U19&lt;&gt;0,-(U19-Q19)/U19,"")</f>
        <v>-0.3271440511043446</v>
      </c>
      <c r="W19" s="318">
        <f>Y19-Q19</f>
        <v>31609</v>
      </c>
      <c r="X19" s="245">
        <f>Z19-R19</f>
        <v>5505</v>
      </c>
      <c r="Y19" s="1110">
        <v>169276</v>
      </c>
      <c r="Z19" s="1109">
        <v>20097</v>
      </c>
      <c r="AA19" s="970">
        <f>R19*1/Z19</f>
        <v>0.7260785191819674</v>
      </c>
      <c r="AB19" s="970">
        <f>X19*1/Z19</f>
        <v>0.2739214808180325</v>
      </c>
      <c r="AC19" s="94">
        <f>Z19/I19</f>
        <v>171.76923076923077</v>
      </c>
      <c r="AD19" s="212">
        <f>Y19/Z19</f>
        <v>8.422948698810767</v>
      </c>
      <c r="AE19" s="96">
        <v>265523</v>
      </c>
      <c r="AF19" s="1097">
        <f>IF(AE19&lt;&gt;0,-(AE19-Y19)/AE19,"")</f>
        <v>-0.3624808397012688</v>
      </c>
      <c r="AG19" s="217">
        <v>6432534</v>
      </c>
      <c r="AH19" s="216">
        <v>614256</v>
      </c>
      <c r="AI19" s="1098">
        <f>AG19/AH19</f>
        <v>10.472073532859264</v>
      </c>
      <c r="AJ19" s="655">
        <v>9</v>
      </c>
    </row>
    <row r="20" spans="1:38" s="90" customFormat="1" ht="9.75" customHeight="1">
      <c r="A20" s="338">
        <v>10</v>
      </c>
      <c r="B20" s="677"/>
      <c r="C20" s="880"/>
      <c r="D20" s="1044" t="s">
        <v>446</v>
      </c>
      <c r="E20" s="882" t="s">
        <v>451</v>
      </c>
      <c r="F20" s="32">
        <v>40802</v>
      </c>
      <c r="G20" s="588" t="s">
        <v>31</v>
      </c>
      <c r="H20" s="181">
        <v>76</v>
      </c>
      <c r="I20" s="186">
        <v>76</v>
      </c>
      <c r="J20" s="186">
        <v>2</v>
      </c>
      <c r="K20" s="1045">
        <v>22695.5</v>
      </c>
      <c r="L20" s="1046">
        <v>2413</v>
      </c>
      <c r="M20" s="1045">
        <v>38423</v>
      </c>
      <c r="N20" s="1046">
        <v>4030</v>
      </c>
      <c r="O20" s="1045">
        <v>41658.5</v>
      </c>
      <c r="P20" s="1046">
        <v>4337</v>
      </c>
      <c r="Q20" s="34">
        <f>SUM(K20+M20+O20)</f>
        <v>102777</v>
      </c>
      <c r="R20" s="896">
        <f>SUM(L20+N20+P20)</f>
        <v>10780</v>
      </c>
      <c r="S20" s="245">
        <f>IF(Q20&lt;&gt;0,R20/I20,"")</f>
        <v>141.8421052631579</v>
      </c>
      <c r="T20" s="221">
        <f>IF(Q20&lt;&gt;0,Q20/R20,"")</f>
        <v>9.53404452690167</v>
      </c>
      <c r="U20" s="34">
        <v>161695</v>
      </c>
      <c r="V20" s="883">
        <f>IF(U20&lt;&gt;0,-(U20-Q20)/U20,"")</f>
        <v>-0.3643773771607038</v>
      </c>
      <c r="W20" s="318">
        <f>Y20-Q20</f>
        <v>54812</v>
      </c>
      <c r="X20" s="245">
        <f>Z20-R20</f>
        <v>6962</v>
      </c>
      <c r="Y20" s="1106">
        <v>157589</v>
      </c>
      <c r="Z20" s="1107">
        <v>17742</v>
      </c>
      <c r="AA20" s="970">
        <f>R20*1/Z20</f>
        <v>0.607597790553489</v>
      </c>
      <c r="AB20" s="970">
        <f>X20*1/Z20</f>
        <v>0.3924022094465111</v>
      </c>
      <c r="AC20" s="94">
        <f>Z20/I20</f>
        <v>233.44736842105263</v>
      </c>
      <c r="AD20" s="212">
        <f>Y20/Z20</f>
        <v>8.882256791793484</v>
      </c>
      <c r="AE20" s="96">
        <v>264177</v>
      </c>
      <c r="AF20" s="1097">
        <f>IF(AE20&lt;&gt;0,-(AE20-Y20)/AE20,"")</f>
        <v>-0.403471914663275</v>
      </c>
      <c r="AG20" s="12">
        <f>264177+157589</f>
        <v>421766</v>
      </c>
      <c r="AH20" s="13">
        <f>29068+17742</f>
        <v>46810</v>
      </c>
      <c r="AI20" s="276">
        <f>+AG20/AH20</f>
        <v>9.010168767357403</v>
      </c>
      <c r="AJ20" s="655">
        <v>10</v>
      </c>
      <c r="AL20" s="139"/>
    </row>
    <row r="21" spans="1:36" s="90" customFormat="1" ht="9.75" customHeight="1">
      <c r="A21" s="338">
        <v>11</v>
      </c>
      <c r="B21" s="677"/>
      <c r="C21" s="880"/>
      <c r="D21" s="1041"/>
      <c r="E21" s="882" t="s">
        <v>424</v>
      </c>
      <c r="F21" s="32">
        <v>40781</v>
      </c>
      <c r="G21" s="588" t="s">
        <v>31</v>
      </c>
      <c r="H21" s="181">
        <v>96</v>
      </c>
      <c r="I21" s="186">
        <v>84</v>
      </c>
      <c r="J21" s="186">
        <v>5</v>
      </c>
      <c r="K21" s="1045">
        <v>16671.5</v>
      </c>
      <c r="L21" s="1046">
        <v>1861</v>
      </c>
      <c r="M21" s="1045">
        <v>37346</v>
      </c>
      <c r="N21" s="1046">
        <v>4311</v>
      </c>
      <c r="O21" s="1045">
        <v>36608</v>
      </c>
      <c r="P21" s="1046">
        <v>4203</v>
      </c>
      <c r="Q21" s="34">
        <f>+K21+M21+O21</f>
        <v>90625.5</v>
      </c>
      <c r="R21" s="896">
        <f>+L21+N21+P21</f>
        <v>10375</v>
      </c>
      <c r="S21" s="245">
        <f>IF(Q21&lt;&gt;0,R21/I21,"")</f>
        <v>123.51190476190476</v>
      </c>
      <c r="T21" s="221">
        <f>IF(Q21&lt;&gt;0,Q21/R21,"")</f>
        <v>8.734987951807229</v>
      </c>
      <c r="U21" s="557">
        <v>130184</v>
      </c>
      <c r="V21" s="883">
        <f>IF(U21&lt;&gt;0,-(U21-Q21)/U21,"")</f>
        <v>-0.30386606649050574</v>
      </c>
      <c r="W21" s="318">
        <f>Y21-Q21</f>
        <v>40343</v>
      </c>
      <c r="X21" s="245">
        <f>Z21-R21</f>
        <v>5504</v>
      </c>
      <c r="Y21" s="1106">
        <v>130968.5</v>
      </c>
      <c r="Z21" s="1107">
        <v>15879</v>
      </c>
      <c r="AA21" s="970">
        <f>R21*1/Z21</f>
        <v>0.6533786762390579</v>
      </c>
      <c r="AB21" s="970">
        <f>X21*1/Z21</f>
        <v>0.3466213237609421</v>
      </c>
      <c r="AC21" s="94">
        <f>Z21/I21</f>
        <v>189.03571428571428</v>
      </c>
      <c r="AD21" s="212">
        <f>Y21/Z21</f>
        <v>8.247906039423137</v>
      </c>
      <c r="AE21" s="96">
        <v>207889</v>
      </c>
      <c r="AF21" s="1097">
        <f>IF(AE21&lt;&gt;0,-(AE21-Y21)/AE21,"")</f>
        <v>-0.3700075521071341</v>
      </c>
      <c r="AG21" s="12">
        <f>29056+844874+618474.25+386880.75+207889+130968.5</f>
        <v>2218142.5</v>
      </c>
      <c r="AH21" s="13">
        <f>4385+80857+63348+40336+22079+15879</f>
        <v>226884</v>
      </c>
      <c r="AI21" s="276">
        <f>+AG21/AH21</f>
        <v>9.776548809083055</v>
      </c>
      <c r="AJ21" s="655">
        <v>11</v>
      </c>
    </row>
    <row r="22" spans="1:36" s="90" customFormat="1" ht="9.75" customHeight="1">
      <c r="A22" s="338">
        <v>12</v>
      </c>
      <c r="B22" s="1089"/>
      <c r="C22" s="887" t="s">
        <v>444</v>
      </c>
      <c r="D22" s="889"/>
      <c r="E22" s="588" t="s">
        <v>453</v>
      </c>
      <c r="F22" s="113">
        <v>40802</v>
      </c>
      <c r="G22" s="588" t="s">
        <v>8</v>
      </c>
      <c r="H22" s="5">
        <v>70</v>
      </c>
      <c r="I22" s="5">
        <v>68</v>
      </c>
      <c r="J22" s="5">
        <v>2</v>
      </c>
      <c r="K22" s="10">
        <v>8725</v>
      </c>
      <c r="L22" s="11">
        <v>681</v>
      </c>
      <c r="M22" s="10">
        <v>44658</v>
      </c>
      <c r="N22" s="11">
        <v>3434</v>
      </c>
      <c r="O22" s="10">
        <v>37619</v>
      </c>
      <c r="P22" s="11">
        <v>2967</v>
      </c>
      <c r="Q22" s="34">
        <f>SUM(K22+M22+O22)</f>
        <v>91002</v>
      </c>
      <c r="R22" s="896">
        <f>SUM(L22+N22+P22)</f>
        <v>7082</v>
      </c>
      <c r="S22" s="245">
        <f>IF(Q22&lt;&gt;0,R22/I22,"")</f>
        <v>104.1470588235294</v>
      </c>
      <c r="T22" s="221">
        <f>IF(Q22&lt;&gt;0,Q22/R22,"")</f>
        <v>12.849759954815024</v>
      </c>
      <c r="U22" s="34">
        <v>137578</v>
      </c>
      <c r="V22" s="883">
        <f>IF(U22&lt;&gt;0,-(U22-Q22)/U22,"")</f>
        <v>-0.33854249952754073</v>
      </c>
      <c r="W22" s="318">
        <f>Y22-Q22</f>
        <v>12427</v>
      </c>
      <c r="X22" s="245">
        <f>Z22-R22</f>
        <v>1246</v>
      </c>
      <c r="Y22" s="1111">
        <v>103429</v>
      </c>
      <c r="Z22" s="1112">
        <v>8328</v>
      </c>
      <c r="AA22" s="970">
        <f>R22*1/Z22</f>
        <v>0.8503842459173871</v>
      </c>
      <c r="AB22" s="970">
        <f>X22*1/Z22</f>
        <v>0.14961575408261288</v>
      </c>
      <c r="AC22" s="94">
        <f>Z22/I22</f>
        <v>122.47058823529412</v>
      </c>
      <c r="AD22" s="212">
        <f>Y22/Z22</f>
        <v>12.419428434197886</v>
      </c>
      <c r="AE22" s="96">
        <v>159761</v>
      </c>
      <c r="AF22" s="1097">
        <f>IF(AE22&lt;&gt;0,-(AE22-Y22)/AE22,"")</f>
        <v>-0.3526016987875639</v>
      </c>
      <c r="AG22" s="10">
        <v>263190</v>
      </c>
      <c r="AH22" s="11">
        <v>21213</v>
      </c>
      <c r="AI22" s="276">
        <f>+AG22/AH22</f>
        <v>12.407014566539386</v>
      </c>
      <c r="AJ22" s="655">
        <v>12</v>
      </c>
    </row>
    <row r="23" spans="1:38" s="90" customFormat="1" ht="9.75" customHeight="1">
      <c r="A23" s="338">
        <v>13</v>
      </c>
      <c r="B23" s="802"/>
      <c r="C23" s="880"/>
      <c r="D23" s="1041"/>
      <c r="E23" s="24" t="s">
        <v>438</v>
      </c>
      <c r="F23" s="2">
        <v>40795</v>
      </c>
      <c r="G23" s="588" t="s">
        <v>10</v>
      </c>
      <c r="H23" s="181">
        <v>70</v>
      </c>
      <c r="I23" s="3">
        <v>70</v>
      </c>
      <c r="J23" s="3">
        <v>3</v>
      </c>
      <c r="K23" s="10">
        <v>14288</v>
      </c>
      <c r="L23" s="11">
        <v>1352</v>
      </c>
      <c r="M23" s="10">
        <v>25873</v>
      </c>
      <c r="N23" s="11">
        <v>2453</v>
      </c>
      <c r="O23" s="10">
        <v>25858</v>
      </c>
      <c r="P23" s="11">
        <v>2502</v>
      </c>
      <c r="Q23" s="581">
        <f>+K23+M23+O23</f>
        <v>66019</v>
      </c>
      <c r="R23" s="483">
        <f>+L23+N23+P23</f>
        <v>6307</v>
      </c>
      <c r="S23" s="280">
        <f>IF(Q23&lt;&gt;0,R23/I23,"")</f>
        <v>90.1</v>
      </c>
      <c r="T23" s="221">
        <f>IF(Q23&lt;&gt;0,Q23/R23,"")</f>
        <v>10.467575709529095</v>
      </c>
      <c r="U23" s="593">
        <v>142338</v>
      </c>
      <c r="V23" s="883">
        <f>IF(U23&lt;&gt;0,-(U23-Q23)/U23,"")</f>
        <v>-0.5361814835110793</v>
      </c>
      <c r="W23" s="318">
        <f>Y23-Q23</f>
        <v>30639</v>
      </c>
      <c r="X23" s="245">
        <f>Z23-R23</f>
        <v>3690</v>
      </c>
      <c r="Y23" s="1104">
        <v>96658</v>
      </c>
      <c r="Z23" s="1105">
        <v>9997</v>
      </c>
      <c r="AA23" s="970">
        <f>R23*1/Z23</f>
        <v>0.630889266780034</v>
      </c>
      <c r="AB23" s="970">
        <f>X23*1/Z23</f>
        <v>0.369110733219966</v>
      </c>
      <c r="AC23" s="94">
        <f>Z23/I23</f>
        <v>142.81428571428572</v>
      </c>
      <c r="AD23" s="212">
        <f>Y23/Z23</f>
        <v>9.668700610183055</v>
      </c>
      <c r="AE23" s="96">
        <v>234229</v>
      </c>
      <c r="AF23" s="1097">
        <f>IF(AE23&lt;&gt;0,-(AE23-Y23)/AE23,"")</f>
        <v>-0.5873354708426369</v>
      </c>
      <c r="AG23" s="44">
        <v>712796</v>
      </c>
      <c r="AH23" s="46">
        <v>67487</v>
      </c>
      <c r="AI23" s="276">
        <f>+AG23/AH23</f>
        <v>10.561974898869412</v>
      </c>
      <c r="AJ23" s="655">
        <v>13</v>
      </c>
      <c r="AL23" s="139"/>
    </row>
    <row r="24" spans="1:38" s="90" customFormat="1" ht="9.75" customHeight="1">
      <c r="A24" s="338">
        <v>14</v>
      </c>
      <c r="B24" s="677"/>
      <c r="C24" s="880"/>
      <c r="D24" s="1041"/>
      <c r="E24" s="888" t="s">
        <v>435</v>
      </c>
      <c r="F24" s="113">
        <v>40788</v>
      </c>
      <c r="G24" s="588" t="s">
        <v>23</v>
      </c>
      <c r="H24" s="181">
        <v>89</v>
      </c>
      <c r="I24" s="33">
        <v>84</v>
      </c>
      <c r="J24" s="33">
        <v>4</v>
      </c>
      <c r="K24" s="1042">
        <v>9924</v>
      </c>
      <c r="L24" s="1043">
        <v>1134</v>
      </c>
      <c r="M24" s="1042">
        <v>18754</v>
      </c>
      <c r="N24" s="1043">
        <v>2133</v>
      </c>
      <c r="O24" s="1042">
        <v>19255</v>
      </c>
      <c r="P24" s="1043">
        <v>2228</v>
      </c>
      <c r="Q24" s="581">
        <f>SUM(K24+M24+O24)</f>
        <v>47933</v>
      </c>
      <c r="R24" s="483">
        <f>SUM(L24+N24+P24)</f>
        <v>5495</v>
      </c>
      <c r="S24" s="245">
        <f>IF(Q24&lt;&gt;0,R24/I24,"")</f>
        <v>65.41666666666667</v>
      </c>
      <c r="T24" s="221">
        <f>IF(Q24&lt;&gt;0,Q24/R24,"")</f>
        <v>8.723020928116469</v>
      </c>
      <c r="U24" s="581">
        <v>166471</v>
      </c>
      <c r="V24" s="883">
        <f>IF(U24&lt;&gt;0,-(U24-Q24)/U24,"")</f>
        <v>-0.7120639630926708</v>
      </c>
      <c r="W24" s="318">
        <f>Y24-Q24</f>
        <v>23361</v>
      </c>
      <c r="X24" s="245">
        <f>Z24-R24</f>
        <v>3356</v>
      </c>
      <c r="Y24" s="1113">
        <v>71294</v>
      </c>
      <c r="Z24" s="1114">
        <v>8851</v>
      </c>
      <c r="AA24" s="970">
        <f>R24*1/Z24</f>
        <v>0.6208338040899334</v>
      </c>
      <c r="AB24" s="970">
        <f>X24*1/Z24</f>
        <v>0.3791661959100667</v>
      </c>
      <c r="AC24" s="94">
        <f>Z24/I24</f>
        <v>105.36904761904762</v>
      </c>
      <c r="AD24" s="212">
        <f>Y24/Z24</f>
        <v>8.054909049824879</v>
      </c>
      <c r="AE24" s="96">
        <v>257124</v>
      </c>
      <c r="AF24" s="1097">
        <f>IF(AE24&lt;&gt;0,-(AE24-Y24)/AE24,"")</f>
        <v>-0.7227252220718409</v>
      </c>
      <c r="AG24" s="242">
        <v>1876531</v>
      </c>
      <c r="AH24" s="216">
        <v>182267</v>
      </c>
      <c r="AI24" s="1098">
        <f>AG24/AH24</f>
        <v>10.295506043332034</v>
      </c>
      <c r="AJ24" s="655">
        <v>14</v>
      </c>
      <c r="AL24" s="139"/>
    </row>
    <row r="25" spans="1:38" s="90" customFormat="1" ht="9.75" customHeight="1">
      <c r="A25" s="338">
        <v>15</v>
      </c>
      <c r="B25" s="677"/>
      <c r="C25" s="880"/>
      <c r="D25" s="1041"/>
      <c r="E25" s="588" t="s">
        <v>427</v>
      </c>
      <c r="F25" s="32">
        <v>40781</v>
      </c>
      <c r="G25" s="588" t="s">
        <v>31</v>
      </c>
      <c r="H25" s="181">
        <v>25</v>
      </c>
      <c r="I25" s="186">
        <v>25</v>
      </c>
      <c r="J25" s="186">
        <v>5</v>
      </c>
      <c r="K25" s="1045">
        <v>3003</v>
      </c>
      <c r="L25" s="1046">
        <v>369</v>
      </c>
      <c r="M25" s="1045">
        <v>7241.5</v>
      </c>
      <c r="N25" s="1046">
        <v>879</v>
      </c>
      <c r="O25" s="1045">
        <v>7297</v>
      </c>
      <c r="P25" s="1046">
        <v>873</v>
      </c>
      <c r="Q25" s="581">
        <f>+K25+M25+O25</f>
        <v>17541.5</v>
      </c>
      <c r="R25" s="483">
        <f>+L25+N25+P25</f>
        <v>2121</v>
      </c>
      <c r="S25" s="595">
        <f>+R25/I25</f>
        <v>84.84</v>
      </c>
      <c r="T25" s="221">
        <f>+Q25/R25</f>
        <v>8.27039132484677</v>
      </c>
      <c r="U25" s="581">
        <v>16176.5</v>
      </c>
      <c r="V25" s="883">
        <f>IF(U25&lt;&gt;0,-(U25-Q25)/U25,"")</f>
        <v>0.08438166476060953</v>
      </c>
      <c r="W25" s="318">
        <f>Y25-Q25</f>
        <v>13282</v>
      </c>
      <c r="X25" s="245">
        <f>Z25-R25</f>
        <v>1808</v>
      </c>
      <c r="Y25" s="1106">
        <v>30823.5</v>
      </c>
      <c r="Z25" s="1107">
        <v>3929</v>
      </c>
      <c r="AA25" s="970">
        <f>R25*1/Z25</f>
        <v>0.5398320183252736</v>
      </c>
      <c r="AB25" s="970">
        <f>X25*1/Z25</f>
        <v>0.4601679816747264</v>
      </c>
      <c r="AC25" s="94">
        <f>Z25/I25</f>
        <v>157.16</v>
      </c>
      <c r="AD25" s="212">
        <f>Y25/Z25</f>
        <v>7.845125986256045</v>
      </c>
      <c r="AE25" s="96">
        <v>34113.5</v>
      </c>
      <c r="AF25" s="1097">
        <f>IF(AE25&lt;&gt;0,-(AE25-Y25)/AE25,"")</f>
        <v>-0.09644275726618494</v>
      </c>
      <c r="AG25" s="12">
        <f>144733+112570+56967.5+34113.5+30823.5</f>
        <v>379207.5</v>
      </c>
      <c r="AH25" s="13">
        <f>11669+10065+5619+3946+3929</f>
        <v>35228</v>
      </c>
      <c r="AI25" s="276">
        <f>+AG25/AH25</f>
        <v>10.764377767684795</v>
      </c>
      <c r="AJ25" s="655">
        <v>15</v>
      </c>
      <c r="AL25" s="139"/>
    </row>
    <row r="26" spans="1:38" s="90" customFormat="1" ht="9.75" customHeight="1">
      <c r="A26" s="338">
        <v>16</v>
      </c>
      <c r="B26" s="677"/>
      <c r="C26" s="880"/>
      <c r="D26" s="1041"/>
      <c r="E26" s="881" t="s">
        <v>417</v>
      </c>
      <c r="F26" s="567">
        <v>40774</v>
      </c>
      <c r="G26" s="881" t="s">
        <v>62</v>
      </c>
      <c r="H26" s="213">
        <v>25</v>
      </c>
      <c r="I26" s="215">
        <v>25</v>
      </c>
      <c r="J26" s="215">
        <v>6</v>
      </c>
      <c r="K26" s="217">
        <v>2458</v>
      </c>
      <c r="L26" s="216">
        <v>317</v>
      </c>
      <c r="M26" s="217">
        <v>6251.5</v>
      </c>
      <c r="N26" s="216">
        <v>748</v>
      </c>
      <c r="O26" s="217">
        <v>6468.5</v>
      </c>
      <c r="P26" s="216">
        <v>784</v>
      </c>
      <c r="Q26" s="581">
        <f>SUM(K26+M26+O26)</f>
        <v>15178</v>
      </c>
      <c r="R26" s="483">
        <f>SUM(L26+N26+P26)</f>
        <v>1849</v>
      </c>
      <c r="S26" s="595">
        <f>+R26/I26</f>
        <v>73.96</v>
      </c>
      <c r="T26" s="221">
        <f>IF(Q26&lt;&gt;0,Q26/R26,"")</f>
        <v>8.208761492698756</v>
      </c>
      <c r="U26" s="581">
        <v>12348</v>
      </c>
      <c r="V26" s="883">
        <f>IF(U26&lt;&gt;0,-(U26-Q26)/U26,"")</f>
        <v>0.22918691286038226</v>
      </c>
      <c r="W26" s="318">
        <f>Y26-Q26</f>
        <v>10425</v>
      </c>
      <c r="X26" s="245">
        <f>Z26-R26</f>
        <v>1518</v>
      </c>
      <c r="Y26" s="1110">
        <v>25603</v>
      </c>
      <c r="Z26" s="1109">
        <v>3367</v>
      </c>
      <c r="AA26" s="970">
        <f>R26*1/Z26</f>
        <v>0.5491535491535492</v>
      </c>
      <c r="AB26" s="970">
        <f>X26*1/Z26</f>
        <v>0.45084645084645086</v>
      </c>
      <c r="AC26" s="94">
        <f>Z26/I26</f>
        <v>134.68</v>
      </c>
      <c r="AD26" s="212">
        <f>Y26/Z26</f>
        <v>7.6040986040986045</v>
      </c>
      <c r="AE26" s="96">
        <v>25443</v>
      </c>
      <c r="AF26" s="1097">
        <f>IF(AE26&lt;&gt;0,-(AE26-Y26)/AE26,"")</f>
        <v>0.006288566599850646</v>
      </c>
      <c r="AG26" s="217">
        <v>361073</v>
      </c>
      <c r="AH26" s="216">
        <v>33434</v>
      </c>
      <c r="AI26" s="1098">
        <f>+AG26/AH26</f>
        <v>10.799575282646408</v>
      </c>
      <c r="AJ26" s="655">
        <v>16</v>
      </c>
      <c r="AL26" s="139"/>
    </row>
    <row r="27" spans="1:36" s="90" customFormat="1" ht="9.75" customHeight="1">
      <c r="A27" s="338">
        <v>17</v>
      </c>
      <c r="B27" s="890"/>
      <c r="C27" s="880"/>
      <c r="D27" s="1041"/>
      <c r="E27" s="618" t="s">
        <v>445</v>
      </c>
      <c r="F27" s="32">
        <v>40795</v>
      </c>
      <c r="G27" s="588" t="s">
        <v>23</v>
      </c>
      <c r="H27" s="181">
        <v>40</v>
      </c>
      <c r="I27" s="33">
        <v>21</v>
      </c>
      <c r="J27" s="33">
        <v>3</v>
      </c>
      <c r="K27" s="1042">
        <v>4528</v>
      </c>
      <c r="L27" s="1043">
        <v>423</v>
      </c>
      <c r="M27" s="1042">
        <v>6336</v>
      </c>
      <c r="N27" s="1043">
        <v>583</v>
      </c>
      <c r="O27" s="1042">
        <v>6830</v>
      </c>
      <c r="P27" s="1043">
        <v>650</v>
      </c>
      <c r="Q27" s="581">
        <f>SUM(K27+M27+O27)</f>
        <v>17694</v>
      </c>
      <c r="R27" s="483">
        <f>SUM(L27+N27+P27)</f>
        <v>1656</v>
      </c>
      <c r="S27" s="280">
        <f>IF(Q27&lt;&gt;0,R27/I27,"")</f>
        <v>78.85714285714286</v>
      </c>
      <c r="T27" s="221">
        <f>IF(Q27&lt;&gt;0,Q27/R27,"")</f>
        <v>10.684782608695652</v>
      </c>
      <c r="U27" s="581">
        <v>75129</v>
      </c>
      <c r="V27" s="883">
        <f>IF(U27&lt;&gt;0,-(U27-Q27)/U27,"")</f>
        <v>-0.7644850856526774</v>
      </c>
      <c r="W27" s="318">
        <f>Y27-Q27</f>
        <v>6700</v>
      </c>
      <c r="X27" s="245">
        <f>Z27-R27</f>
        <v>925</v>
      </c>
      <c r="Y27" s="1110">
        <v>24394</v>
      </c>
      <c r="Z27" s="1109">
        <v>2581</v>
      </c>
      <c r="AA27" s="970">
        <f>R27*1/Z27</f>
        <v>0.6416117783804727</v>
      </c>
      <c r="AB27" s="970">
        <f>X27*1/Z27</f>
        <v>0.3583882216195273</v>
      </c>
      <c r="AC27" s="94">
        <f>Z27/I27</f>
        <v>122.9047619047619</v>
      </c>
      <c r="AD27" s="212">
        <f>Y27/Z27</f>
        <v>9.451375435877567</v>
      </c>
      <c r="AE27" s="96">
        <v>137830</v>
      </c>
      <c r="AF27" s="1097">
        <f>IF(AE27&lt;&gt;0,-(AE27-Y27)/AE27,"")</f>
        <v>-0.8230138576507292</v>
      </c>
      <c r="AG27" s="217">
        <v>317989</v>
      </c>
      <c r="AH27" s="216">
        <v>27548</v>
      </c>
      <c r="AI27" s="1098">
        <f>AG27/AH27</f>
        <v>11.543088427472048</v>
      </c>
      <c r="AJ27" s="655">
        <v>17</v>
      </c>
    </row>
    <row r="28" spans="1:37" s="90" customFormat="1" ht="9.75" customHeight="1">
      <c r="A28" s="338">
        <v>18</v>
      </c>
      <c r="B28" s="802"/>
      <c r="C28" s="880"/>
      <c r="D28" s="1044" t="s">
        <v>446</v>
      </c>
      <c r="E28" s="20" t="s">
        <v>20</v>
      </c>
      <c r="F28" s="2">
        <v>40620</v>
      </c>
      <c r="G28" s="588" t="s">
        <v>21</v>
      </c>
      <c r="H28" s="5">
        <v>218</v>
      </c>
      <c r="I28" s="3">
        <v>2</v>
      </c>
      <c r="J28" s="3">
        <v>25</v>
      </c>
      <c r="K28" s="10">
        <v>0</v>
      </c>
      <c r="L28" s="11">
        <v>0</v>
      </c>
      <c r="M28" s="10">
        <v>0</v>
      </c>
      <c r="N28" s="11">
        <v>0</v>
      </c>
      <c r="O28" s="10">
        <v>0</v>
      </c>
      <c r="P28" s="11">
        <v>0</v>
      </c>
      <c r="Q28" s="581">
        <f>+K28+M28+O28</f>
        <v>0</v>
      </c>
      <c r="R28" s="483">
        <f>+L28+N28+P28</f>
        <v>0</v>
      </c>
      <c r="S28" s="280">
        <f>IF(Q28&lt;&gt;0,R28/I28,"")</f>
      </c>
      <c r="T28" s="221">
        <f>IF(Q28&lt;&gt;0,Q28/R28,"")</f>
      </c>
      <c r="U28" s="581"/>
      <c r="V28" s="883">
        <f>IF(U28&lt;&gt;0,-(U28-Q28)/U28,"")</f>
      </c>
      <c r="W28" s="318">
        <f>Y28-Q28</f>
        <v>16632</v>
      </c>
      <c r="X28" s="245">
        <f>Z28-R28</f>
        <v>3326</v>
      </c>
      <c r="Y28" s="1115">
        <v>16632</v>
      </c>
      <c r="Z28" s="1116">
        <v>3326</v>
      </c>
      <c r="AA28" s="970">
        <f>R28*1/Z28</f>
        <v>0</v>
      </c>
      <c r="AB28" s="970">
        <f>X28*1/Z28</f>
        <v>1</v>
      </c>
      <c r="AC28" s="94">
        <f>Z28/I28</f>
        <v>1663</v>
      </c>
      <c r="AD28" s="212">
        <f>Y28/Z28</f>
        <v>5.000601322910403</v>
      </c>
      <c r="AE28" s="96"/>
      <c r="AF28" s="1097"/>
      <c r="AG28" s="35">
        <f>868723.5+629960.75+471670+272432+164061+97109.5+34971.5+29195+10591.5+4973+1214+25859.5+8228+5222+126+1321+161+8414+5940+170+7722+2970+242+249+16632</f>
        <v>2668158.25</v>
      </c>
      <c r="AH28" s="38">
        <f>93361+70981+54177+33865+22657+14644+6278+5343+1965+923+199+3609+1160+736+18+257+23+1598+1188+23+1386+594+42+42+3326</f>
        <v>318395</v>
      </c>
      <c r="AI28" s="276">
        <f>+AG28/AH28</f>
        <v>8.380025597135633</v>
      </c>
      <c r="AJ28" s="655">
        <v>18</v>
      </c>
      <c r="AK28" s="139"/>
    </row>
    <row r="29" spans="1:36" s="90" customFormat="1" ht="9.75" customHeight="1">
      <c r="A29" s="338">
        <v>19</v>
      </c>
      <c r="B29" s="677"/>
      <c r="C29" s="880"/>
      <c r="D29" s="1041"/>
      <c r="E29" s="882" t="s">
        <v>398</v>
      </c>
      <c r="F29" s="113">
        <v>40760</v>
      </c>
      <c r="G29" s="588" t="s">
        <v>31</v>
      </c>
      <c r="H29" s="181">
        <v>101</v>
      </c>
      <c r="I29" s="186">
        <v>40</v>
      </c>
      <c r="J29" s="186">
        <v>8</v>
      </c>
      <c r="K29" s="1045">
        <v>1923</v>
      </c>
      <c r="L29" s="1046">
        <v>311</v>
      </c>
      <c r="M29" s="1045">
        <v>3064</v>
      </c>
      <c r="N29" s="1046">
        <v>507</v>
      </c>
      <c r="O29" s="1045">
        <v>4168</v>
      </c>
      <c r="P29" s="1046">
        <v>659</v>
      </c>
      <c r="Q29" s="581">
        <f>SUM(K29+M29+O29)</f>
        <v>9155</v>
      </c>
      <c r="R29" s="483">
        <f>SUM(L29+N29+P29)</f>
        <v>1477</v>
      </c>
      <c r="S29" s="280">
        <f>IF(Q29&lt;&gt;0,R29/I29,"")</f>
        <v>36.925</v>
      </c>
      <c r="T29" s="221">
        <f>IF(Q29&lt;&gt;0,Q29/R29,"")</f>
        <v>6.198375084631008</v>
      </c>
      <c r="U29" s="581">
        <v>16724</v>
      </c>
      <c r="V29" s="883">
        <f>IF(U29&lt;&gt;0,-(U29-Q29)/U29,"")</f>
        <v>-0.4525831140875389</v>
      </c>
      <c r="W29" s="318">
        <f>Y29-Q29</f>
        <v>6814.5</v>
      </c>
      <c r="X29" s="245">
        <f>Z29-R29</f>
        <v>1128</v>
      </c>
      <c r="Y29" s="1106">
        <v>15969.5</v>
      </c>
      <c r="Z29" s="1107">
        <v>2605</v>
      </c>
      <c r="AA29" s="970">
        <f>R29*1/Z29</f>
        <v>0.5669865642994242</v>
      </c>
      <c r="AB29" s="970">
        <f>X29*1/Z29</f>
        <v>0.4330134357005758</v>
      </c>
      <c r="AC29" s="94">
        <f>Z29/I29</f>
        <v>65.125</v>
      </c>
      <c r="AD29" s="212">
        <f>Y29/Z29</f>
        <v>6.130326295585412</v>
      </c>
      <c r="AE29" s="96">
        <v>30860</v>
      </c>
      <c r="AF29" s="1097">
        <f>IF(AE29&lt;&gt;0,-(AE29-Y29)/AE29,"")</f>
        <v>-0.48251782242384966</v>
      </c>
      <c r="AG29" s="12">
        <f>1123387+667871.5+450599+390225.5+158633+89754+30860+15969.5</f>
        <v>2927299.5</v>
      </c>
      <c r="AH29" s="13">
        <f>108166+64485+43907+41233+19918+12468+4923+2605</f>
        <v>297705</v>
      </c>
      <c r="AI29" s="1098">
        <f>+AG29/AH29</f>
        <v>9.832886582355016</v>
      </c>
      <c r="AJ29" s="655">
        <v>19</v>
      </c>
    </row>
    <row r="30" spans="1:36" s="90" customFormat="1" ht="9.75" customHeight="1">
      <c r="A30" s="338">
        <v>20</v>
      </c>
      <c r="B30" s="677"/>
      <c r="C30" s="880"/>
      <c r="D30" s="1041"/>
      <c r="E30" s="882" t="s">
        <v>431</v>
      </c>
      <c r="F30" s="32">
        <v>40788</v>
      </c>
      <c r="G30" s="588" t="s">
        <v>10</v>
      </c>
      <c r="H30" s="181">
        <v>60</v>
      </c>
      <c r="I30" s="3">
        <v>38</v>
      </c>
      <c r="J30" s="3">
        <v>4</v>
      </c>
      <c r="K30" s="10">
        <v>1886</v>
      </c>
      <c r="L30" s="11">
        <v>264</v>
      </c>
      <c r="M30" s="10">
        <v>3379</v>
      </c>
      <c r="N30" s="11">
        <v>472</v>
      </c>
      <c r="O30" s="10">
        <v>3302</v>
      </c>
      <c r="P30" s="11">
        <v>475</v>
      </c>
      <c r="Q30" s="581">
        <f>+K30+M30+O30</f>
        <v>8567</v>
      </c>
      <c r="R30" s="483">
        <f>+L30+N30+P30</f>
        <v>1211</v>
      </c>
      <c r="S30" s="280">
        <f>IF(Q30&lt;&gt;0,R30/I30,"")</f>
        <v>31.86842105263158</v>
      </c>
      <c r="T30" s="221">
        <f>IF(Q30&lt;&gt;0,Q30/R30,"")</f>
        <v>7.074318744838976</v>
      </c>
      <c r="U30" s="557">
        <v>13263</v>
      </c>
      <c r="V30" s="883">
        <f>IF(U30&lt;&gt;0,-(U30-Q30)/U30,"")</f>
        <v>-0.35406770715524394</v>
      </c>
      <c r="W30" s="318">
        <f>Y30-Q30</f>
        <v>5640</v>
      </c>
      <c r="X30" s="245">
        <f>Z30-R30</f>
        <v>868</v>
      </c>
      <c r="Y30" s="1104">
        <v>14207</v>
      </c>
      <c r="Z30" s="1105">
        <v>2079</v>
      </c>
      <c r="AA30" s="970">
        <f>R30*1/Z30</f>
        <v>0.5824915824915825</v>
      </c>
      <c r="AB30" s="970">
        <f>X30*1/Z30</f>
        <v>0.4175084175084175</v>
      </c>
      <c r="AC30" s="94">
        <f>Z30/I30</f>
        <v>54.71052631578947</v>
      </c>
      <c r="AD30" s="212">
        <f>Y30/Z30</f>
        <v>6.833573833573833</v>
      </c>
      <c r="AE30" s="96">
        <v>23645</v>
      </c>
      <c r="AF30" s="1097">
        <f>IF(AE30&lt;&gt;0,-(AE30-Y30)/AE30,"")</f>
        <v>-0.3991541552125185</v>
      </c>
      <c r="AG30" s="44">
        <v>257981</v>
      </c>
      <c r="AH30" s="46">
        <v>26141</v>
      </c>
      <c r="AI30" s="276">
        <f>+AG30/AH30</f>
        <v>9.86882674725527</v>
      </c>
      <c r="AJ30" s="655">
        <v>20</v>
      </c>
    </row>
    <row r="31" spans="1:36" s="90" customFormat="1" ht="9.75" customHeight="1">
      <c r="A31" s="338">
        <v>21</v>
      </c>
      <c r="B31" s="907"/>
      <c r="C31" s="880"/>
      <c r="D31" s="880"/>
      <c r="E31" s="1078" t="s">
        <v>30</v>
      </c>
      <c r="F31" s="185">
        <v>40641</v>
      </c>
      <c r="G31" s="588" t="s">
        <v>31</v>
      </c>
      <c r="H31" s="186">
        <v>137</v>
      </c>
      <c r="I31" s="186">
        <v>2</v>
      </c>
      <c r="J31" s="186">
        <v>25</v>
      </c>
      <c r="K31" s="1045">
        <v>0</v>
      </c>
      <c r="L31" s="1046">
        <v>0</v>
      </c>
      <c r="M31" s="1045">
        <v>0</v>
      </c>
      <c r="N31" s="1046">
        <v>0</v>
      </c>
      <c r="O31" s="1045">
        <v>0</v>
      </c>
      <c r="P31" s="1046">
        <v>0</v>
      </c>
      <c r="Q31" s="581">
        <f>SUM(K31+M31+O31)</f>
        <v>0</v>
      </c>
      <c r="R31" s="483">
        <f>SUM(L31+N31+P31)</f>
        <v>0</v>
      </c>
      <c r="S31" s="280">
        <f>IF(Q31&lt;&gt;0,R31/I31,"")</f>
      </c>
      <c r="T31" s="221">
        <f>IF(Q31&lt;&gt;0,Q31/R31,"")</f>
      </c>
      <c r="U31" s="34"/>
      <c r="V31" s="883"/>
      <c r="W31" s="318">
        <f>Y31-Q31</f>
        <v>14138</v>
      </c>
      <c r="X31" s="245">
        <f>Z31-R31</f>
        <v>3526</v>
      </c>
      <c r="Y31" s="1106">
        <v>14138</v>
      </c>
      <c r="Z31" s="1107">
        <v>3526</v>
      </c>
      <c r="AA31" s="970">
        <f>R31*1/Z31</f>
        <v>0</v>
      </c>
      <c r="AB31" s="970">
        <f>X31*1/Z31</f>
        <v>1</v>
      </c>
      <c r="AC31" s="94">
        <f>Z31/I31</f>
        <v>1763</v>
      </c>
      <c r="AD31" s="212">
        <f>Y31/Z31</f>
        <v>4.009642654566081</v>
      </c>
      <c r="AE31" s="96"/>
      <c r="AF31" s="1097"/>
      <c r="AG31" s="12">
        <f>1093950.25+883807.25+882248.49+232093.5+101981.5+57830.5+19947.5+33359.5+10973.5+10465+4630+3501.5+10659+9758.5+3633+5790+6145.5+1329.5+1868.5+1128+2980.5+1299.5+16988+15449+14138</f>
        <v>3425955.49</v>
      </c>
      <c r="AH31" s="13">
        <f>103570+88345+90215+25333+13427+8958+3731+5336+2366+2057+997+691+1831+2140+654+1021+736+207+401+189+424+234+4142+3841+3526</f>
        <v>364372</v>
      </c>
      <c r="AI31" s="276">
        <f>+AG31/AH31</f>
        <v>9.402356630037435</v>
      </c>
      <c r="AJ31" s="655">
        <v>21</v>
      </c>
    </row>
    <row r="32" spans="1:36" s="90" customFormat="1" ht="9.75" customHeight="1">
      <c r="A32" s="338">
        <v>22</v>
      </c>
      <c r="B32" s="677"/>
      <c r="C32" s="880"/>
      <c r="D32" s="1041"/>
      <c r="E32" s="588" t="s">
        <v>406</v>
      </c>
      <c r="F32" s="113">
        <v>40767</v>
      </c>
      <c r="G32" s="588" t="s">
        <v>10</v>
      </c>
      <c r="H32" s="119">
        <v>56</v>
      </c>
      <c r="I32" s="3">
        <v>21</v>
      </c>
      <c r="J32" s="3">
        <v>7</v>
      </c>
      <c r="K32" s="10">
        <v>1572</v>
      </c>
      <c r="L32" s="11">
        <v>171</v>
      </c>
      <c r="M32" s="10">
        <v>3553</v>
      </c>
      <c r="N32" s="11">
        <v>368</v>
      </c>
      <c r="O32" s="10">
        <v>3138</v>
      </c>
      <c r="P32" s="11">
        <v>336</v>
      </c>
      <c r="Q32" s="581">
        <f>+K32+M32+O32</f>
        <v>8263</v>
      </c>
      <c r="R32" s="483">
        <f>+L32+N32+P32</f>
        <v>875</v>
      </c>
      <c r="S32" s="245">
        <f>IF(Q32&lt;&gt;0,R32/I32,"")</f>
        <v>41.666666666666664</v>
      </c>
      <c r="T32" s="211">
        <f>IF(Q32&lt;&gt;0,Q32/R32,"")</f>
        <v>9.443428571428571</v>
      </c>
      <c r="U32" s="591">
        <v>14574</v>
      </c>
      <c r="V32" s="883">
        <f>IF(U32&lt;&gt;0,-(U32-Q32)/U32,"")</f>
        <v>-0.43303142582681486</v>
      </c>
      <c r="W32" s="318">
        <f>Y32-Q32</f>
        <v>5463</v>
      </c>
      <c r="X32" s="245">
        <f>Z32-R32</f>
        <v>705</v>
      </c>
      <c r="Y32" s="1104">
        <v>13726</v>
      </c>
      <c r="Z32" s="1105">
        <v>1580</v>
      </c>
      <c r="AA32" s="970">
        <f>R32*1/Z32</f>
        <v>0.5537974683544303</v>
      </c>
      <c r="AB32" s="970">
        <f>X32*1/Z32</f>
        <v>0.4462025316455696</v>
      </c>
      <c r="AC32" s="94">
        <f>Z32/I32</f>
        <v>75.23809523809524</v>
      </c>
      <c r="AD32" s="212">
        <f>Y32/Z32</f>
        <v>8.687341772151898</v>
      </c>
      <c r="AE32" s="96">
        <v>27968</v>
      </c>
      <c r="AF32" s="1097">
        <f>IF(AE32&lt;&gt;0,-(AE32-Y32)/AE32,"")</f>
        <v>-0.509224828375286</v>
      </c>
      <c r="AG32" s="44">
        <v>1224807</v>
      </c>
      <c r="AH32" s="46">
        <v>106635</v>
      </c>
      <c r="AI32" s="276">
        <f>+AG32/AH32</f>
        <v>11.485975523983683</v>
      </c>
      <c r="AJ32" s="655">
        <v>22</v>
      </c>
    </row>
    <row r="33" spans="1:36" s="90" customFormat="1" ht="9.75" customHeight="1">
      <c r="A33" s="338">
        <v>23</v>
      </c>
      <c r="B33" s="677"/>
      <c r="C33" s="880"/>
      <c r="D33" s="1041"/>
      <c r="E33" s="881" t="s">
        <v>400</v>
      </c>
      <c r="F33" s="567">
        <v>40760</v>
      </c>
      <c r="G33" s="881" t="s">
        <v>62</v>
      </c>
      <c r="H33" s="213">
        <v>15</v>
      </c>
      <c r="I33" s="215">
        <v>15</v>
      </c>
      <c r="J33" s="215">
        <v>8</v>
      </c>
      <c r="K33" s="217">
        <v>1060</v>
      </c>
      <c r="L33" s="216">
        <v>144</v>
      </c>
      <c r="M33" s="217">
        <v>2245.5</v>
      </c>
      <c r="N33" s="216">
        <v>293</v>
      </c>
      <c r="O33" s="217">
        <v>2492</v>
      </c>
      <c r="P33" s="216">
        <v>325</v>
      </c>
      <c r="Q33" s="34">
        <f>SUM(K33+M33+O33)</f>
        <v>5797.5</v>
      </c>
      <c r="R33" s="896">
        <f>SUM(L33+N33+P33)</f>
        <v>762</v>
      </c>
      <c r="S33" s="280">
        <f>IF(Q33&lt;&gt;0,R33/I33,"")</f>
        <v>50.8</v>
      </c>
      <c r="T33" s="211">
        <f>IF(Q33&lt;&gt;0,Q33/R33,"")</f>
        <v>7.608267716535433</v>
      </c>
      <c r="U33" s="591">
        <v>5871.5</v>
      </c>
      <c r="V33" s="883">
        <f>IF(U33&lt;&gt;0,-(U33-Q33)/U33,"")</f>
        <v>-0.012603253001788299</v>
      </c>
      <c r="W33" s="318">
        <f>Y33-Q33</f>
        <v>4370.5</v>
      </c>
      <c r="X33" s="245">
        <f>Z33-R33</f>
        <v>651</v>
      </c>
      <c r="Y33" s="1110">
        <v>10168</v>
      </c>
      <c r="Z33" s="1109">
        <v>1413</v>
      </c>
      <c r="AA33" s="970">
        <f>R33*1/Z33</f>
        <v>0.5392781316348195</v>
      </c>
      <c r="AB33" s="970">
        <f>X33*1/Z33</f>
        <v>0.4607218683651805</v>
      </c>
      <c r="AC33" s="94">
        <f>Z33/I33</f>
        <v>94.2</v>
      </c>
      <c r="AD33" s="212">
        <f>Y33/Z33</f>
        <v>7.196036801132342</v>
      </c>
      <c r="AE33" s="96">
        <v>11617</v>
      </c>
      <c r="AF33" s="1097">
        <f>IF(AE33&lt;&gt;0,-(AE33-Y33)/AE33,"")</f>
        <v>-0.12473099767581992</v>
      </c>
      <c r="AG33" s="217">
        <v>154377</v>
      </c>
      <c r="AH33" s="216">
        <v>20014</v>
      </c>
      <c r="AI33" s="1098">
        <f>+AG33/AH33</f>
        <v>7.713450584590786</v>
      </c>
      <c r="AJ33" s="655">
        <v>23</v>
      </c>
    </row>
    <row r="34" spans="1:36" s="90" customFormat="1" ht="9.75" customHeight="1">
      <c r="A34" s="338">
        <v>24</v>
      </c>
      <c r="B34" s="677"/>
      <c r="C34" s="880"/>
      <c r="D34" s="891"/>
      <c r="E34" s="882" t="s">
        <v>407</v>
      </c>
      <c r="F34" s="32">
        <v>40767</v>
      </c>
      <c r="G34" s="588" t="s">
        <v>31</v>
      </c>
      <c r="H34" s="181">
        <v>39</v>
      </c>
      <c r="I34" s="186">
        <v>15</v>
      </c>
      <c r="J34" s="186">
        <v>7</v>
      </c>
      <c r="K34" s="1045">
        <v>901</v>
      </c>
      <c r="L34" s="1046">
        <v>135</v>
      </c>
      <c r="M34" s="1045">
        <v>2563</v>
      </c>
      <c r="N34" s="1046">
        <v>358</v>
      </c>
      <c r="O34" s="1045">
        <v>2327</v>
      </c>
      <c r="P34" s="1046">
        <v>323</v>
      </c>
      <c r="Q34" s="593">
        <f>SUM(K34+M34+O34)</f>
        <v>5791</v>
      </c>
      <c r="R34" s="592">
        <f>SUM(L34+N34+P34)</f>
        <v>816</v>
      </c>
      <c r="S34" s="592">
        <f>R34/I34</f>
        <v>54.4</v>
      </c>
      <c r="T34" s="211">
        <f>IF(Q34&lt;&gt;0,Q34/R34,"")</f>
        <v>7.096813725490196</v>
      </c>
      <c r="U34" s="557">
        <v>5988</v>
      </c>
      <c r="V34" s="883">
        <f>IF(U34&lt;&gt;0,-(U34-Q34)/U34,"")</f>
        <v>-0.03289913159652639</v>
      </c>
      <c r="W34" s="318">
        <f>Y34-Q34</f>
        <v>3966.5</v>
      </c>
      <c r="X34" s="245">
        <f>Z34-R34</f>
        <v>585</v>
      </c>
      <c r="Y34" s="1106">
        <v>9757.5</v>
      </c>
      <c r="Z34" s="1107">
        <v>1401</v>
      </c>
      <c r="AA34" s="970">
        <f>R34*1/Z34</f>
        <v>0.582441113490364</v>
      </c>
      <c r="AB34" s="970">
        <f>X34*1/Z34</f>
        <v>0.41755888650963596</v>
      </c>
      <c r="AC34" s="94">
        <f>Z34/I34</f>
        <v>93.4</v>
      </c>
      <c r="AD34" s="212">
        <f>Y34/Z34</f>
        <v>6.964668094218416</v>
      </c>
      <c r="AE34" s="96">
        <v>11547.5</v>
      </c>
      <c r="AF34" s="1097">
        <f>IF(AE34&lt;&gt;0,-(AE34-Y34)/AE34,"")</f>
        <v>-0.1550119073392509</v>
      </c>
      <c r="AG34" s="12">
        <f>227782+93706+36180+21819+14718.5+11547.5+9757.5</f>
        <v>415510.5</v>
      </c>
      <c r="AH34" s="13">
        <f>21125+9522+4298+2881+1947+1746+1401</f>
        <v>42920</v>
      </c>
      <c r="AI34" s="276">
        <f>+AG34/AH34</f>
        <v>9.681046132339235</v>
      </c>
      <c r="AJ34" s="655">
        <v>24</v>
      </c>
    </row>
    <row r="35" spans="1:36" s="90" customFormat="1" ht="9.75" customHeight="1">
      <c r="A35" s="338">
        <v>25</v>
      </c>
      <c r="B35" s="802"/>
      <c r="C35" s="880"/>
      <c r="D35" s="891"/>
      <c r="E35" s="24" t="s">
        <v>432</v>
      </c>
      <c r="F35" s="2">
        <v>40760</v>
      </c>
      <c r="G35" s="588" t="s">
        <v>21</v>
      </c>
      <c r="H35" s="5">
        <v>50</v>
      </c>
      <c r="I35" s="3">
        <v>15</v>
      </c>
      <c r="J35" s="3">
        <v>8</v>
      </c>
      <c r="K35" s="10">
        <v>1294</v>
      </c>
      <c r="L35" s="11">
        <v>208</v>
      </c>
      <c r="M35" s="10">
        <v>2323</v>
      </c>
      <c r="N35" s="11">
        <v>353</v>
      </c>
      <c r="O35" s="10">
        <v>2122.5</v>
      </c>
      <c r="P35" s="11">
        <v>320</v>
      </c>
      <c r="Q35" s="581">
        <f>+K35+M35+O35</f>
        <v>5739.5</v>
      </c>
      <c r="R35" s="483">
        <f>+L35+N35+P35</f>
        <v>881</v>
      </c>
      <c r="S35" s="280">
        <f>IF(Q35&lt;&gt;0,R35/I35,"")</f>
        <v>58.733333333333334</v>
      </c>
      <c r="T35" s="211">
        <f>IF(Q35&lt;&gt;0,Q35/R35,"")</f>
        <v>6.514755959137344</v>
      </c>
      <c r="U35" s="34">
        <v>1960</v>
      </c>
      <c r="V35" s="883">
        <f>IF(U35&lt;&gt;0,-(U35-Q35)/U35,"")</f>
        <v>1.9283163265306122</v>
      </c>
      <c r="W35" s="318">
        <f>Y35-Q35</f>
        <v>3495</v>
      </c>
      <c r="X35" s="245">
        <f>Z35-R35</f>
        <v>574</v>
      </c>
      <c r="Y35" s="1115">
        <v>9234.5</v>
      </c>
      <c r="Z35" s="1116">
        <v>1455</v>
      </c>
      <c r="AA35" s="970">
        <f>R35*1/Z35</f>
        <v>0.6054982817869415</v>
      </c>
      <c r="AB35" s="970">
        <f>X35*1/Z35</f>
        <v>0.3945017182130584</v>
      </c>
      <c r="AC35" s="94">
        <f>Z35/I35</f>
        <v>97</v>
      </c>
      <c r="AD35" s="212">
        <f>Y35/Z35</f>
        <v>6.346735395189003</v>
      </c>
      <c r="AE35" s="96">
        <v>4094.5</v>
      </c>
      <c r="AF35" s="1097">
        <f>IF(AE35&lt;&gt;0,-(AE35-Y35)/AE35,"")</f>
        <v>1.2553425326657712</v>
      </c>
      <c r="AG35" s="35">
        <f>67535+40656.5+19844+37179+18125.5+8409+4094.5+9234.5</f>
        <v>205078</v>
      </c>
      <c r="AH35" s="38">
        <f>6900+4516+2977+4823+2464+1226+612+1455</f>
        <v>24973</v>
      </c>
      <c r="AI35" s="276">
        <f>+AG35/AH35</f>
        <v>8.21198894806391</v>
      </c>
      <c r="AJ35" s="655">
        <v>25</v>
      </c>
    </row>
    <row r="36" spans="1:36" s="90" customFormat="1" ht="9.75" customHeight="1">
      <c r="A36" s="338">
        <v>26</v>
      </c>
      <c r="B36" s="677"/>
      <c r="C36" s="880"/>
      <c r="D36" s="1041"/>
      <c r="E36" s="888" t="s">
        <v>436</v>
      </c>
      <c r="F36" s="113">
        <v>40788</v>
      </c>
      <c r="G36" s="588" t="s">
        <v>23</v>
      </c>
      <c r="H36" s="181">
        <v>40</v>
      </c>
      <c r="I36" s="33">
        <v>22</v>
      </c>
      <c r="J36" s="33">
        <v>4</v>
      </c>
      <c r="K36" s="1042">
        <v>1348</v>
      </c>
      <c r="L36" s="1043">
        <v>190</v>
      </c>
      <c r="M36" s="1042">
        <v>2090</v>
      </c>
      <c r="N36" s="1043">
        <v>284</v>
      </c>
      <c r="O36" s="1042">
        <v>2520</v>
      </c>
      <c r="P36" s="1043">
        <v>338</v>
      </c>
      <c r="Q36" s="581">
        <f>SUM(K36+M36+O36)</f>
        <v>5958</v>
      </c>
      <c r="R36" s="483">
        <f>SUM(L36+N36+P36)</f>
        <v>812</v>
      </c>
      <c r="S36" s="280">
        <f>IF(Q36&lt;&gt;0,R36/I36,"")</f>
        <v>36.90909090909091</v>
      </c>
      <c r="T36" s="211">
        <f>IF(Q36&lt;&gt;0,Q36/R36,"")</f>
        <v>7.33743842364532</v>
      </c>
      <c r="U36" s="34">
        <v>7597</v>
      </c>
      <c r="V36" s="883">
        <f>IF(U36&lt;&gt;0,-(U36-Q36)/U36,"")</f>
        <v>-0.21574305646965908</v>
      </c>
      <c r="W36" s="318">
        <f>Y36-Q36</f>
        <v>3060</v>
      </c>
      <c r="X36" s="245">
        <f>Z36-R36</f>
        <v>455</v>
      </c>
      <c r="Y36" s="1113">
        <v>9018</v>
      </c>
      <c r="Z36" s="1114">
        <v>1267</v>
      </c>
      <c r="AA36" s="970">
        <f>R36*1/Z36</f>
        <v>0.6408839779005525</v>
      </c>
      <c r="AB36" s="970">
        <f>X36*1/Z36</f>
        <v>0.35911602209944754</v>
      </c>
      <c r="AC36" s="94">
        <f>Z36/I36</f>
        <v>57.59090909090909</v>
      </c>
      <c r="AD36" s="212">
        <f>Y36/Z36</f>
        <v>7.117600631412786</v>
      </c>
      <c r="AE36" s="96">
        <v>14714</v>
      </c>
      <c r="AF36" s="1097">
        <f>IF(AE36&lt;&gt;0,-(AE36-Y36)/AE36,"")</f>
        <v>-0.3871143128992796</v>
      </c>
      <c r="AG36" s="242">
        <v>173214</v>
      </c>
      <c r="AH36" s="216">
        <v>15558</v>
      </c>
      <c r="AI36" s="1098">
        <f>AG36/AH36</f>
        <v>11.133436174315465</v>
      </c>
      <c r="AJ36" s="655">
        <v>26</v>
      </c>
    </row>
    <row r="37" spans="1:36" s="90" customFormat="1" ht="9.75" customHeight="1">
      <c r="A37" s="338">
        <v>27</v>
      </c>
      <c r="B37" s="890"/>
      <c r="C37" s="880"/>
      <c r="D37" s="891"/>
      <c r="E37" s="1054" t="s">
        <v>454</v>
      </c>
      <c r="F37" s="1081">
        <v>40802</v>
      </c>
      <c r="G37" s="881" t="s">
        <v>62</v>
      </c>
      <c r="H37" s="213">
        <v>8</v>
      </c>
      <c r="I37" s="215">
        <v>8</v>
      </c>
      <c r="J37" s="215">
        <v>2</v>
      </c>
      <c r="K37" s="217">
        <v>1465</v>
      </c>
      <c r="L37" s="216">
        <v>137</v>
      </c>
      <c r="M37" s="217">
        <v>2048</v>
      </c>
      <c r="N37" s="216">
        <v>200</v>
      </c>
      <c r="O37" s="217">
        <v>1889.5</v>
      </c>
      <c r="P37" s="216">
        <v>183</v>
      </c>
      <c r="Q37" s="593">
        <f>SUM(K37+M37+O37)</f>
        <v>5402.5</v>
      </c>
      <c r="R37" s="592">
        <f>SUM(L37+N37+P37)</f>
        <v>520</v>
      </c>
      <c r="S37" s="592">
        <f>R37/I37</f>
        <v>65</v>
      </c>
      <c r="T37" s="211">
        <f>+Q37/R37</f>
        <v>10.389423076923077</v>
      </c>
      <c r="U37" s="34">
        <v>14161.5</v>
      </c>
      <c r="V37" s="883">
        <f>IF(U37&lt;&gt;0,-(U37-Q37)/U37,"")</f>
        <v>-0.6185079264202239</v>
      </c>
      <c r="W37" s="318">
        <f>Y37-Q37</f>
        <v>3331</v>
      </c>
      <c r="X37" s="245">
        <f>Z37-R37</f>
        <v>338</v>
      </c>
      <c r="Y37" s="1110">
        <v>8733.5</v>
      </c>
      <c r="Z37" s="1109">
        <v>858</v>
      </c>
      <c r="AA37" s="970">
        <f>R37*1/Z37</f>
        <v>0.6060606060606061</v>
      </c>
      <c r="AB37" s="970">
        <f>X37*1/Z37</f>
        <v>0.3939393939393939</v>
      </c>
      <c r="AC37" s="94">
        <f>Z37/I37</f>
        <v>107.25</v>
      </c>
      <c r="AD37" s="212">
        <f>Y37/Z37</f>
        <v>10.17890442890443</v>
      </c>
      <c r="AE37" s="96">
        <v>26450</v>
      </c>
      <c r="AF37" s="1097">
        <f>IF(AE37&lt;&gt;0,-(AE37-Y37)/AE37,"")</f>
        <v>-0.6698109640831758</v>
      </c>
      <c r="AG37" s="217">
        <v>35183.5</v>
      </c>
      <c r="AH37" s="216">
        <v>2986</v>
      </c>
      <c r="AI37" s="276">
        <f>+AG37/AH37</f>
        <v>11.782819825853986</v>
      </c>
      <c r="AJ37" s="655">
        <v>27</v>
      </c>
    </row>
    <row r="38" spans="1:36" s="90" customFormat="1" ht="9.75" customHeight="1">
      <c r="A38" s="338">
        <v>28</v>
      </c>
      <c r="B38" s="677"/>
      <c r="C38" s="880"/>
      <c r="D38" s="1041"/>
      <c r="E38" s="618" t="s">
        <v>426</v>
      </c>
      <c r="F38" s="32">
        <v>40781</v>
      </c>
      <c r="G38" s="588" t="s">
        <v>23</v>
      </c>
      <c r="H38" s="5">
        <v>74</v>
      </c>
      <c r="I38" s="33">
        <v>18</v>
      </c>
      <c r="J38" s="33">
        <v>5</v>
      </c>
      <c r="K38" s="1042">
        <v>1329</v>
      </c>
      <c r="L38" s="1043">
        <v>201</v>
      </c>
      <c r="M38" s="1042">
        <v>2123</v>
      </c>
      <c r="N38" s="1043">
        <v>299</v>
      </c>
      <c r="O38" s="1042">
        <v>2048</v>
      </c>
      <c r="P38" s="1043">
        <v>287</v>
      </c>
      <c r="Q38" s="581">
        <f>+K38+M38+O38</f>
        <v>5500</v>
      </c>
      <c r="R38" s="483">
        <f>+L38+N38+P38</f>
        <v>787</v>
      </c>
      <c r="S38" s="280">
        <f>IF(Q38&lt;&gt;0,R38/I38,"")</f>
        <v>43.72222222222222</v>
      </c>
      <c r="T38" s="211">
        <f>IF(Q38&lt;&gt;0,Q38/R38,"")</f>
        <v>6.98856416772554</v>
      </c>
      <c r="U38" s="557">
        <v>15825</v>
      </c>
      <c r="V38" s="883">
        <f>IF(U38&lt;&gt;0,-(U38-Q38)/U38,"")</f>
        <v>-0.6524486571879937</v>
      </c>
      <c r="W38" s="318">
        <f>Y38-Q38</f>
        <v>2741</v>
      </c>
      <c r="X38" s="245">
        <f>Z38-R38</f>
        <v>438</v>
      </c>
      <c r="Y38" s="1110">
        <v>8241</v>
      </c>
      <c r="Z38" s="1109">
        <v>1225</v>
      </c>
      <c r="AA38" s="970">
        <f>R38*1/Z38</f>
        <v>0.6424489795918368</v>
      </c>
      <c r="AB38" s="970">
        <f>X38*1/Z38</f>
        <v>0.3575510204081633</v>
      </c>
      <c r="AC38" s="94">
        <f>Z38/I38</f>
        <v>68.05555555555556</v>
      </c>
      <c r="AD38" s="212">
        <f>Y38/Z38</f>
        <v>6.7273469387755105</v>
      </c>
      <c r="AE38" s="96">
        <v>27675</v>
      </c>
      <c r="AF38" s="1097">
        <f>IF(AE38&lt;&gt;0,-(AE38-Y38)/AE38,"")</f>
        <v>-0.7022222222222222</v>
      </c>
      <c r="AG38" s="217">
        <v>601479</v>
      </c>
      <c r="AH38" s="216">
        <v>58200</v>
      </c>
      <c r="AI38" s="276">
        <f>+AG38/AH38</f>
        <v>10.334690721649485</v>
      </c>
      <c r="AJ38" s="655">
        <v>28</v>
      </c>
    </row>
    <row r="39" spans="1:36" s="90" customFormat="1" ht="9.75" customHeight="1">
      <c r="A39" s="338">
        <v>29</v>
      </c>
      <c r="B39" s="677"/>
      <c r="C39" s="880"/>
      <c r="D39" s="1041"/>
      <c r="E39" s="588" t="s">
        <v>389</v>
      </c>
      <c r="F39" s="113">
        <v>40753</v>
      </c>
      <c r="G39" s="588" t="s">
        <v>31</v>
      </c>
      <c r="H39" s="181">
        <v>58</v>
      </c>
      <c r="I39" s="186">
        <v>14</v>
      </c>
      <c r="J39" s="186">
        <v>9</v>
      </c>
      <c r="K39" s="1045">
        <v>849</v>
      </c>
      <c r="L39" s="1046">
        <v>150</v>
      </c>
      <c r="M39" s="1045">
        <v>1369</v>
      </c>
      <c r="N39" s="1046">
        <v>217</v>
      </c>
      <c r="O39" s="1045">
        <v>1537</v>
      </c>
      <c r="P39" s="1046">
        <v>247</v>
      </c>
      <c r="Q39" s="593">
        <f>SUM(K39+M39+O39)</f>
        <v>3755</v>
      </c>
      <c r="R39" s="592">
        <f>SUM(L39+N39+P39)</f>
        <v>614</v>
      </c>
      <c r="S39" s="592">
        <f>R39/I39</f>
        <v>43.857142857142854</v>
      </c>
      <c r="T39" s="211">
        <f>IF(Q39&lt;&gt;0,Q39/R39,"")</f>
        <v>6.115635179153094</v>
      </c>
      <c r="U39" s="557">
        <v>2411</v>
      </c>
      <c r="V39" s="883">
        <f>IF(U39&lt;&gt;0,-(U39-Q39)/U39,"")</f>
        <v>0.557445043550394</v>
      </c>
      <c r="W39" s="318">
        <f>Y39-Q39</f>
        <v>3945.5</v>
      </c>
      <c r="X39" s="245">
        <f>Z39-R39</f>
        <v>697</v>
      </c>
      <c r="Y39" s="1106">
        <v>7700.5</v>
      </c>
      <c r="Z39" s="1107">
        <v>1311</v>
      </c>
      <c r="AA39" s="970">
        <f>R39*1/Z39</f>
        <v>0.4683447749809306</v>
      </c>
      <c r="AB39" s="970">
        <f>X39*1/Z39</f>
        <v>0.5316552250190694</v>
      </c>
      <c r="AC39" s="94">
        <f>Z39/I39</f>
        <v>93.64285714285714</v>
      </c>
      <c r="AD39" s="212">
        <f>Y39/Z39</f>
        <v>5.8737604881769645</v>
      </c>
      <c r="AE39" s="96">
        <v>4137</v>
      </c>
      <c r="AF39" s="1097">
        <f>IF(AE39&lt;&gt;0,-(AE39-Y39)/AE39,"")</f>
        <v>0.8613729755861735</v>
      </c>
      <c r="AG39" s="12">
        <f>159826+108118.5+46649+24455+74855+32945.5+7885+4137+7700.5</f>
        <v>466571.5</v>
      </c>
      <c r="AH39" s="13">
        <f>16534+11741+6112+3510+9606+4566+1219+550+1311</f>
        <v>55149</v>
      </c>
      <c r="AI39" s="1098">
        <f>+AG39/AH39</f>
        <v>8.460198734337885</v>
      </c>
      <c r="AJ39" s="655">
        <v>29</v>
      </c>
    </row>
    <row r="40" spans="1:36" s="90" customFormat="1" ht="9.75" customHeight="1">
      <c r="A40" s="338">
        <v>30</v>
      </c>
      <c r="B40" s="802"/>
      <c r="C40" s="880"/>
      <c r="D40" s="880"/>
      <c r="E40" s="881" t="s">
        <v>419</v>
      </c>
      <c r="F40" s="399">
        <v>40774</v>
      </c>
      <c r="G40" s="881" t="s">
        <v>62</v>
      </c>
      <c r="H40" s="213">
        <v>7</v>
      </c>
      <c r="I40" s="215">
        <v>7</v>
      </c>
      <c r="J40" s="215">
        <v>6</v>
      </c>
      <c r="K40" s="217">
        <v>1064</v>
      </c>
      <c r="L40" s="216">
        <v>134</v>
      </c>
      <c r="M40" s="217">
        <v>1659</v>
      </c>
      <c r="N40" s="216">
        <v>177</v>
      </c>
      <c r="O40" s="217">
        <v>1879</v>
      </c>
      <c r="P40" s="216">
        <v>215</v>
      </c>
      <c r="Q40" s="593">
        <f>SUM(K40+M40+O40)</f>
        <v>4602</v>
      </c>
      <c r="R40" s="592">
        <f>SUM(L40+N40+P40)</f>
        <v>526</v>
      </c>
      <c r="S40" s="592">
        <f>R40/I40</f>
        <v>75.14285714285714</v>
      </c>
      <c r="T40" s="892">
        <f>Q40/R40</f>
        <v>8.749049429657795</v>
      </c>
      <c r="U40" s="557">
        <v>4622</v>
      </c>
      <c r="V40" s="883">
        <f>IF(U40&lt;&gt;0,-(U40-Q40)/U40,"")</f>
        <v>-0.004327131112072695</v>
      </c>
      <c r="W40" s="318">
        <f>Y40-Q40</f>
        <v>3073</v>
      </c>
      <c r="X40" s="245">
        <f>Z40-R40</f>
        <v>398</v>
      </c>
      <c r="Y40" s="1110">
        <v>7675</v>
      </c>
      <c r="Z40" s="1109">
        <v>924</v>
      </c>
      <c r="AA40" s="970">
        <f>R40*1/Z40</f>
        <v>0.5692640692640693</v>
      </c>
      <c r="AB40" s="970">
        <f>X40*1/Z40</f>
        <v>0.43073593073593075</v>
      </c>
      <c r="AC40" s="94">
        <f>Z40/I40</f>
        <v>132</v>
      </c>
      <c r="AD40" s="212">
        <f>Y40/Z40</f>
        <v>8.306277056277056</v>
      </c>
      <c r="AE40" s="96">
        <v>9812</v>
      </c>
      <c r="AF40" s="1097">
        <f>IF(AE40&lt;&gt;0,-(AE40-Y40)/AE40,"")</f>
        <v>-0.21779453730126375</v>
      </c>
      <c r="AG40" s="217">
        <v>90372.5</v>
      </c>
      <c r="AH40" s="216">
        <v>10515</v>
      </c>
      <c r="AI40" s="1098">
        <f>+AG40/AH40</f>
        <v>8.594626723728007</v>
      </c>
      <c r="AJ40" s="655">
        <v>30</v>
      </c>
    </row>
    <row r="41" spans="1:36" s="90" customFormat="1" ht="9.75" customHeight="1">
      <c r="A41" s="338">
        <v>31</v>
      </c>
      <c r="B41" s="802"/>
      <c r="C41" s="880"/>
      <c r="D41" s="1048"/>
      <c r="E41" s="882" t="s">
        <v>418</v>
      </c>
      <c r="F41" s="32">
        <v>40774</v>
      </c>
      <c r="G41" s="588" t="s">
        <v>31</v>
      </c>
      <c r="H41" s="181">
        <v>25</v>
      </c>
      <c r="I41" s="186">
        <v>17</v>
      </c>
      <c r="J41" s="186">
        <v>6</v>
      </c>
      <c r="K41" s="1045">
        <v>839</v>
      </c>
      <c r="L41" s="1046">
        <v>130</v>
      </c>
      <c r="M41" s="1045">
        <v>1423</v>
      </c>
      <c r="N41" s="1046">
        <v>212</v>
      </c>
      <c r="O41" s="1045">
        <v>1758</v>
      </c>
      <c r="P41" s="1046">
        <v>287</v>
      </c>
      <c r="Q41" s="581">
        <f>+K41+M41+O41</f>
        <v>4020</v>
      </c>
      <c r="R41" s="483">
        <f>+L41+N41+P41</f>
        <v>629</v>
      </c>
      <c r="S41" s="280">
        <f>IF(Q41&lt;&gt;0,R41/I41,"")</f>
        <v>37</v>
      </c>
      <c r="T41" s="211">
        <f>IF(Q41&lt;&gt;0,Q41/R41,"")</f>
        <v>6.391096979332273</v>
      </c>
      <c r="U41" s="557">
        <v>3508.5</v>
      </c>
      <c r="V41" s="883">
        <f>IF(U41&lt;&gt;0,-(U41-Q41)/U41,"")</f>
        <v>0.14578879863189398</v>
      </c>
      <c r="W41" s="318">
        <f>Y41-Q41</f>
        <v>3095.5</v>
      </c>
      <c r="X41" s="245">
        <f>Z41-R41</f>
        <v>625</v>
      </c>
      <c r="Y41" s="1106">
        <v>7115.5</v>
      </c>
      <c r="Z41" s="1107">
        <v>1254</v>
      </c>
      <c r="AA41" s="970">
        <f>R41*1/Z41</f>
        <v>0.5015948963317385</v>
      </c>
      <c r="AB41" s="970">
        <f>X41*1/Z41</f>
        <v>0.4984051036682616</v>
      </c>
      <c r="AC41" s="94">
        <f>Z41/I41</f>
        <v>73.76470588235294</v>
      </c>
      <c r="AD41" s="212">
        <f>Y41/Z41</f>
        <v>5.674242424242424</v>
      </c>
      <c r="AE41" s="96">
        <v>5511.5</v>
      </c>
      <c r="AF41" s="1097">
        <f>IF(AE41&lt;&gt;0,-(AE41-Y41)/AE41,"")</f>
        <v>0.2910278508572984</v>
      </c>
      <c r="AG41" s="12">
        <f>71665+23168+6045+9867+5511.5+7115.5</f>
        <v>123372</v>
      </c>
      <c r="AH41" s="13">
        <f>5766+2127+747+1564+727+1254</f>
        <v>12185</v>
      </c>
      <c r="AI41" s="276">
        <f>+AG41/AH41</f>
        <v>10.124907673368897</v>
      </c>
      <c r="AJ41" s="655">
        <v>31</v>
      </c>
    </row>
    <row r="42" spans="1:38" s="90" customFormat="1" ht="9.75" customHeight="1">
      <c r="A42" s="338">
        <v>32</v>
      </c>
      <c r="B42" s="802"/>
      <c r="C42" s="880"/>
      <c r="D42" s="880"/>
      <c r="E42" s="888" t="s">
        <v>391</v>
      </c>
      <c r="F42" s="113">
        <v>40753</v>
      </c>
      <c r="G42" s="588" t="s">
        <v>72</v>
      </c>
      <c r="H42" s="181">
        <v>10</v>
      </c>
      <c r="I42" s="213">
        <v>10</v>
      </c>
      <c r="J42" s="213">
        <v>9</v>
      </c>
      <c r="K42" s="175">
        <v>982</v>
      </c>
      <c r="L42" s="39">
        <v>149</v>
      </c>
      <c r="M42" s="175">
        <v>1204</v>
      </c>
      <c r="N42" s="39">
        <v>172</v>
      </c>
      <c r="O42" s="175">
        <v>1821</v>
      </c>
      <c r="P42" s="39">
        <v>289</v>
      </c>
      <c r="Q42" s="581">
        <f>+K42+M42+O42</f>
        <v>4007</v>
      </c>
      <c r="R42" s="483">
        <f>+L42+N42+P42</f>
        <v>610</v>
      </c>
      <c r="S42" s="280">
        <f>IF(Q42&lt;&gt;0,R42/I42,"")</f>
        <v>61</v>
      </c>
      <c r="T42" s="211">
        <f>IF(Q42&lt;&gt;0,Q42/R42,"")</f>
        <v>6.5688524590163935</v>
      </c>
      <c r="U42" s="34">
        <v>3554</v>
      </c>
      <c r="V42" s="883">
        <f>IF(U42&lt;&gt;0,-(U42-Q42)/U42,"")</f>
        <v>0.12746201463140125</v>
      </c>
      <c r="W42" s="318">
        <f>Y42-Q42</f>
        <v>3074</v>
      </c>
      <c r="X42" s="895">
        <f>Z42-R42</f>
        <v>472</v>
      </c>
      <c r="Y42" s="1111">
        <v>7081</v>
      </c>
      <c r="Z42" s="1112">
        <v>1082</v>
      </c>
      <c r="AA42" s="970">
        <f>R42*1/Z42</f>
        <v>0.5637707948243993</v>
      </c>
      <c r="AB42" s="970">
        <f>X42*1/Z42</f>
        <v>0.43622920517560076</v>
      </c>
      <c r="AC42" s="94">
        <f>Z42/I42</f>
        <v>108.2</v>
      </c>
      <c r="AD42" s="212">
        <f>Y42/Z42</f>
        <v>6.544362292051756</v>
      </c>
      <c r="AE42" s="96">
        <v>7081</v>
      </c>
      <c r="AF42" s="1097">
        <f>IF(AE42&lt;&gt;0,-(AE42-Y42)/AE42,"")</f>
        <v>0</v>
      </c>
      <c r="AG42" s="175">
        <v>122859</v>
      </c>
      <c r="AH42" s="39">
        <v>14950</v>
      </c>
      <c r="AI42" s="98">
        <f>+AG42/AH42</f>
        <v>8.217993311036789</v>
      </c>
      <c r="AJ42" s="655">
        <v>32</v>
      </c>
      <c r="AL42" s="139"/>
    </row>
    <row r="43" spans="1:38" s="90" customFormat="1" ht="9.75" customHeight="1">
      <c r="A43" s="338">
        <v>33</v>
      </c>
      <c r="B43" s="802"/>
      <c r="C43" s="880"/>
      <c r="D43" s="880"/>
      <c r="E43" s="588" t="s">
        <v>382</v>
      </c>
      <c r="F43" s="567">
        <v>40746</v>
      </c>
      <c r="G43" s="588" t="s">
        <v>8</v>
      </c>
      <c r="H43" s="5">
        <v>26</v>
      </c>
      <c r="I43" s="5">
        <v>12</v>
      </c>
      <c r="J43" s="5">
        <v>10</v>
      </c>
      <c r="K43" s="10">
        <v>612</v>
      </c>
      <c r="L43" s="11">
        <v>87</v>
      </c>
      <c r="M43" s="10">
        <v>1312</v>
      </c>
      <c r="N43" s="11">
        <v>179</v>
      </c>
      <c r="O43" s="10">
        <v>1282</v>
      </c>
      <c r="P43" s="11">
        <v>175</v>
      </c>
      <c r="Q43" s="581">
        <f>+K43+M43+O43</f>
        <v>3206</v>
      </c>
      <c r="R43" s="483">
        <f>+L43+N43+P43</f>
        <v>441</v>
      </c>
      <c r="S43" s="280">
        <f>IF(Q43&lt;&gt;0,R43/I43,"")</f>
        <v>36.75</v>
      </c>
      <c r="T43" s="211">
        <f>IF(Q43&lt;&gt;0,Q43/R43,"")</f>
        <v>7.26984126984127</v>
      </c>
      <c r="U43" s="34">
        <v>5863</v>
      </c>
      <c r="V43" s="883">
        <f>IF(U43&lt;&gt;0,-(U43-Q43)/U43,"")</f>
        <v>-0.4531809653760873</v>
      </c>
      <c r="W43" s="318">
        <f>Y43-Q43</f>
        <v>1685</v>
      </c>
      <c r="X43" s="245">
        <f>Z43-R43</f>
        <v>256</v>
      </c>
      <c r="Y43" s="1111">
        <v>4891</v>
      </c>
      <c r="Z43" s="1112">
        <v>697</v>
      </c>
      <c r="AA43" s="970">
        <f>R43*1/Z43</f>
        <v>0.6327116212338594</v>
      </c>
      <c r="AB43" s="970">
        <f>X43*1/Z43</f>
        <v>0.3672883787661406</v>
      </c>
      <c r="AC43" s="94">
        <f>Z43/I43</f>
        <v>58.083333333333336</v>
      </c>
      <c r="AD43" s="212">
        <f>Y43/Z43</f>
        <v>7.017216642754663</v>
      </c>
      <c r="AE43" s="96">
        <v>11158</v>
      </c>
      <c r="AF43" s="1097">
        <f>IF(AE43&lt;&gt;0,-(AE43-Y43)/AE43,"")</f>
        <v>-0.5616597956623051</v>
      </c>
      <c r="AG43" s="10">
        <v>509309</v>
      </c>
      <c r="AH43" s="11">
        <v>48776</v>
      </c>
      <c r="AI43" s="1098">
        <f>AG43/AH43</f>
        <v>10.441795145153353</v>
      </c>
      <c r="AJ43" s="655">
        <v>33</v>
      </c>
      <c r="AL43" s="139"/>
    </row>
    <row r="44" spans="1:38" s="90" customFormat="1" ht="9.75" customHeight="1">
      <c r="A44" s="338">
        <v>34</v>
      </c>
      <c r="B44" s="802"/>
      <c r="C44" s="880"/>
      <c r="D44" s="889"/>
      <c r="E44" s="588" t="s">
        <v>399</v>
      </c>
      <c r="F44" s="113">
        <v>40760</v>
      </c>
      <c r="G44" s="588" t="s">
        <v>8</v>
      </c>
      <c r="H44" s="5">
        <v>15</v>
      </c>
      <c r="I44" s="5">
        <v>15</v>
      </c>
      <c r="J44" s="5">
        <v>8</v>
      </c>
      <c r="K44" s="10">
        <v>455</v>
      </c>
      <c r="L44" s="11">
        <v>67</v>
      </c>
      <c r="M44" s="10">
        <v>1003</v>
      </c>
      <c r="N44" s="11">
        <v>146</v>
      </c>
      <c r="O44" s="10">
        <v>1240</v>
      </c>
      <c r="P44" s="11">
        <v>185</v>
      </c>
      <c r="Q44" s="581">
        <f>SUM(K44+M44+O44)</f>
        <v>2698</v>
      </c>
      <c r="R44" s="483">
        <f>SUM(L44+N44+P44)</f>
        <v>398</v>
      </c>
      <c r="S44" s="280">
        <f>IF(Q44&lt;&gt;0,R44/I44,"")</f>
        <v>26.533333333333335</v>
      </c>
      <c r="T44" s="211">
        <f>IF(Q44&lt;&gt;0,Q44/R44,"")</f>
        <v>6.778894472361809</v>
      </c>
      <c r="U44" s="34">
        <v>6011</v>
      </c>
      <c r="V44" s="883">
        <f>IF(U44&lt;&gt;0,-(U44-Q44)/U44,"")</f>
        <v>-0.5511562136083846</v>
      </c>
      <c r="W44" s="318">
        <f>Y44-Q44</f>
        <v>1752</v>
      </c>
      <c r="X44" s="245">
        <f>Z44-R44</f>
        <v>256</v>
      </c>
      <c r="Y44" s="1111">
        <v>4450</v>
      </c>
      <c r="Z44" s="1112">
        <v>654</v>
      </c>
      <c r="AA44" s="970">
        <f>R44*1/Z44</f>
        <v>0.6085626911314985</v>
      </c>
      <c r="AB44" s="970">
        <f>X44*1/Z44</f>
        <v>0.39143730886850153</v>
      </c>
      <c r="AC44" s="94">
        <f>Z44/I44</f>
        <v>43.6</v>
      </c>
      <c r="AD44" s="212">
        <f>Y44/Z44</f>
        <v>6.804281345565749</v>
      </c>
      <c r="AE44" s="96">
        <v>10325</v>
      </c>
      <c r="AF44" s="1097">
        <f>IF(AE44&lt;&gt;0,-(AE44-Y44)/AE44,"")</f>
        <v>-0.5690072639225182</v>
      </c>
      <c r="AG44" s="10">
        <v>196396</v>
      </c>
      <c r="AH44" s="11">
        <v>17601</v>
      </c>
      <c r="AI44" s="276">
        <f>+AG44/AH44</f>
        <v>11.15822964604284</v>
      </c>
      <c r="AJ44" s="655">
        <v>34</v>
      </c>
      <c r="AL44" s="139"/>
    </row>
    <row r="45" spans="1:38" s="90" customFormat="1" ht="9.75" customHeight="1">
      <c r="A45" s="338">
        <v>35</v>
      </c>
      <c r="B45" s="802"/>
      <c r="C45" s="880"/>
      <c r="D45" s="880"/>
      <c r="E45" s="20" t="s">
        <v>383</v>
      </c>
      <c r="F45" s="2">
        <v>40746</v>
      </c>
      <c r="G45" s="588" t="s">
        <v>21</v>
      </c>
      <c r="H45" s="5">
        <v>23</v>
      </c>
      <c r="I45" s="3">
        <v>13</v>
      </c>
      <c r="J45" s="3">
        <v>10</v>
      </c>
      <c r="K45" s="10">
        <v>490</v>
      </c>
      <c r="L45" s="11">
        <v>73</v>
      </c>
      <c r="M45" s="10">
        <v>826</v>
      </c>
      <c r="N45" s="11">
        <v>121</v>
      </c>
      <c r="O45" s="10">
        <v>1053</v>
      </c>
      <c r="P45" s="11">
        <v>147</v>
      </c>
      <c r="Q45" s="581">
        <f>+K45+M45+O45</f>
        <v>2369</v>
      </c>
      <c r="R45" s="483">
        <f>+L45+N45+P45</f>
        <v>341</v>
      </c>
      <c r="S45" s="280">
        <f>IF(Q45&lt;&gt;0,R45/I45,"")</f>
        <v>26.23076923076923</v>
      </c>
      <c r="T45" s="211">
        <f>IF(Q45&lt;&gt;0,Q45/R45,"")</f>
        <v>6.947214076246334</v>
      </c>
      <c r="U45" s="34">
        <v>1315</v>
      </c>
      <c r="V45" s="883">
        <f>IF(U45&lt;&gt;0,-(U45-Q45)/U45,"")</f>
        <v>0.8015209125475286</v>
      </c>
      <c r="W45" s="318">
        <f>Y45-Q45</f>
        <v>1989</v>
      </c>
      <c r="X45" s="245">
        <f>Z45-R45</f>
        <v>298</v>
      </c>
      <c r="Y45" s="1115">
        <v>4358</v>
      </c>
      <c r="Z45" s="1116">
        <v>639</v>
      </c>
      <c r="AA45" s="970">
        <f>R45*1/Z45</f>
        <v>0.5336463223787168</v>
      </c>
      <c r="AB45" s="970">
        <f>X45*1/Z45</f>
        <v>0.46635367762128327</v>
      </c>
      <c r="AC45" s="94">
        <f>Z45/I45</f>
        <v>49.15384615384615</v>
      </c>
      <c r="AD45" s="212">
        <f>Y45/Z45</f>
        <v>6.820031298904539</v>
      </c>
      <c r="AE45" s="95">
        <v>2254</v>
      </c>
      <c r="AF45" s="1097">
        <f>IF(AE45&lt;&gt;0,-(AE45-Y45)/AE45,"")</f>
        <v>0.9334516415261757</v>
      </c>
      <c r="AG45" s="35">
        <f>47685+27229.5+17697.5+18612+19593.5+16691+6089.5+2551.5+2254+4358</f>
        <v>162761.5</v>
      </c>
      <c r="AH45" s="38">
        <f>4321+2419+2108+2430+2448+2072+892+397+346+639</f>
        <v>18072</v>
      </c>
      <c r="AI45" s="276">
        <f>+AG45/AH45</f>
        <v>9.006280433820274</v>
      </c>
      <c r="AJ45" s="655">
        <v>35</v>
      </c>
      <c r="AL45" s="139"/>
    </row>
    <row r="46" spans="1:38" s="90" customFormat="1" ht="9.75" customHeight="1">
      <c r="A46" s="338">
        <v>36</v>
      </c>
      <c r="B46" s="677"/>
      <c r="C46" s="880"/>
      <c r="D46" s="1041"/>
      <c r="E46" s="888" t="s">
        <v>425</v>
      </c>
      <c r="F46" s="113">
        <v>40781</v>
      </c>
      <c r="G46" s="588" t="s">
        <v>10</v>
      </c>
      <c r="H46" s="119">
        <v>93</v>
      </c>
      <c r="I46" s="3">
        <v>15</v>
      </c>
      <c r="J46" s="3">
        <v>5</v>
      </c>
      <c r="K46" s="10">
        <v>463</v>
      </c>
      <c r="L46" s="11">
        <v>69</v>
      </c>
      <c r="M46" s="10">
        <v>904</v>
      </c>
      <c r="N46" s="11">
        <v>135</v>
      </c>
      <c r="O46" s="10">
        <v>962</v>
      </c>
      <c r="P46" s="11">
        <v>141</v>
      </c>
      <c r="Q46" s="596">
        <f>SUM(K46+M46+O46)</f>
        <v>2329</v>
      </c>
      <c r="R46" s="595">
        <f>SUM(L46+N46+P46)</f>
        <v>345</v>
      </c>
      <c r="S46" s="280">
        <f>IF(Q46&lt;&gt;0,R46/I46,"")</f>
        <v>23</v>
      </c>
      <c r="T46" s="211">
        <f>IF(Q46&lt;&gt;0,Q46/R46,"")</f>
        <v>6.750724637681159</v>
      </c>
      <c r="U46" s="578">
        <v>6183</v>
      </c>
      <c r="V46" s="883">
        <f>IF(U46&lt;&gt;0,-(U46-Q46)/U46,"")</f>
        <v>-0.6233220119683002</v>
      </c>
      <c r="W46" s="318">
        <f>Y46-Q46</f>
        <v>1322</v>
      </c>
      <c r="X46" s="245">
        <f>Z46-R46</f>
        <v>197</v>
      </c>
      <c r="Y46" s="1104">
        <v>3651</v>
      </c>
      <c r="Z46" s="1105">
        <v>542</v>
      </c>
      <c r="AA46" s="970">
        <f>R46*1/Z46</f>
        <v>0.6365313653136532</v>
      </c>
      <c r="AB46" s="970">
        <f>X46*1/Z46</f>
        <v>0.3634686346863469</v>
      </c>
      <c r="AC46" s="94">
        <f>Z46/I46</f>
        <v>36.13333333333333</v>
      </c>
      <c r="AD46" s="212">
        <f>Y46/Z46</f>
        <v>6.736162361623617</v>
      </c>
      <c r="AE46" s="96">
        <v>12009</v>
      </c>
      <c r="AF46" s="1097">
        <f>IF(AE46&lt;&gt;0,-(AE46-Y46)/AE46,"")</f>
        <v>-0.6959780164876342</v>
      </c>
      <c r="AG46" s="44">
        <v>813968</v>
      </c>
      <c r="AH46" s="46">
        <v>70956</v>
      </c>
      <c r="AI46" s="276">
        <f>+AG46/AH46</f>
        <v>11.47144709397373</v>
      </c>
      <c r="AJ46" s="655">
        <v>36</v>
      </c>
      <c r="AL46" s="139"/>
    </row>
    <row r="47" spans="1:38" s="90" customFormat="1" ht="9.75" customHeight="1">
      <c r="A47" s="338">
        <v>37</v>
      </c>
      <c r="B47" s="677"/>
      <c r="C47" s="880"/>
      <c r="D47" s="1041"/>
      <c r="E47" s="588" t="s">
        <v>373</v>
      </c>
      <c r="F47" s="567">
        <v>40739</v>
      </c>
      <c r="G47" s="588" t="s">
        <v>10</v>
      </c>
      <c r="H47" s="5">
        <v>277</v>
      </c>
      <c r="I47" s="3">
        <v>10</v>
      </c>
      <c r="J47" s="3">
        <v>11</v>
      </c>
      <c r="K47" s="10">
        <v>556</v>
      </c>
      <c r="L47" s="11">
        <v>109</v>
      </c>
      <c r="M47" s="10">
        <v>715</v>
      </c>
      <c r="N47" s="11">
        <v>137</v>
      </c>
      <c r="O47" s="10">
        <v>683</v>
      </c>
      <c r="P47" s="11">
        <v>125</v>
      </c>
      <c r="Q47" s="581">
        <f>SUM(K47+M47+O47)</f>
        <v>1954</v>
      </c>
      <c r="R47" s="483">
        <f>SUM(L47+N47+P47)</f>
        <v>371</v>
      </c>
      <c r="S47" s="280">
        <f>IF(Q47&lt;&gt;0,R47/I47,"")</f>
        <v>37.1</v>
      </c>
      <c r="T47" s="211">
        <f>+Q47/R47</f>
        <v>5.2668463611859835</v>
      </c>
      <c r="U47" s="34">
        <v>5552</v>
      </c>
      <c r="V47" s="883">
        <f>IF(U47&lt;&gt;0,-(U47-Q47)/U47,"")</f>
        <v>-0.6480547550432276</v>
      </c>
      <c r="W47" s="318">
        <f>Y47-Q47</f>
        <v>1310</v>
      </c>
      <c r="X47" s="245">
        <f>Z47-R47</f>
        <v>225</v>
      </c>
      <c r="Y47" s="1104">
        <v>3264</v>
      </c>
      <c r="Z47" s="1105">
        <v>596</v>
      </c>
      <c r="AA47" s="970">
        <f>R47*1/Z47</f>
        <v>0.62248322147651</v>
      </c>
      <c r="AB47" s="970">
        <f>X47*1/Z47</f>
        <v>0.3775167785234899</v>
      </c>
      <c r="AC47" s="94">
        <f>Z47/I47</f>
        <v>59.6</v>
      </c>
      <c r="AD47" s="212">
        <f>Y47/Z47</f>
        <v>5.476510067114094</v>
      </c>
      <c r="AE47" s="96">
        <v>8433</v>
      </c>
      <c r="AF47" s="1097">
        <f>IF(AE47&lt;&gt;0,-(AE47-Y47)/AE47,"")</f>
        <v>-0.6129491284240484</v>
      </c>
      <c r="AG47" s="44">
        <v>7907046</v>
      </c>
      <c r="AH47" s="46">
        <v>794378</v>
      </c>
      <c r="AI47" s="276">
        <f>+AG47/AH47</f>
        <v>9.95375753104945</v>
      </c>
      <c r="AJ47" s="655">
        <v>37</v>
      </c>
      <c r="AL47" s="139"/>
    </row>
    <row r="48" spans="1:38" s="90" customFormat="1" ht="9.75" customHeight="1">
      <c r="A48" s="338">
        <v>38</v>
      </c>
      <c r="B48" s="893"/>
      <c r="C48" s="894"/>
      <c r="D48" s="1041"/>
      <c r="E48" s="24" t="s">
        <v>351</v>
      </c>
      <c r="F48" s="2">
        <v>40732</v>
      </c>
      <c r="G48" s="588" t="s">
        <v>21</v>
      </c>
      <c r="H48" s="5">
        <v>23</v>
      </c>
      <c r="I48" s="3">
        <v>8</v>
      </c>
      <c r="J48" s="3">
        <v>12</v>
      </c>
      <c r="K48" s="10">
        <v>500</v>
      </c>
      <c r="L48" s="11">
        <v>76</v>
      </c>
      <c r="M48" s="10">
        <v>842</v>
      </c>
      <c r="N48" s="11">
        <v>130</v>
      </c>
      <c r="O48" s="10">
        <v>724</v>
      </c>
      <c r="P48" s="11">
        <v>106</v>
      </c>
      <c r="Q48" s="581">
        <f>+K48+M48+O48</f>
        <v>2066</v>
      </c>
      <c r="R48" s="483">
        <f>+L48+N48+P48</f>
        <v>312</v>
      </c>
      <c r="S48" s="280">
        <f>IF(Q48&lt;&gt;0,R48/I48,"")</f>
        <v>39</v>
      </c>
      <c r="T48" s="211">
        <f>IF(Q48&lt;&gt;0,Q48/R48,"")</f>
        <v>6.621794871794871</v>
      </c>
      <c r="U48" s="557">
        <v>2163</v>
      </c>
      <c r="V48" s="883">
        <f>IF(U48&lt;&gt;0,-(U48-Q48)/U48,"")</f>
        <v>-0.044845122515025426</v>
      </c>
      <c r="W48" s="318">
        <f>Y48-Q48</f>
        <v>1085</v>
      </c>
      <c r="X48" s="245">
        <f>Z48-R48</f>
        <v>193</v>
      </c>
      <c r="Y48" s="1115">
        <v>3151</v>
      </c>
      <c r="Z48" s="1116">
        <v>505</v>
      </c>
      <c r="AA48" s="970">
        <f>R48*1/Z48</f>
        <v>0.6178217821782178</v>
      </c>
      <c r="AB48" s="970">
        <f>X48*1/Z48</f>
        <v>0.3821782178217822</v>
      </c>
      <c r="AC48" s="94">
        <f>Z48/I48</f>
        <v>63.125</v>
      </c>
      <c r="AD48" s="212">
        <f>Y48/Z48</f>
        <v>6.23960396039604</v>
      </c>
      <c r="AE48" s="96">
        <v>3999</v>
      </c>
      <c r="AF48" s="1097">
        <f>IF(AE48&lt;&gt;0,-(AE48-Y48)/AE48,"")</f>
        <v>-0.21205301325331333</v>
      </c>
      <c r="AG48" s="35">
        <f>63653+42613.5+25162+24678+27035+17664.5+29023+19302.5+8403+4014+3999+3151</f>
        <v>268698.5</v>
      </c>
      <c r="AH48" s="38">
        <f>5385+3679+2937+3272+3739+2418+3548+2625+1396+628+585+505</f>
        <v>30717</v>
      </c>
      <c r="AI48" s="276">
        <f>+AG48/AH48</f>
        <v>8.747550216492495</v>
      </c>
      <c r="AJ48" s="655">
        <v>38</v>
      </c>
      <c r="AL48" s="139"/>
    </row>
    <row r="49" spans="1:38" s="90" customFormat="1" ht="9.75" customHeight="1">
      <c r="A49" s="338">
        <v>39</v>
      </c>
      <c r="B49" s="677"/>
      <c r="C49" s="880"/>
      <c r="D49" s="1041"/>
      <c r="E49" s="588" t="s">
        <v>257</v>
      </c>
      <c r="F49" s="113">
        <v>40725</v>
      </c>
      <c r="G49" s="588" t="s">
        <v>31</v>
      </c>
      <c r="H49" s="181">
        <v>6</v>
      </c>
      <c r="I49" s="186">
        <v>5</v>
      </c>
      <c r="J49" s="186">
        <v>13</v>
      </c>
      <c r="K49" s="1045">
        <v>317</v>
      </c>
      <c r="L49" s="1046">
        <v>48</v>
      </c>
      <c r="M49" s="1045">
        <v>569.5</v>
      </c>
      <c r="N49" s="1046">
        <v>76</v>
      </c>
      <c r="O49" s="1045">
        <v>921.5</v>
      </c>
      <c r="P49" s="1046">
        <v>126</v>
      </c>
      <c r="Q49" s="581">
        <f>SUM(K49+M49+O49)</f>
        <v>1808</v>
      </c>
      <c r="R49" s="483">
        <f>SUM(L49+N49+P49)</f>
        <v>250</v>
      </c>
      <c r="S49" s="280">
        <f>IF(Q49&lt;&gt;0,R49/I49,"")</f>
        <v>50</v>
      </c>
      <c r="T49" s="211">
        <f>IF(Q49&lt;&gt;0,Q49/R49,"")</f>
        <v>7.232</v>
      </c>
      <c r="U49" s="34">
        <v>1441.5</v>
      </c>
      <c r="V49" s="883">
        <f>IF(U49&lt;&gt;0,-(U49-Q49)/U49,"")</f>
        <v>0.2542490461325009</v>
      </c>
      <c r="W49" s="318">
        <f>Y49-Q49</f>
        <v>1307.5</v>
      </c>
      <c r="X49" s="245">
        <f>Z49-R49</f>
        <v>207</v>
      </c>
      <c r="Y49" s="1106">
        <v>3115.5</v>
      </c>
      <c r="Z49" s="1107">
        <v>457</v>
      </c>
      <c r="AA49" s="970">
        <f>R49*1/Z49</f>
        <v>0.5470459518599562</v>
      </c>
      <c r="AB49" s="970">
        <f>X49*1/Z49</f>
        <v>0.45295404814004375</v>
      </c>
      <c r="AC49" s="94">
        <f>Z49/I49</f>
        <v>91.4</v>
      </c>
      <c r="AD49" s="212">
        <f>Y49/Z49</f>
        <v>6.817286652078774</v>
      </c>
      <c r="AE49" s="96">
        <v>3146</v>
      </c>
      <c r="AF49" s="1097">
        <f>IF(AE49&lt;&gt;0,-(AE49-Y49)/AE49,"")</f>
        <v>-0.009694850603941513</v>
      </c>
      <c r="AG49" s="12">
        <f>16465+9500+5645+13030+10398+11692+7410.5+2355+7761+5462+3973.5+3146+3115.5</f>
        <v>99953.5</v>
      </c>
      <c r="AH49" s="13">
        <f>1904+1204+844+1431+1183+1312+852+328+971+757+559+444+457</f>
        <v>12246</v>
      </c>
      <c r="AI49" s="1098">
        <f>AG49/AH49</f>
        <v>8.162134574554957</v>
      </c>
      <c r="AJ49" s="655">
        <v>39</v>
      </c>
      <c r="AL49" s="139"/>
    </row>
    <row r="50" spans="1:36" s="90" customFormat="1" ht="9.75" customHeight="1">
      <c r="A50" s="338">
        <v>40</v>
      </c>
      <c r="B50" s="802"/>
      <c r="C50" s="880"/>
      <c r="D50" s="880"/>
      <c r="E50" s="588" t="s">
        <v>256</v>
      </c>
      <c r="F50" s="113">
        <v>40725</v>
      </c>
      <c r="G50" s="588" t="s">
        <v>62</v>
      </c>
      <c r="H50" s="213">
        <v>18</v>
      </c>
      <c r="I50" s="215">
        <v>5</v>
      </c>
      <c r="J50" s="215">
        <v>13</v>
      </c>
      <c r="K50" s="217">
        <v>379</v>
      </c>
      <c r="L50" s="216">
        <v>49</v>
      </c>
      <c r="M50" s="217">
        <v>796</v>
      </c>
      <c r="N50" s="216">
        <v>102</v>
      </c>
      <c r="O50" s="217">
        <v>772</v>
      </c>
      <c r="P50" s="216">
        <v>100</v>
      </c>
      <c r="Q50" s="581">
        <f>SUM(K50+M50+O50)</f>
        <v>1947</v>
      </c>
      <c r="R50" s="483">
        <f>SUM(L50+N50+P50)</f>
        <v>251</v>
      </c>
      <c r="S50" s="595">
        <f>+R50/I50</f>
        <v>50.2</v>
      </c>
      <c r="T50" s="211">
        <f>IF(Q50&lt;&gt;0,Q50/R50,"")</f>
        <v>7.756972111553785</v>
      </c>
      <c r="U50" s="34">
        <v>1926</v>
      </c>
      <c r="V50" s="883">
        <f>IF(U50&lt;&gt;0,-(U50-Q50)/U50,"")</f>
        <v>0.010903426791277258</v>
      </c>
      <c r="W50" s="318">
        <f>Y50-Q50</f>
        <v>995</v>
      </c>
      <c r="X50" s="245">
        <f>Z50-R50</f>
        <v>165</v>
      </c>
      <c r="Y50" s="1110">
        <v>2942</v>
      </c>
      <c r="Z50" s="1109">
        <v>416</v>
      </c>
      <c r="AA50" s="970">
        <f>R50*1/Z50</f>
        <v>0.6033653846153846</v>
      </c>
      <c r="AB50" s="970">
        <f>X50*1/Z50</f>
        <v>0.39663461538461536</v>
      </c>
      <c r="AC50" s="94">
        <f>Z50/I50</f>
        <v>83.2</v>
      </c>
      <c r="AD50" s="212">
        <f>Y50/Z50</f>
        <v>7.072115384615385</v>
      </c>
      <c r="AE50" s="96">
        <v>3337.5</v>
      </c>
      <c r="AF50" s="1097">
        <f>IF(AE50&lt;&gt;0,-(AE50-Y50)/AE50,"")</f>
        <v>-0.11850187265917603</v>
      </c>
      <c r="AG50" s="217">
        <v>235823</v>
      </c>
      <c r="AH50" s="216">
        <v>25769</v>
      </c>
      <c r="AI50" s="276">
        <f>+AG50/AH50</f>
        <v>9.15142225154255</v>
      </c>
      <c r="AJ50" s="655">
        <v>40</v>
      </c>
    </row>
    <row r="51" spans="1:36" s="90" customFormat="1" ht="9.75" customHeight="1">
      <c r="A51" s="338">
        <v>41</v>
      </c>
      <c r="B51" s="677"/>
      <c r="C51" s="880"/>
      <c r="D51" s="1041"/>
      <c r="E51" s="178" t="s">
        <v>390</v>
      </c>
      <c r="F51" s="32">
        <v>40753</v>
      </c>
      <c r="G51" s="588" t="s">
        <v>31</v>
      </c>
      <c r="H51" s="181">
        <v>13</v>
      </c>
      <c r="I51" s="186">
        <v>5</v>
      </c>
      <c r="J51" s="186">
        <v>9</v>
      </c>
      <c r="K51" s="1045">
        <v>222</v>
      </c>
      <c r="L51" s="1046">
        <v>29</v>
      </c>
      <c r="M51" s="1045">
        <v>703.5</v>
      </c>
      <c r="N51" s="1046">
        <v>84</v>
      </c>
      <c r="O51" s="1045">
        <v>835</v>
      </c>
      <c r="P51" s="1046">
        <v>99</v>
      </c>
      <c r="Q51" s="593">
        <f>SUM(K51+M51+O51)</f>
        <v>1760.5</v>
      </c>
      <c r="R51" s="592">
        <f>SUM(L51+N51+P51)</f>
        <v>212</v>
      </c>
      <c r="S51" s="900">
        <f>IF(Q51&lt;&gt;0,R51/I51,"")</f>
        <v>42.4</v>
      </c>
      <c r="T51" s="211">
        <f>IF(Q51&lt;&gt;0,Q51/R51,"")</f>
        <v>8.304245283018869</v>
      </c>
      <c r="U51" s="557">
        <v>843</v>
      </c>
      <c r="V51" s="883">
        <f>IF(U51&lt;&gt;0,-(U51-Q51)/U51,"")</f>
        <v>1.0883748517200476</v>
      </c>
      <c r="W51" s="318">
        <f>Y51-Q51</f>
        <v>1132</v>
      </c>
      <c r="X51" s="245">
        <f>Z51-R51</f>
        <v>169</v>
      </c>
      <c r="Y51" s="1106">
        <v>2892.5</v>
      </c>
      <c r="Z51" s="1107">
        <v>381</v>
      </c>
      <c r="AA51" s="970">
        <f>R51*1/Z51</f>
        <v>0.5564304461942258</v>
      </c>
      <c r="AB51" s="970">
        <f>X51*1/Z51</f>
        <v>0.4435695538057743</v>
      </c>
      <c r="AC51" s="94">
        <f>Z51/I51</f>
        <v>76.2</v>
      </c>
      <c r="AD51" s="212">
        <f>Y51/Z51</f>
        <v>7.591863517060368</v>
      </c>
      <c r="AE51" s="96">
        <v>1356</v>
      </c>
      <c r="AF51" s="1097">
        <f>IF(AE51&lt;&gt;0,-(AE51-Y51)/AE51,"")</f>
        <v>1.1331120943952802</v>
      </c>
      <c r="AG51" s="12">
        <f>37355+12427+7492+8213.5+4676+5757+7050+1356+2892.5</f>
        <v>87219</v>
      </c>
      <c r="AH51" s="13">
        <f>3112+1234+925+858+645+791+1079+205+381</f>
        <v>9230</v>
      </c>
      <c r="AI51" s="276">
        <f>+AG51/AH51</f>
        <v>9.449512459371615</v>
      </c>
      <c r="AJ51" s="655">
        <v>41</v>
      </c>
    </row>
    <row r="52" spans="1:36" s="90" customFormat="1" ht="9.75" customHeight="1">
      <c r="A52" s="338">
        <v>42</v>
      </c>
      <c r="B52" s="677"/>
      <c r="C52" s="880"/>
      <c r="D52" s="1041"/>
      <c r="E52" s="899" t="s">
        <v>428</v>
      </c>
      <c r="F52" s="567">
        <v>40781</v>
      </c>
      <c r="G52" s="881" t="s">
        <v>62</v>
      </c>
      <c r="H52" s="213">
        <v>10</v>
      </c>
      <c r="I52" s="215">
        <v>6</v>
      </c>
      <c r="J52" s="215">
        <v>5</v>
      </c>
      <c r="K52" s="217">
        <v>296</v>
      </c>
      <c r="L52" s="216">
        <v>41</v>
      </c>
      <c r="M52" s="217">
        <v>514</v>
      </c>
      <c r="N52" s="216">
        <v>72</v>
      </c>
      <c r="O52" s="217">
        <v>816</v>
      </c>
      <c r="P52" s="216">
        <v>117</v>
      </c>
      <c r="Q52" s="581">
        <f>SUM(K52+M52+O52)</f>
        <v>1626</v>
      </c>
      <c r="R52" s="483">
        <f>SUM(L52+N52+P52)</f>
        <v>230</v>
      </c>
      <c r="S52" s="280">
        <f>IF(Q52&lt;&gt;0,R52/I52,"")</f>
        <v>38.333333333333336</v>
      </c>
      <c r="T52" s="211">
        <f>IF(Q52&lt;&gt;0,Q52/R52,"")</f>
        <v>7.069565217391304</v>
      </c>
      <c r="U52" s="34">
        <v>1073.5</v>
      </c>
      <c r="V52" s="883">
        <f>IF(U52&lt;&gt;0,-(U52-Q52)/U52,"")</f>
        <v>0.5146716348393107</v>
      </c>
      <c r="W52" s="318">
        <f>Y52-Q52</f>
        <v>1163</v>
      </c>
      <c r="X52" s="245">
        <f>Z52-R52</f>
        <v>181</v>
      </c>
      <c r="Y52" s="1110">
        <v>2789</v>
      </c>
      <c r="Z52" s="1109">
        <v>411</v>
      </c>
      <c r="AA52" s="970">
        <f>R52*1/Z52</f>
        <v>0.559610705596107</v>
      </c>
      <c r="AB52" s="970">
        <f>X52*1/Z52</f>
        <v>0.44038929440389296</v>
      </c>
      <c r="AC52" s="94">
        <f>Z52/I52</f>
        <v>68.5</v>
      </c>
      <c r="AD52" s="212">
        <f>Y52/Z52</f>
        <v>6.785888077858881</v>
      </c>
      <c r="AE52" s="96">
        <v>1718</v>
      </c>
      <c r="AF52" s="1097">
        <f>IF(AE52&lt;&gt;0,-(AE52-Y52)/AE52,"")</f>
        <v>0.6233993015133876</v>
      </c>
      <c r="AG52" s="217">
        <v>28232</v>
      </c>
      <c r="AH52" s="216">
        <v>3482</v>
      </c>
      <c r="AI52" s="276">
        <f>+AG52/AH52</f>
        <v>8.107983917288914</v>
      </c>
      <c r="AJ52" s="655">
        <v>42</v>
      </c>
    </row>
    <row r="53" spans="1:36" s="90" customFormat="1" ht="9.75" customHeight="1">
      <c r="A53" s="338">
        <v>43</v>
      </c>
      <c r="B53" s="802"/>
      <c r="C53" s="880"/>
      <c r="D53" s="880"/>
      <c r="E53" s="881" t="s">
        <v>259</v>
      </c>
      <c r="F53" s="113">
        <v>40725</v>
      </c>
      <c r="G53" s="881" t="s">
        <v>62</v>
      </c>
      <c r="H53" s="213">
        <v>3</v>
      </c>
      <c r="I53" s="215">
        <v>3</v>
      </c>
      <c r="J53" s="215">
        <v>13</v>
      </c>
      <c r="K53" s="217">
        <v>325</v>
      </c>
      <c r="L53" s="216">
        <v>43</v>
      </c>
      <c r="M53" s="217">
        <v>353</v>
      </c>
      <c r="N53" s="216">
        <v>48</v>
      </c>
      <c r="O53" s="217">
        <v>563</v>
      </c>
      <c r="P53" s="216">
        <v>84</v>
      </c>
      <c r="Q53" s="581">
        <f>SUM(K53+M53+O53)</f>
        <v>1241</v>
      </c>
      <c r="R53" s="483">
        <f>SUM(L53+N53+P53)</f>
        <v>175</v>
      </c>
      <c r="S53" s="280">
        <f>IF(Q53&lt;&gt;0,R53/I53,"")</f>
        <v>58.333333333333336</v>
      </c>
      <c r="T53" s="211">
        <f>+Q53/R53</f>
        <v>7.091428571428572</v>
      </c>
      <c r="U53" s="591">
        <v>1340</v>
      </c>
      <c r="V53" s="883">
        <f>IF(U53&lt;&gt;0,-(U53-Q53)/U53,"")</f>
        <v>-0.07388059701492537</v>
      </c>
      <c r="W53" s="318">
        <f>Y53-Q53</f>
        <v>1380</v>
      </c>
      <c r="X53" s="245">
        <f>Z53-R53</f>
        <v>203</v>
      </c>
      <c r="Y53" s="1110">
        <v>2621</v>
      </c>
      <c r="Z53" s="1109">
        <v>378</v>
      </c>
      <c r="AA53" s="970">
        <f>R53*1/Z53</f>
        <v>0.46296296296296297</v>
      </c>
      <c r="AB53" s="970">
        <f>X53*1/Z53</f>
        <v>0.5370370370370371</v>
      </c>
      <c r="AC53" s="94">
        <f>Z53/I53</f>
        <v>126</v>
      </c>
      <c r="AD53" s="212">
        <f>Y53/Z53</f>
        <v>6.9338624338624335</v>
      </c>
      <c r="AE53" s="96">
        <v>2571</v>
      </c>
      <c r="AF53" s="1097">
        <f>IF(AE53&lt;&gt;0,-(AE53-Y53)/AE53,"")</f>
        <v>0.019447685725398678</v>
      </c>
      <c r="AG53" s="217">
        <v>51416</v>
      </c>
      <c r="AH53" s="216">
        <v>5817</v>
      </c>
      <c r="AI53" s="276">
        <f>+AG53/AH53</f>
        <v>8.838920405707409</v>
      </c>
      <c r="AJ53" s="655">
        <v>43</v>
      </c>
    </row>
    <row r="54" spans="1:36" s="90" customFormat="1" ht="9.75" customHeight="1">
      <c r="A54" s="338">
        <v>44</v>
      </c>
      <c r="B54" s="890"/>
      <c r="C54" s="901"/>
      <c r="D54" s="1044" t="s">
        <v>446</v>
      </c>
      <c r="E54" s="178">
        <v>40</v>
      </c>
      <c r="F54" s="567">
        <v>40739</v>
      </c>
      <c r="G54" s="588" t="s">
        <v>31</v>
      </c>
      <c r="H54" s="181">
        <v>17</v>
      </c>
      <c r="I54" s="186">
        <v>5</v>
      </c>
      <c r="J54" s="186">
        <v>11</v>
      </c>
      <c r="K54" s="1045">
        <v>335</v>
      </c>
      <c r="L54" s="1046">
        <v>48</v>
      </c>
      <c r="M54" s="1045">
        <v>445.5</v>
      </c>
      <c r="N54" s="1046">
        <v>55</v>
      </c>
      <c r="O54" s="1045">
        <v>705.5</v>
      </c>
      <c r="P54" s="1046">
        <v>82</v>
      </c>
      <c r="Q54" s="593">
        <f>SUM(K54+M54+O54)</f>
        <v>1486</v>
      </c>
      <c r="R54" s="592">
        <f>SUM(L54+N54+P54)</f>
        <v>185</v>
      </c>
      <c r="S54" s="900">
        <f>IF(Q54&lt;&gt;0,R54/I54,"")</f>
        <v>37</v>
      </c>
      <c r="T54" s="211">
        <f>IF(Q54&lt;&gt;0,Q54/R54,"")</f>
        <v>8.032432432432433</v>
      </c>
      <c r="U54" s="557">
        <v>416</v>
      </c>
      <c r="V54" s="883">
        <f>IF(U54&lt;&gt;0,-(U54-Q54)/U54,"")</f>
        <v>2.5721153846153846</v>
      </c>
      <c r="W54" s="318">
        <f>Y54-Q54</f>
        <v>1039</v>
      </c>
      <c r="X54" s="245">
        <f>Z54-R54</f>
        <v>136</v>
      </c>
      <c r="Y54" s="1106">
        <v>2525</v>
      </c>
      <c r="Z54" s="1107">
        <v>321</v>
      </c>
      <c r="AA54" s="970">
        <f>R54*1/Z54</f>
        <v>0.5763239875389408</v>
      </c>
      <c r="AB54" s="970">
        <f>X54*1/Z54</f>
        <v>0.4236760124610592</v>
      </c>
      <c r="AC54" s="94">
        <f>Z54/I54</f>
        <v>64.2</v>
      </c>
      <c r="AD54" s="212">
        <f>Y54/Z54</f>
        <v>7.866043613707165</v>
      </c>
      <c r="AE54" s="96">
        <v>1755</v>
      </c>
      <c r="AF54" s="1097">
        <f>IF(AE54&lt;&gt;0,-(AE54-Y54)/AE54,"")</f>
        <v>0.43874643874643876</v>
      </c>
      <c r="AG54" s="12">
        <f>100961+78170+39198.5+17146.5+15865+8654.5+7262+3071+1453+1755+2525</f>
        <v>276061.5</v>
      </c>
      <c r="AH54" s="13">
        <f>10897+8433+4553+2347+2252+1187+1192+483+247+374+321</f>
        <v>32286</v>
      </c>
      <c r="AI54" s="276">
        <f>+AG54/AH54</f>
        <v>8.550501765471102</v>
      </c>
      <c r="AJ54" s="655">
        <v>44</v>
      </c>
    </row>
    <row r="55" spans="1:36" s="90" customFormat="1" ht="9.75" customHeight="1">
      <c r="A55" s="338">
        <v>45</v>
      </c>
      <c r="B55" s="677"/>
      <c r="C55" s="880"/>
      <c r="D55" s="1041"/>
      <c r="E55" s="588" t="s">
        <v>374</v>
      </c>
      <c r="F55" s="567">
        <v>40739</v>
      </c>
      <c r="G55" s="588" t="s">
        <v>31</v>
      </c>
      <c r="H55" s="181">
        <v>17</v>
      </c>
      <c r="I55" s="186">
        <v>5</v>
      </c>
      <c r="J55" s="186">
        <v>11</v>
      </c>
      <c r="K55" s="1045">
        <v>368</v>
      </c>
      <c r="L55" s="1046">
        <v>48</v>
      </c>
      <c r="M55" s="1045">
        <v>533</v>
      </c>
      <c r="N55" s="1046">
        <v>71</v>
      </c>
      <c r="O55" s="1045">
        <v>709.5</v>
      </c>
      <c r="P55" s="1046">
        <v>96</v>
      </c>
      <c r="Q55" s="581">
        <f>SUM(K55+M55+O55)</f>
        <v>1610.5</v>
      </c>
      <c r="R55" s="483">
        <f>SUM(L55+N55+P55)</f>
        <v>215</v>
      </c>
      <c r="S55" s="280">
        <f>IF(Q55&lt;&gt;0,R55/I55,"")</f>
        <v>43</v>
      </c>
      <c r="T55" s="211">
        <f>+Q55/R55</f>
        <v>7.4906976744186045</v>
      </c>
      <c r="U55" s="34">
        <v>3636.5</v>
      </c>
      <c r="V55" s="883">
        <f>IF(U55&lt;&gt;0,-(U55-Q55)/U55,"")</f>
        <v>-0.5571291076584628</v>
      </c>
      <c r="W55" s="318">
        <f>Y55-Q55</f>
        <v>883.5</v>
      </c>
      <c r="X55" s="245">
        <f>Z55-R55</f>
        <v>139</v>
      </c>
      <c r="Y55" s="1106">
        <v>2494</v>
      </c>
      <c r="Z55" s="1107">
        <v>354</v>
      </c>
      <c r="AA55" s="970">
        <f>R55*1/Z55</f>
        <v>0.6073446327683616</v>
      </c>
      <c r="AB55" s="970">
        <f>X55*1/Z55</f>
        <v>0.3926553672316384</v>
      </c>
      <c r="AC55" s="94">
        <f>Z55/I55</f>
        <v>70.8</v>
      </c>
      <c r="AD55" s="212">
        <f>Y55/Z55</f>
        <v>7.045197740112994</v>
      </c>
      <c r="AE55" s="96">
        <v>7438</v>
      </c>
      <c r="AF55" s="1097">
        <f>IF(AE55&lt;&gt;0,-(AE55-Y55)/AE55,"")</f>
        <v>-0.6646948104329121</v>
      </c>
      <c r="AG55" s="12">
        <f>42541+25929.5+29063+12725.5+17698.5+26553.5+14176.5+9569.5+16711+7438+2494</f>
        <v>204900</v>
      </c>
      <c r="AH55" s="13">
        <f>3864+2719+2642+1433+2106+3202+2032+1129+1888+1023+354</f>
        <v>22392</v>
      </c>
      <c r="AI55" s="1098">
        <f>AG55/AH55</f>
        <v>9.15058949624866</v>
      </c>
      <c r="AJ55" s="655">
        <v>45</v>
      </c>
    </row>
    <row r="56" spans="1:36" s="90" customFormat="1" ht="9.75" customHeight="1">
      <c r="A56" s="338">
        <v>46</v>
      </c>
      <c r="B56" s="677"/>
      <c r="C56" s="880"/>
      <c r="D56" s="891"/>
      <c r="E56" s="882" t="s">
        <v>404</v>
      </c>
      <c r="F56" s="32">
        <v>40760</v>
      </c>
      <c r="G56" s="588" t="s">
        <v>31</v>
      </c>
      <c r="H56" s="181">
        <v>8</v>
      </c>
      <c r="I56" s="186">
        <v>4</v>
      </c>
      <c r="J56" s="186">
        <v>8</v>
      </c>
      <c r="K56" s="1045">
        <v>119</v>
      </c>
      <c r="L56" s="1046">
        <v>14</v>
      </c>
      <c r="M56" s="1045">
        <v>429</v>
      </c>
      <c r="N56" s="1046">
        <v>46</v>
      </c>
      <c r="O56" s="1045">
        <v>590</v>
      </c>
      <c r="P56" s="1046">
        <v>69</v>
      </c>
      <c r="Q56" s="593">
        <f>SUM(K56+M56+O56)</f>
        <v>1138</v>
      </c>
      <c r="R56" s="592">
        <f>SUM(L56+N56+P56)</f>
        <v>129</v>
      </c>
      <c r="S56" s="592">
        <f>R56/I56</f>
        <v>32.25</v>
      </c>
      <c r="T56" s="211">
        <f>IF(Q56&lt;&gt;0,Q56/R56,"")</f>
        <v>8.821705426356589</v>
      </c>
      <c r="U56" s="557">
        <v>5940</v>
      </c>
      <c r="V56" s="883">
        <f>IF(U56&lt;&gt;0,-(U56-Q56)/U56,"")</f>
        <v>-0.8084175084175084</v>
      </c>
      <c r="W56" s="318">
        <f>Y56-Q56</f>
        <v>1297</v>
      </c>
      <c r="X56" s="245">
        <f>Z56-R56</f>
        <v>183</v>
      </c>
      <c r="Y56" s="1106">
        <v>2435</v>
      </c>
      <c r="Z56" s="1107">
        <v>312</v>
      </c>
      <c r="AA56" s="970">
        <f>R56*1/Z56</f>
        <v>0.41346153846153844</v>
      </c>
      <c r="AB56" s="970">
        <f>X56*1/Z56</f>
        <v>0.5865384615384616</v>
      </c>
      <c r="AC56" s="94">
        <f>Z56/I56</f>
        <v>78</v>
      </c>
      <c r="AD56" s="212">
        <f>Y56/Z56</f>
        <v>7.80448717948718</v>
      </c>
      <c r="AE56" s="96">
        <v>10549.5</v>
      </c>
      <c r="AF56" s="1097">
        <f>IF(AE56&lt;&gt;0,-(AE56-Y56)/AE56,"")</f>
        <v>-0.7691833736196029</v>
      </c>
      <c r="AG56" s="12">
        <f>23216+11984.5+4614+3340+789+2639+10549.5+2435</f>
        <v>59567</v>
      </c>
      <c r="AH56" s="13">
        <f>1703+1053+544+464+111+478+932+312</f>
        <v>5597</v>
      </c>
      <c r="AI56" s="1098">
        <f>AG56/AH56</f>
        <v>10.642665713775237</v>
      </c>
      <c r="AJ56" s="655">
        <v>46</v>
      </c>
    </row>
    <row r="57" spans="1:36" s="90" customFormat="1" ht="9.75" customHeight="1">
      <c r="A57" s="338">
        <v>47</v>
      </c>
      <c r="B57" s="890"/>
      <c r="C57" s="901"/>
      <c r="D57" s="1044" t="s">
        <v>446</v>
      </c>
      <c r="E57" s="882" t="s">
        <v>15</v>
      </c>
      <c r="F57" s="32">
        <v>40599</v>
      </c>
      <c r="G57" s="588" t="s">
        <v>10</v>
      </c>
      <c r="H57" s="882">
        <v>246</v>
      </c>
      <c r="I57" s="882">
        <v>1</v>
      </c>
      <c r="J57" s="882">
        <v>25</v>
      </c>
      <c r="K57" s="662">
        <v>0</v>
      </c>
      <c r="L57" s="663">
        <v>0</v>
      </c>
      <c r="M57" s="662">
        <v>0</v>
      </c>
      <c r="N57" s="663">
        <v>0</v>
      </c>
      <c r="O57" s="662">
        <v>0</v>
      </c>
      <c r="P57" s="663">
        <v>0</v>
      </c>
      <c r="Q57" s="596">
        <f>SUM(K57+M57+O57)</f>
        <v>0</v>
      </c>
      <c r="R57" s="595">
        <f>SUM(L57+N57+P57)</f>
        <v>0</v>
      </c>
      <c r="S57" s="280">
        <f>IF(Q57&lt;&gt;0,R57/I57,"")</f>
      </c>
      <c r="T57" s="211">
        <f>IF(Q57&lt;&gt;0,Q57/R57,"")</f>
      </c>
      <c r="U57" s="34"/>
      <c r="V57" s="883"/>
      <c r="W57" s="318">
        <f>Y57-Q57</f>
        <v>2380</v>
      </c>
      <c r="X57" s="245">
        <f>Z57-R57</f>
        <v>476</v>
      </c>
      <c r="Y57" s="1104">
        <v>2380</v>
      </c>
      <c r="Z57" s="1105">
        <v>476</v>
      </c>
      <c r="AA57" s="970">
        <f>R57*1/Z57</f>
        <v>0</v>
      </c>
      <c r="AB57" s="970">
        <f>X57*1/Z57</f>
        <v>1</v>
      </c>
      <c r="AC57" s="94">
        <f>Z57/I57</f>
        <v>476</v>
      </c>
      <c r="AD57" s="212">
        <f>Y57/Z57</f>
        <v>5</v>
      </c>
      <c r="AE57" s="96"/>
      <c r="AF57" s="1097"/>
      <c r="AG57" s="44">
        <v>7559500</v>
      </c>
      <c r="AH57" s="46">
        <v>849743</v>
      </c>
      <c r="AI57" s="276">
        <f>+AG57/AH57</f>
        <v>8.896219209808143</v>
      </c>
      <c r="AJ57" s="655">
        <v>47</v>
      </c>
    </row>
    <row r="58" spans="1:36" s="90" customFormat="1" ht="9.75" customHeight="1">
      <c r="A58" s="338">
        <v>48</v>
      </c>
      <c r="B58" s="802"/>
      <c r="C58" s="880"/>
      <c r="D58" s="1044" t="s">
        <v>446</v>
      </c>
      <c r="E58" s="20" t="s">
        <v>468</v>
      </c>
      <c r="F58" s="2">
        <v>39402</v>
      </c>
      <c r="G58" s="588" t="s">
        <v>21</v>
      </c>
      <c r="H58" s="5">
        <v>165</v>
      </c>
      <c r="I58" s="3">
        <v>1</v>
      </c>
      <c r="J58" s="3">
        <v>52</v>
      </c>
      <c r="K58" s="10">
        <v>0</v>
      </c>
      <c r="L58" s="11">
        <v>0</v>
      </c>
      <c r="M58" s="10">
        <v>0</v>
      </c>
      <c r="N58" s="11">
        <v>0</v>
      </c>
      <c r="O58" s="10">
        <v>0</v>
      </c>
      <c r="P58" s="11">
        <v>0</v>
      </c>
      <c r="Q58" s="581">
        <f>+K58+M58+O58</f>
        <v>0</v>
      </c>
      <c r="R58" s="483">
        <f>+L58+N58+P58</f>
        <v>0</v>
      </c>
      <c r="S58" s="280">
        <f>IF(Q58&lt;&gt;0,R58/I58,"")</f>
      </c>
      <c r="T58" s="211">
        <f>IF(Q58&lt;&gt;0,Q58/R58,"")</f>
      </c>
      <c r="U58" s="34"/>
      <c r="V58" s="883">
        <f>IF(U58&lt;&gt;0,-(U58-Q58)/U58,"")</f>
      </c>
      <c r="W58" s="318">
        <f>Y58-Q58</f>
        <v>2376</v>
      </c>
      <c r="X58" s="245">
        <f>Z58-R58</f>
        <v>475</v>
      </c>
      <c r="Y58" s="1115">
        <v>2376</v>
      </c>
      <c r="Z58" s="1116">
        <v>475</v>
      </c>
      <c r="AA58" s="970">
        <f>R58*1/Z58</f>
        <v>0</v>
      </c>
      <c r="AB58" s="970">
        <f>X58*1/Z58</f>
        <v>1</v>
      </c>
      <c r="AC58" s="94">
        <f>Z58/I58</f>
        <v>475</v>
      </c>
      <c r="AD58" s="212">
        <f>Y58/Z58</f>
        <v>5.002105263157895</v>
      </c>
      <c r="AE58" s="96"/>
      <c r="AF58" s="1097"/>
      <c r="AG58" s="35">
        <v>14657213.5</v>
      </c>
      <c r="AH58" s="38">
        <f>2032410+475</f>
        <v>2032885</v>
      </c>
      <c r="AI58" s="276">
        <f>+AG58/AH58</f>
        <v>7.210055413857646</v>
      </c>
      <c r="AJ58" s="655">
        <v>48</v>
      </c>
    </row>
    <row r="59" spans="1:36" s="90" customFormat="1" ht="9.75" customHeight="1">
      <c r="A59" s="338">
        <v>49</v>
      </c>
      <c r="B59" s="677"/>
      <c r="C59" s="880"/>
      <c r="D59" s="1041"/>
      <c r="E59" s="618" t="s">
        <v>423</v>
      </c>
      <c r="F59" s="113">
        <v>40723</v>
      </c>
      <c r="G59" s="588" t="s">
        <v>23</v>
      </c>
      <c r="H59" s="181">
        <v>75</v>
      </c>
      <c r="I59" s="33">
        <v>4</v>
      </c>
      <c r="J59" s="33">
        <v>13</v>
      </c>
      <c r="K59" s="1042">
        <v>150</v>
      </c>
      <c r="L59" s="1043">
        <v>24</v>
      </c>
      <c r="M59" s="1042">
        <v>345</v>
      </c>
      <c r="N59" s="1043">
        <v>53</v>
      </c>
      <c r="O59" s="1042">
        <v>401</v>
      </c>
      <c r="P59" s="1043">
        <v>63</v>
      </c>
      <c r="Q59" s="581">
        <f>SUM(K59+M59+O59)</f>
        <v>896</v>
      </c>
      <c r="R59" s="483">
        <f>SUM(L59+N59+P59)</f>
        <v>140</v>
      </c>
      <c r="S59" s="280">
        <f>IF(Q59&lt;&gt;0,R59/I59,"")</f>
        <v>35</v>
      </c>
      <c r="T59" s="211">
        <f>IF(Q59&lt;&gt;0,Q59/R59,"")</f>
        <v>6.4</v>
      </c>
      <c r="U59" s="34">
        <v>2107</v>
      </c>
      <c r="V59" s="883">
        <f>IF(U59&lt;&gt;0,-(U59-Q59)/U59,"")</f>
        <v>-0.574750830564784</v>
      </c>
      <c r="W59" s="318">
        <f>Y59-Q59</f>
        <v>1474</v>
      </c>
      <c r="X59" s="245">
        <f>Z59-R59</f>
        <v>238</v>
      </c>
      <c r="Y59" s="1110">
        <v>2370</v>
      </c>
      <c r="Z59" s="1109">
        <v>378</v>
      </c>
      <c r="AA59" s="970">
        <f>R59*1/Z59</f>
        <v>0.37037037037037035</v>
      </c>
      <c r="AB59" s="970">
        <f>X59*1/Z59</f>
        <v>0.6296296296296297</v>
      </c>
      <c r="AC59" s="94">
        <f>Z59/I59</f>
        <v>94.5</v>
      </c>
      <c r="AD59" s="212">
        <f>Y59/Z59</f>
        <v>6.26984126984127</v>
      </c>
      <c r="AE59" s="96">
        <v>4313</v>
      </c>
      <c r="AF59" s="1097">
        <f>IF(AE59&lt;&gt;0,-(AE59-Y59)/AE59,"")</f>
        <v>-0.45049849292835614</v>
      </c>
      <c r="AG59" s="217">
        <v>6851629</v>
      </c>
      <c r="AH59" s="216">
        <v>645244</v>
      </c>
      <c r="AI59" s="276">
        <f>+AG59/AH59</f>
        <v>10.618663637321696</v>
      </c>
      <c r="AJ59" s="655">
        <v>49</v>
      </c>
    </row>
    <row r="60" spans="1:38" s="90" customFormat="1" ht="9.75" customHeight="1">
      <c r="A60" s="338">
        <v>50</v>
      </c>
      <c r="B60" s="907"/>
      <c r="C60" s="880"/>
      <c r="D60" s="1044" t="s">
        <v>446</v>
      </c>
      <c r="E60" s="1078" t="s">
        <v>53</v>
      </c>
      <c r="F60" s="185">
        <v>40669</v>
      </c>
      <c r="G60" s="588" t="s">
        <v>31</v>
      </c>
      <c r="H60" s="33">
        <v>31</v>
      </c>
      <c r="I60" s="186">
        <v>3</v>
      </c>
      <c r="J60" s="186">
        <v>16</v>
      </c>
      <c r="K60" s="1045">
        <v>706</v>
      </c>
      <c r="L60" s="1046">
        <v>130</v>
      </c>
      <c r="M60" s="1045">
        <v>1105</v>
      </c>
      <c r="N60" s="1046">
        <v>215</v>
      </c>
      <c r="O60" s="1045">
        <v>135</v>
      </c>
      <c r="P60" s="1046">
        <v>20</v>
      </c>
      <c r="Q60" s="581">
        <f>+K60+M60+O60</f>
        <v>1946</v>
      </c>
      <c r="R60" s="483">
        <f>+L60+N60+P60</f>
        <v>365</v>
      </c>
      <c r="S60" s="900">
        <f>IF(Q60&lt;&gt;0,R60/I60,"")</f>
        <v>121.66666666666667</v>
      </c>
      <c r="T60" s="211">
        <f>IF(Q60&lt;&gt;0,Q60/R60,"")</f>
        <v>5.331506849315068</v>
      </c>
      <c r="U60" s="34"/>
      <c r="V60" s="883"/>
      <c r="W60" s="318">
        <f>Y60-Q60</f>
        <v>420</v>
      </c>
      <c r="X60" s="245">
        <f>Z60-R60</f>
        <v>64</v>
      </c>
      <c r="Y60" s="1106">
        <v>2366</v>
      </c>
      <c r="Z60" s="1107">
        <v>429</v>
      </c>
      <c r="AA60" s="970">
        <f>R60*1/Z60</f>
        <v>0.8508158508158508</v>
      </c>
      <c r="AB60" s="970">
        <f>X60*1/Z60</f>
        <v>0.14918414918414918</v>
      </c>
      <c r="AC60" s="94">
        <f>Z60/I60</f>
        <v>143</v>
      </c>
      <c r="AD60" s="212">
        <f>Y60/Z60</f>
        <v>5.515151515151516</v>
      </c>
      <c r="AE60" s="96"/>
      <c r="AF60" s="1097"/>
      <c r="AG60" s="12">
        <f>175019+105176.5+33821+39610.5+24959.5+21794.5+6227+4449+362+706+2230+1369.5+1342.5+950.5+240+2366</f>
        <v>420623.5</v>
      </c>
      <c r="AH60" s="13">
        <f>19673+11998+4200+5352+3807+3790+1054+773+55+128+469+229+219+157+30+429</f>
        <v>52363</v>
      </c>
      <c r="AI60" s="1098">
        <f>AG60/AH60</f>
        <v>8.03283807268491</v>
      </c>
      <c r="AJ60" s="655">
        <v>50</v>
      </c>
      <c r="AL60" s="139"/>
    </row>
    <row r="61" spans="1:36" s="90" customFormat="1" ht="9.75" customHeight="1">
      <c r="A61" s="338">
        <v>51</v>
      </c>
      <c r="B61" s="907"/>
      <c r="C61" s="880"/>
      <c r="D61" s="1044" t="s">
        <v>446</v>
      </c>
      <c r="E61" s="30" t="s">
        <v>413</v>
      </c>
      <c r="F61" s="32">
        <v>39801</v>
      </c>
      <c r="G61" s="588" t="s">
        <v>31</v>
      </c>
      <c r="H61" s="33">
        <v>42</v>
      </c>
      <c r="I61" s="33">
        <v>1</v>
      </c>
      <c r="J61" s="33">
        <v>40</v>
      </c>
      <c r="K61" s="1045">
        <v>0</v>
      </c>
      <c r="L61" s="1046">
        <v>0</v>
      </c>
      <c r="M61" s="1045">
        <v>0</v>
      </c>
      <c r="N61" s="1046">
        <v>0</v>
      </c>
      <c r="O61" s="1045">
        <v>0</v>
      </c>
      <c r="P61" s="1046">
        <v>0</v>
      </c>
      <c r="Q61" s="581">
        <f>SUM(K61+M61+O61)</f>
        <v>0</v>
      </c>
      <c r="R61" s="483">
        <f>SUM(L61+N61+P61)</f>
        <v>0</v>
      </c>
      <c r="S61" s="900">
        <f>IF(Q61&lt;&gt;0,R61/I61,"")</f>
      </c>
      <c r="T61" s="211">
        <f>IF(Q61&lt;&gt;0,Q61/R61,"")</f>
      </c>
      <c r="U61" s="34"/>
      <c r="V61" s="883"/>
      <c r="W61" s="318">
        <f>Y61-Q61</f>
        <v>1780</v>
      </c>
      <c r="X61" s="245">
        <f>Z61-R61</f>
        <v>445</v>
      </c>
      <c r="Y61" s="1106">
        <v>1780</v>
      </c>
      <c r="Z61" s="1107">
        <v>445</v>
      </c>
      <c r="AA61" s="970">
        <f>R61*1/Z61</f>
        <v>0</v>
      </c>
      <c r="AB61" s="970">
        <f>X61*1/Z61</f>
        <v>1</v>
      </c>
      <c r="AC61" s="94">
        <f>Z61/I61</f>
        <v>445</v>
      </c>
      <c r="AD61" s="212">
        <f>Y61/Z61</f>
        <v>4</v>
      </c>
      <c r="AE61" s="96"/>
      <c r="AF61" s="1097"/>
      <c r="AG61" s="12">
        <f>295344+204961.5+145464.5+116108.5+111972.5+49984+26327+32042+18579+20005+19180+15980+2686.5+3166.5+366+13433+4493+735.5+607.5+2528+83+198+248+2348+825+2700+2268+393+2002+2063+343+1188+2020+398.46+291.4+240.58+592+2376+1308+1780</f>
        <v>1107629.44</v>
      </c>
      <c r="AH61" s="13">
        <f>36142+24747+19417+15404+14719+7567+3314+5289+3173+3275+3534+2826+540+724+52+2536+882+130+150+615+21+66+51+497+165+675+506+78+241+404+59+297+505+86+63+59+148+594+327+445</f>
        <v>150323</v>
      </c>
      <c r="AI61" s="1098">
        <f>AG61/AH61</f>
        <v>7.3683297965048595</v>
      </c>
      <c r="AJ61" s="655">
        <v>51</v>
      </c>
    </row>
    <row r="62" spans="1:36" s="90" customFormat="1" ht="9.75" customHeight="1">
      <c r="A62" s="338">
        <v>52</v>
      </c>
      <c r="B62" s="802"/>
      <c r="C62" s="880"/>
      <c r="D62" s="1041"/>
      <c r="E62" s="899" t="s">
        <v>228</v>
      </c>
      <c r="F62" s="113">
        <v>40606</v>
      </c>
      <c r="G62" s="588" t="s">
        <v>23</v>
      </c>
      <c r="H62" s="181">
        <v>93</v>
      </c>
      <c r="I62" s="33">
        <v>1</v>
      </c>
      <c r="J62" s="33">
        <v>30</v>
      </c>
      <c r="K62" s="1042">
        <v>0</v>
      </c>
      <c r="L62" s="1043">
        <v>0</v>
      </c>
      <c r="M62" s="1042">
        <v>0</v>
      </c>
      <c r="N62" s="1043">
        <v>0</v>
      </c>
      <c r="O62" s="1042">
        <v>0</v>
      </c>
      <c r="P62" s="1043">
        <v>0</v>
      </c>
      <c r="Q62" s="581">
        <f>SUM(K62+M62+O62)</f>
        <v>0</v>
      </c>
      <c r="R62" s="483">
        <f>SUM(L62+N62+P62)</f>
        <v>0</v>
      </c>
      <c r="S62" s="280">
        <f>IF(Q62&lt;&gt;0,R62/I62,"")</f>
      </c>
      <c r="T62" s="211">
        <f>IF(Q62&lt;&gt;0,Q62/R62,"")</f>
      </c>
      <c r="U62" s="34"/>
      <c r="V62" s="883"/>
      <c r="W62" s="318"/>
      <c r="X62" s="245"/>
      <c r="Y62" s="1113">
        <v>1722</v>
      </c>
      <c r="Z62" s="1114">
        <v>287</v>
      </c>
      <c r="AA62" s="970">
        <f>R62*1/Z62</f>
        <v>0</v>
      </c>
      <c r="AB62" s="970">
        <f>X62*1/Z62</f>
        <v>0</v>
      </c>
      <c r="AC62" s="94">
        <f>Z62/I62</f>
        <v>287</v>
      </c>
      <c r="AD62" s="212">
        <f>Y62/Z62</f>
        <v>6</v>
      </c>
      <c r="AE62" s="96"/>
      <c r="AF62" s="1097"/>
      <c r="AG62" s="242">
        <v>1225458</v>
      </c>
      <c r="AH62" s="216">
        <v>110263</v>
      </c>
      <c r="AI62" s="276">
        <f>+AG62/AH62</f>
        <v>11.11395481711907</v>
      </c>
      <c r="AJ62" s="655">
        <v>52</v>
      </c>
    </row>
    <row r="63" spans="1:36" s="90" customFormat="1" ht="9.75" customHeight="1">
      <c r="A63" s="338">
        <v>53</v>
      </c>
      <c r="B63" s="677"/>
      <c r="C63" s="880"/>
      <c r="D63" s="1041"/>
      <c r="E63" s="178" t="s">
        <v>219</v>
      </c>
      <c r="F63" s="32">
        <v>40697</v>
      </c>
      <c r="G63" s="588" t="s">
        <v>31</v>
      </c>
      <c r="H63" s="181">
        <v>111</v>
      </c>
      <c r="I63" s="186">
        <v>2</v>
      </c>
      <c r="J63" s="186">
        <v>17</v>
      </c>
      <c r="K63" s="1045">
        <v>244</v>
      </c>
      <c r="L63" s="1046">
        <v>60</v>
      </c>
      <c r="M63" s="1045">
        <v>307</v>
      </c>
      <c r="N63" s="1046">
        <v>71</v>
      </c>
      <c r="O63" s="1045">
        <v>244</v>
      </c>
      <c r="P63" s="1046">
        <v>58</v>
      </c>
      <c r="Q63" s="581">
        <f>SUM(K63+M63+O63)</f>
        <v>795</v>
      </c>
      <c r="R63" s="483">
        <f>SUM(L63+N63+P63)</f>
        <v>189</v>
      </c>
      <c r="S63" s="280">
        <f>IF(Q63&lt;&gt;0,R63/I63,"")</f>
        <v>94.5</v>
      </c>
      <c r="T63" s="211">
        <f>IF(Q63&lt;&gt;0,Q63/R63,"")</f>
        <v>4.2063492063492065</v>
      </c>
      <c r="U63" s="34">
        <v>190</v>
      </c>
      <c r="V63" s="883">
        <f>IF(U63&lt;&gt;0,-(U63-Q63)/U63,"")</f>
        <v>3.1842105263157894</v>
      </c>
      <c r="W63" s="318">
        <f>Y63-Q63</f>
        <v>859.5</v>
      </c>
      <c r="X63" s="245">
        <f>Z63-R63</f>
        <v>210</v>
      </c>
      <c r="Y63" s="1106">
        <v>1654.5</v>
      </c>
      <c r="Z63" s="1107">
        <v>399</v>
      </c>
      <c r="AA63" s="970">
        <f>R63*1/Z63</f>
        <v>0.47368421052631576</v>
      </c>
      <c r="AB63" s="970">
        <f>X63*1/Z63</f>
        <v>0.5263157894736842</v>
      </c>
      <c r="AC63" s="94">
        <f>Z63/I63</f>
        <v>199.5</v>
      </c>
      <c r="AD63" s="212">
        <f>Y63/Z63</f>
        <v>4.146616541353383</v>
      </c>
      <c r="AE63" s="96">
        <v>260</v>
      </c>
      <c r="AF63" s="1097">
        <f>IF(AE63&lt;&gt;0,-(AE63-Y63)/AE63,"")</f>
        <v>5.3634615384615385</v>
      </c>
      <c r="AG63" s="12">
        <f>1292+812789+521835.5+296398.75+210726.75+106359.5+46956.5+15908+8715+4517.5+1879+2596.5+764+381+221+175+260+1654.5</f>
        <v>2033429.5</v>
      </c>
      <c r="AH63" s="13">
        <f>124+79271+51753+30277+22107+12041+6459+2442+1421+653+309+602+108+53+31+25+52+399</f>
        <v>208127</v>
      </c>
      <c r="AI63" s="1098">
        <f>AG63/AH63</f>
        <v>9.770137944620352</v>
      </c>
      <c r="AJ63" s="655">
        <v>53</v>
      </c>
    </row>
    <row r="64" spans="1:36" s="90" customFormat="1" ht="9.75" customHeight="1">
      <c r="A64" s="338">
        <v>54</v>
      </c>
      <c r="B64" s="893"/>
      <c r="C64" s="887" t="s">
        <v>444</v>
      </c>
      <c r="D64" s="1041"/>
      <c r="E64" s="882" t="s">
        <v>220</v>
      </c>
      <c r="F64" s="32">
        <v>40697</v>
      </c>
      <c r="G64" s="588" t="s">
        <v>31</v>
      </c>
      <c r="H64" s="181">
        <v>71</v>
      </c>
      <c r="I64" s="186">
        <v>4</v>
      </c>
      <c r="J64" s="186">
        <v>17</v>
      </c>
      <c r="K64" s="1045">
        <v>191</v>
      </c>
      <c r="L64" s="1046">
        <v>42</v>
      </c>
      <c r="M64" s="1045">
        <v>262</v>
      </c>
      <c r="N64" s="1046">
        <v>48</v>
      </c>
      <c r="O64" s="1045">
        <v>407</v>
      </c>
      <c r="P64" s="1046">
        <v>67</v>
      </c>
      <c r="Q64" s="593">
        <f>+K64+M64+O64</f>
        <v>860</v>
      </c>
      <c r="R64" s="592">
        <f>+L64+N64+P64</f>
        <v>157</v>
      </c>
      <c r="S64" s="280">
        <f>IF(Q64&lt;&gt;0,R64/I64,"")</f>
        <v>39.25</v>
      </c>
      <c r="T64" s="211">
        <f>IF(Q64&lt;&gt;0,Q64/R64,"")</f>
        <v>5.477707006369426</v>
      </c>
      <c r="U64" s="557">
        <v>3696</v>
      </c>
      <c r="V64" s="883">
        <f>IF(U64&lt;&gt;0,-(U64-Q64)/U64,"")</f>
        <v>-0.7673160173160173</v>
      </c>
      <c r="W64" s="318">
        <f>Y64-Q64</f>
        <v>630</v>
      </c>
      <c r="X64" s="245">
        <f>Z64-R64</f>
        <v>136</v>
      </c>
      <c r="Y64" s="1106">
        <v>1490</v>
      </c>
      <c r="Z64" s="1107">
        <v>293</v>
      </c>
      <c r="AA64" s="970">
        <f>R64*1/Z64</f>
        <v>0.5358361774744027</v>
      </c>
      <c r="AB64" s="970">
        <f>X64*1/Z64</f>
        <v>0.4641638225255973</v>
      </c>
      <c r="AC64" s="94">
        <f>Z64/I64</f>
        <v>73.25</v>
      </c>
      <c r="AD64" s="212">
        <f>Y64/Z64</f>
        <v>5.085324232081911</v>
      </c>
      <c r="AE64" s="96">
        <v>6840</v>
      </c>
      <c r="AF64" s="1097">
        <f>IF(AE64&lt;&gt;0,-(AE64-Y64)/AE64,"")</f>
        <v>-0.7821637426900585</v>
      </c>
      <c r="AG64" s="12">
        <f>204018.5+92011.75+38624.5+27400+22817+12697.5+8373+8455.5+6781+2290+2830+1048+3163+3005+2166+6840+1490</f>
        <v>444010.75</v>
      </c>
      <c r="AH64" s="13">
        <f>20915+10991+4900+3855+3433+1986+1329+1415+1032+399+409+237+591+657+312+1653+293</f>
        <v>54407</v>
      </c>
      <c r="AI64" s="276">
        <f>+AG64/AH64</f>
        <v>8.160912198797948</v>
      </c>
      <c r="AJ64" s="655">
        <v>54</v>
      </c>
    </row>
    <row r="65" spans="1:36" s="90" customFormat="1" ht="9.75" customHeight="1">
      <c r="A65" s="338">
        <v>55</v>
      </c>
      <c r="B65" s="907"/>
      <c r="C65" s="880"/>
      <c r="D65" s="880"/>
      <c r="E65" s="1078" t="s">
        <v>14</v>
      </c>
      <c r="F65" s="185">
        <v>40592</v>
      </c>
      <c r="G65" s="588" t="s">
        <v>31</v>
      </c>
      <c r="H65" s="186">
        <v>26</v>
      </c>
      <c r="I65" s="186">
        <v>1</v>
      </c>
      <c r="J65" s="186">
        <v>21</v>
      </c>
      <c r="K65" s="1045">
        <v>0</v>
      </c>
      <c r="L65" s="1046">
        <v>0</v>
      </c>
      <c r="M65" s="1045">
        <v>0</v>
      </c>
      <c r="N65" s="1046">
        <v>0</v>
      </c>
      <c r="O65" s="1045">
        <v>0</v>
      </c>
      <c r="P65" s="1046">
        <v>0</v>
      </c>
      <c r="Q65" s="581">
        <f>+K65+M65+O65</f>
        <v>0</v>
      </c>
      <c r="R65" s="483">
        <f>+L65+N65+P65</f>
        <v>0</v>
      </c>
      <c r="S65" s="280">
        <f>IF(Q65&lt;&gt;0,R65/I65,"")</f>
      </c>
      <c r="T65" s="211">
        <f>IF(Q65&lt;&gt;0,Q65/R65,"")</f>
      </c>
      <c r="U65" s="34"/>
      <c r="V65" s="883"/>
      <c r="W65" s="318">
        <f>Y65-Q65</f>
        <v>1425.5</v>
      </c>
      <c r="X65" s="245">
        <f>Z65-R65</f>
        <v>356</v>
      </c>
      <c r="Y65" s="1106">
        <v>1425.5</v>
      </c>
      <c r="Z65" s="1107">
        <v>356</v>
      </c>
      <c r="AA65" s="970">
        <f>R65*1/Z65</f>
        <v>0</v>
      </c>
      <c r="AB65" s="970">
        <f>X65*1/Z65</f>
        <v>1</v>
      </c>
      <c r="AC65" s="94">
        <f>Z65/I65</f>
        <v>356</v>
      </c>
      <c r="AD65" s="212">
        <f>Y65/Z65</f>
        <v>4.004213483146067</v>
      </c>
      <c r="AE65" s="96"/>
      <c r="AF65" s="1097"/>
      <c r="AG65" s="12">
        <f>237198+117355.25+39279+7609+10490+5994.5+4177+5529+13722.5+15666+5837+4401.5+5554+1816.5+656+560+364+822+284+390+1425.5</f>
        <v>479130.75</v>
      </c>
      <c r="AH65" s="13">
        <f>20106+9312+4270+1420+2469+1087+657+754+2056+2109+1033+786+862+334+111+80+52+126+44+39+356</f>
        <v>48063</v>
      </c>
      <c r="AI65" s="276">
        <f>+AG65/AH65</f>
        <v>9.968806566381625</v>
      </c>
      <c r="AJ65" s="655">
        <v>55</v>
      </c>
    </row>
    <row r="66" spans="1:36" s="90" customFormat="1" ht="9.75" customHeight="1">
      <c r="A66" s="338">
        <v>56</v>
      </c>
      <c r="B66" s="677"/>
      <c r="C66" s="887" t="s">
        <v>444</v>
      </c>
      <c r="D66" s="1041"/>
      <c r="E66" s="899" t="s">
        <v>229</v>
      </c>
      <c r="F66" s="113">
        <v>40704</v>
      </c>
      <c r="G66" s="588" t="s">
        <v>23</v>
      </c>
      <c r="H66" s="181">
        <v>144</v>
      </c>
      <c r="I66" s="33">
        <v>1</v>
      </c>
      <c r="J66" s="33">
        <v>16</v>
      </c>
      <c r="K66" s="1042">
        <v>171</v>
      </c>
      <c r="L66" s="1043">
        <v>27</v>
      </c>
      <c r="M66" s="1042">
        <v>171</v>
      </c>
      <c r="N66" s="1043">
        <v>27</v>
      </c>
      <c r="O66" s="1042">
        <v>171</v>
      </c>
      <c r="P66" s="1043">
        <v>27</v>
      </c>
      <c r="Q66" s="581">
        <f>SUM(K66+M66+O66)</f>
        <v>513</v>
      </c>
      <c r="R66" s="483">
        <f>SUM(L66+N66+P66)</f>
        <v>81</v>
      </c>
      <c r="S66" s="280">
        <f>IF(Q66&lt;&gt;0,R66/I66,"")</f>
        <v>81</v>
      </c>
      <c r="T66" s="211">
        <f>IF(Q66&lt;&gt;0,Q66/R66,"")</f>
        <v>6.333333333333333</v>
      </c>
      <c r="U66" s="34">
        <v>374</v>
      </c>
      <c r="V66" s="883">
        <f>IF(U66&lt;&gt;0,-(U66-Q66)/U66,"")</f>
        <v>0.3716577540106952</v>
      </c>
      <c r="W66" s="318">
        <f>Y66-Q66</f>
        <v>864</v>
      </c>
      <c r="X66" s="245">
        <f>Z66-R66</f>
        <v>128</v>
      </c>
      <c r="Y66" s="1110">
        <v>1377</v>
      </c>
      <c r="Z66" s="1109">
        <v>209</v>
      </c>
      <c r="AA66" s="970">
        <f>R66*1/Z66</f>
        <v>0.3875598086124402</v>
      </c>
      <c r="AB66" s="970">
        <f>X66*1/Z66</f>
        <v>0.6124401913875598</v>
      </c>
      <c r="AC66" s="94">
        <f>Z66/I66</f>
        <v>209</v>
      </c>
      <c r="AD66" s="212">
        <f>Y66/Z66</f>
        <v>6.588516746411483</v>
      </c>
      <c r="AE66" s="96">
        <v>1598</v>
      </c>
      <c r="AF66" s="1097">
        <f>IF(AE66&lt;&gt;0,-(AE66-Y66)/AE66,"")</f>
        <v>-0.13829787234042554</v>
      </c>
      <c r="AG66" s="217">
        <v>3693410</v>
      </c>
      <c r="AH66" s="216">
        <v>337409</v>
      </c>
      <c r="AI66" s="1099">
        <f>AG66/AH66</f>
        <v>10.946388507716154</v>
      </c>
      <c r="AJ66" s="655">
        <v>56</v>
      </c>
    </row>
    <row r="67" spans="1:36" s="90" customFormat="1" ht="9.75" customHeight="1">
      <c r="A67" s="338">
        <v>57</v>
      </c>
      <c r="B67" s="907"/>
      <c r="C67" s="880"/>
      <c r="D67" s="880"/>
      <c r="E67" s="1078" t="s">
        <v>51</v>
      </c>
      <c r="F67" s="185">
        <v>40662</v>
      </c>
      <c r="G67" s="588" t="s">
        <v>31</v>
      </c>
      <c r="H67" s="186">
        <v>19</v>
      </c>
      <c r="I67" s="186">
        <v>1</v>
      </c>
      <c r="J67" s="186">
        <v>21</v>
      </c>
      <c r="K67" s="1045">
        <v>0</v>
      </c>
      <c r="L67" s="1046">
        <v>0</v>
      </c>
      <c r="M67" s="1045">
        <v>0</v>
      </c>
      <c r="N67" s="1046">
        <v>0</v>
      </c>
      <c r="O67" s="1045">
        <v>0</v>
      </c>
      <c r="P67" s="1046">
        <v>0</v>
      </c>
      <c r="Q67" s="581">
        <f>SUM(K67+M67+O67)</f>
        <v>0</v>
      </c>
      <c r="R67" s="483">
        <f>SUM(L67+N67+P67)</f>
        <v>0</v>
      </c>
      <c r="S67" s="900">
        <f>IF(Q67&lt;&gt;0,R67/I67,"")</f>
      </c>
      <c r="T67" s="211">
        <f>IF(Q67&lt;&gt;0,Q67/R67,"")</f>
      </c>
      <c r="U67" s="34"/>
      <c r="V67" s="883"/>
      <c r="W67" s="318">
        <f>Y67-Q67</f>
        <v>1307</v>
      </c>
      <c r="X67" s="245">
        <f>Z67-R67</f>
        <v>327</v>
      </c>
      <c r="Y67" s="1106">
        <v>1307</v>
      </c>
      <c r="Z67" s="1107">
        <v>327</v>
      </c>
      <c r="AA67" s="970">
        <f>R67*1/Z67</f>
        <v>0</v>
      </c>
      <c r="AB67" s="970">
        <f>X67*1/Z67</f>
        <v>1</v>
      </c>
      <c r="AC67" s="94">
        <f>Z67/I67</f>
        <v>327</v>
      </c>
      <c r="AD67" s="212">
        <f>Y67/Z67</f>
        <v>3.996941896024465</v>
      </c>
      <c r="AE67" s="96"/>
      <c r="AF67" s="1097"/>
      <c r="AG67" s="12">
        <f>101742.25+50164.5+51750+9401+13450.5+18562.5+28682+16047.5+15912+8384+5213+12043+3980+9461+6303.5+6271+2673+6139.5+1849.5+1109+1307</f>
        <v>370445.75</v>
      </c>
      <c r="AH67" s="13">
        <f>8064+3844+5093+985+1765+2797+3793+2133+2232+1161+795+1735+578+1201+748+718+399+835+292+171+327</f>
        <v>39666</v>
      </c>
      <c r="AI67" s="1098">
        <f>AG67/AH67</f>
        <v>9.339125447486513</v>
      </c>
      <c r="AJ67" s="655">
        <v>57</v>
      </c>
    </row>
    <row r="68" spans="1:36" s="90" customFormat="1" ht="9.75" customHeight="1">
      <c r="A68" s="338">
        <v>58</v>
      </c>
      <c r="B68" s="890"/>
      <c r="C68" s="880"/>
      <c r="D68" s="891"/>
      <c r="E68" s="881" t="s">
        <v>437</v>
      </c>
      <c r="F68" s="567">
        <v>40746</v>
      </c>
      <c r="G68" s="881" t="s">
        <v>62</v>
      </c>
      <c r="H68" s="213">
        <v>35</v>
      </c>
      <c r="I68" s="215">
        <v>2</v>
      </c>
      <c r="J68" s="215">
        <v>10</v>
      </c>
      <c r="K68" s="217">
        <v>28</v>
      </c>
      <c r="L68" s="216">
        <v>4</v>
      </c>
      <c r="M68" s="217">
        <v>255</v>
      </c>
      <c r="N68" s="216">
        <v>45</v>
      </c>
      <c r="O68" s="217">
        <v>567</v>
      </c>
      <c r="P68" s="216">
        <v>90</v>
      </c>
      <c r="Q68" s="581">
        <f>SUM(K68+M68+O68)</f>
        <v>850</v>
      </c>
      <c r="R68" s="483">
        <f>SUM(L68+N68+P68)</f>
        <v>139</v>
      </c>
      <c r="S68" s="592">
        <f>R68/I68</f>
        <v>69.5</v>
      </c>
      <c r="T68" s="211">
        <f>+Q68/R68</f>
        <v>6.115107913669065</v>
      </c>
      <c r="U68" s="34">
        <v>2155</v>
      </c>
      <c r="V68" s="883">
        <f>IF(U68&lt;&gt;0,-(U68-Q68)/U68,"")</f>
        <v>-0.605568445475638</v>
      </c>
      <c r="W68" s="318">
        <f>Y68-Q68</f>
        <v>442</v>
      </c>
      <c r="X68" s="245">
        <f>Z68-R68</f>
        <v>72</v>
      </c>
      <c r="Y68" s="1110">
        <v>1292</v>
      </c>
      <c r="Z68" s="1109">
        <v>211</v>
      </c>
      <c r="AA68" s="970">
        <f>R68*1/Z68</f>
        <v>0.6587677725118484</v>
      </c>
      <c r="AB68" s="970">
        <f>X68*1/Z68</f>
        <v>0.3412322274881517</v>
      </c>
      <c r="AC68" s="94">
        <f>Z68/I68</f>
        <v>105.5</v>
      </c>
      <c r="AD68" s="212">
        <f>Y68/Z68</f>
        <v>6.123222748815166</v>
      </c>
      <c r="AE68" s="96">
        <v>3279</v>
      </c>
      <c r="AF68" s="1097">
        <f>IF(AE68&lt;&gt;0,-(AE68-Y68)/AE68,"")</f>
        <v>-0.6059774321439463</v>
      </c>
      <c r="AG68" s="217">
        <v>28874</v>
      </c>
      <c r="AH68" s="216">
        <v>3313</v>
      </c>
      <c r="AI68" s="1098">
        <f>AG68/AH68</f>
        <v>8.715363718683973</v>
      </c>
      <c r="AJ68" s="655">
        <v>58</v>
      </c>
    </row>
    <row r="69" spans="1:36" s="90" customFormat="1" ht="9.75" customHeight="1">
      <c r="A69" s="338">
        <v>59</v>
      </c>
      <c r="B69" s="897"/>
      <c r="C69" s="889"/>
      <c r="D69" s="889"/>
      <c r="E69" s="618" t="s">
        <v>352</v>
      </c>
      <c r="F69" s="399">
        <v>40732</v>
      </c>
      <c r="G69" s="881" t="s">
        <v>62</v>
      </c>
      <c r="H69" s="213">
        <v>15</v>
      </c>
      <c r="I69" s="215">
        <v>1</v>
      </c>
      <c r="J69" s="215">
        <v>12</v>
      </c>
      <c r="K69" s="217">
        <v>72</v>
      </c>
      <c r="L69" s="216">
        <v>9</v>
      </c>
      <c r="M69" s="217">
        <v>144</v>
      </c>
      <c r="N69" s="216">
        <v>18</v>
      </c>
      <c r="O69" s="217">
        <v>168</v>
      </c>
      <c r="P69" s="216">
        <v>21</v>
      </c>
      <c r="Q69" s="581">
        <f>+K69+M69+O69</f>
        <v>384</v>
      </c>
      <c r="R69" s="483">
        <f>+L69+N69+P69</f>
        <v>48</v>
      </c>
      <c r="S69" s="595">
        <f>+R69/I69</f>
        <v>48</v>
      </c>
      <c r="T69" s="211">
        <f>IF(Q69&lt;&gt;0,Q69/R69,"")</f>
        <v>8</v>
      </c>
      <c r="U69" s="34">
        <v>1789</v>
      </c>
      <c r="V69" s="883">
        <f>IF(U69&lt;&gt;0,-(U69-Q69)/U69,"")</f>
        <v>-0.7853549468977082</v>
      </c>
      <c r="W69" s="318">
        <f>Y69-Q69</f>
        <v>834</v>
      </c>
      <c r="X69" s="245">
        <f>Z69-R69</f>
        <v>139</v>
      </c>
      <c r="Y69" s="1110">
        <v>1218</v>
      </c>
      <c r="Z69" s="1109">
        <v>187</v>
      </c>
      <c r="AA69" s="970">
        <f>R69*1/Z69</f>
        <v>0.25668449197860965</v>
      </c>
      <c r="AB69" s="970">
        <f>X69*1/Z69</f>
        <v>0.7433155080213903</v>
      </c>
      <c r="AC69" s="94">
        <f>Z69/I69</f>
        <v>187</v>
      </c>
      <c r="AD69" s="212">
        <f>Y69/Z69</f>
        <v>6.5133689839572195</v>
      </c>
      <c r="AE69" s="96">
        <v>3062</v>
      </c>
      <c r="AF69" s="1097">
        <f>IF(AE69&lt;&gt;0,-(AE69-Y69)/AE69,"")</f>
        <v>-0.6022207707380797</v>
      </c>
      <c r="AG69" s="217">
        <v>181562</v>
      </c>
      <c r="AH69" s="216">
        <v>22205</v>
      </c>
      <c r="AI69" s="276">
        <f>+AG69/AH69</f>
        <v>8.176626885836523</v>
      </c>
      <c r="AJ69" s="655">
        <v>59</v>
      </c>
    </row>
    <row r="70" spans="1:36" s="90" customFormat="1" ht="9.75" customHeight="1">
      <c r="A70" s="338">
        <v>60</v>
      </c>
      <c r="B70" s="802"/>
      <c r="C70" s="880"/>
      <c r="D70" s="880"/>
      <c r="E70" s="20" t="s">
        <v>408</v>
      </c>
      <c r="F70" s="113">
        <v>40767</v>
      </c>
      <c r="G70" s="588" t="s">
        <v>8</v>
      </c>
      <c r="H70" s="5">
        <v>35</v>
      </c>
      <c r="I70" s="5">
        <v>2</v>
      </c>
      <c r="J70" s="5">
        <v>7</v>
      </c>
      <c r="K70" s="10">
        <v>119</v>
      </c>
      <c r="L70" s="11">
        <v>17</v>
      </c>
      <c r="M70" s="10">
        <v>317</v>
      </c>
      <c r="N70" s="11">
        <v>41</v>
      </c>
      <c r="O70" s="10">
        <v>216</v>
      </c>
      <c r="P70" s="11">
        <v>27</v>
      </c>
      <c r="Q70" s="581">
        <f>SUM(K70+M70+O70)</f>
        <v>652</v>
      </c>
      <c r="R70" s="483">
        <f>SUM(L70+N70+P70)</f>
        <v>85</v>
      </c>
      <c r="S70" s="280">
        <f>IF(Q70&lt;&gt;0,R70/I70,"")</f>
        <v>42.5</v>
      </c>
      <c r="T70" s="211">
        <f>IF(Q70&lt;&gt;0,Q70/R70,"")</f>
        <v>7.670588235294118</v>
      </c>
      <c r="U70" s="557">
        <v>1350</v>
      </c>
      <c r="V70" s="883">
        <f>IF(U70&lt;&gt;0,-(U70-Q70)/U70,"")</f>
        <v>-0.5170370370370371</v>
      </c>
      <c r="W70" s="318">
        <f>Y70-Q70</f>
        <v>537</v>
      </c>
      <c r="X70" s="245">
        <f>Z70-R70</f>
        <v>90</v>
      </c>
      <c r="Y70" s="1111">
        <v>1189</v>
      </c>
      <c r="Z70" s="1112">
        <v>175</v>
      </c>
      <c r="AA70" s="970">
        <f>R70*1/Z70</f>
        <v>0.4857142857142857</v>
      </c>
      <c r="AB70" s="970">
        <f>X70*1/Z70</f>
        <v>0.5142857142857142</v>
      </c>
      <c r="AC70" s="94">
        <f>Z70/I70</f>
        <v>87.5</v>
      </c>
      <c r="AD70" s="212">
        <f>Y70/Z70</f>
        <v>6.7942857142857145</v>
      </c>
      <c r="AE70" s="96">
        <v>2365</v>
      </c>
      <c r="AF70" s="1097">
        <f>IF(AE70&lt;&gt;0,-(AE70-Y70)/AE70,"")</f>
        <v>-0.49725158562367866</v>
      </c>
      <c r="AG70" s="10">
        <v>143299</v>
      </c>
      <c r="AH70" s="11">
        <v>15551</v>
      </c>
      <c r="AI70" s="1098">
        <f>AG70/AH70</f>
        <v>9.214777184746962</v>
      </c>
      <c r="AJ70" s="655">
        <v>60</v>
      </c>
    </row>
    <row r="71" spans="1:36" s="90" customFormat="1" ht="9.75" customHeight="1">
      <c r="A71" s="338">
        <v>61</v>
      </c>
      <c r="B71" s="907"/>
      <c r="C71" s="880"/>
      <c r="D71" s="880"/>
      <c r="E71" s="393" t="s">
        <v>470</v>
      </c>
      <c r="F71" s="32">
        <v>40193</v>
      </c>
      <c r="G71" s="588" t="s">
        <v>31</v>
      </c>
      <c r="H71" s="33">
        <v>17</v>
      </c>
      <c r="I71" s="33">
        <v>1</v>
      </c>
      <c r="J71" s="33">
        <v>17</v>
      </c>
      <c r="K71" s="1045">
        <v>0</v>
      </c>
      <c r="L71" s="1046">
        <v>0</v>
      </c>
      <c r="M71" s="1045">
        <v>0</v>
      </c>
      <c r="N71" s="1046">
        <v>0</v>
      </c>
      <c r="O71" s="1045">
        <v>0</v>
      </c>
      <c r="P71" s="1046">
        <v>0</v>
      </c>
      <c r="Q71" s="581">
        <f>SUM(K71+M71+O71)</f>
        <v>0</v>
      </c>
      <c r="R71" s="483">
        <f>SUM(L71+N71+P71)</f>
        <v>0</v>
      </c>
      <c r="S71" s="280">
        <f>IF(Q71&lt;&gt;0,R71/I71,"")</f>
      </c>
      <c r="T71" s="211">
        <f>IF(Q71&lt;&gt;0,Q71/R71,"")</f>
      </c>
      <c r="U71" s="34"/>
      <c r="V71" s="883"/>
      <c r="W71" s="318">
        <f>Y71-Q71</f>
        <v>1188</v>
      </c>
      <c r="X71" s="245">
        <f>Z71-R71</f>
        <v>297</v>
      </c>
      <c r="Y71" s="1106">
        <v>1188</v>
      </c>
      <c r="Z71" s="1107">
        <v>297</v>
      </c>
      <c r="AA71" s="970">
        <f>R71*1/Z71</f>
        <v>0</v>
      </c>
      <c r="AB71" s="970">
        <f>X71*1/Z71</f>
        <v>1</v>
      </c>
      <c r="AC71" s="94">
        <f>Z71/I71</f>
        <v>297</v>
      </c>
      <c r="AD71" s="212">
        <f>Y71/Z71</f>
        <v>4</v>
      </c>
      <c r="AE71" s="96"/>
      <c r="AF71" s="1097"/>
      <c r="AG71" s="12">
        <f>1080+95415+33267.75+2666+272+903+421+2653+1780+747+58+1376+1549+190+3317+520.5+1188+1188</f>
        <v>148591.25</v>
      </c>
      <c r="AH71" s="13">
        <f>108+7515+2837+363+32+176+93+719+445+99+9+205+217+27+387+69+297+297</f>
        <v>13895</v>
      </c>
      <c r="AI71" s="276">
        <f>+AG71/AH71</f>
        <v>10.693864699532206</v>
      </c>
      <c r="AJ71" s="655">
        <v>61</v>
      </c>
    </row>
    <row r="72" spans="1:36" s="90" customFormat="1" ht="9.75" customHeight="1">
      <c r="A72" s="338">
        <v>62</v>
      </c>
      <c r="B72" s="677"/>
      <c r="C72" s="880"/>
      <c r="D72" s="1044" t="s">
        <v>446</v>
      </c>
      <c r="E72" s="588" t="s">
        <v>69</v>
      </c>
      <c r="F72" s="567">
        <v>40683</v>
      </c>
      <c r="G72" s="588" t="s">
        <v>62</v>
      </c>
      <c r="H72" s="119">
        <v>33</v>
      </c>
      <c r="I72" s="215">
        <v>1</v>
      </c>
      <c r="J72" s="215">
        <v>14</v>
      </c>
      <c r="K72" s="217">
        <v>0</v>
      </c>
      <c r="L72" s="216">
        <v>0</v>
      </c>
      <c r="M72" s="217">
        <v>0</v>
      </c>
      <c r="N72" s="216">
        <v>0</v>
      </c>
      <c r="O72" s="217">
        <v>0</v>
      </c>
      <c r="P72" s="216">
        <v>0</v>
      </c>
      <c r="Q72" s="593">
        <f>SUM(K72+M72+O72)</f>
        <v>0</v>
      </c>
      <c r="R72" s="592">
        <f>SUM(L72+N72+P72)</f>
        <v>0</v>
      </c>
      <c r="S72" s="280">
        <f>IF(Q72&lt;&gt;0,R72/I72,"")</f>
      </c>
      <c r="T72" s="211">
        <f>IF(Q72&lt;&gt;0,Q72/R72,"")</f>
      </c>
      <c r="U72" s="557"/>
      <c r="V72" s="883"/>
      <c r="W72" s="318"/>
      <c r="X72" s="245"/>
      <c r="Y72" s="1110">
        <v>1188</v>
      </c>
      <c r="Z72" s="1117">
        <v>237</v>
      </c>
      <c r="AA72" s="970">
        <f>R72*1/Z72</f>
        <v>0</v>
      </c>
      <c r="AB72" s="970">
        <f>X72*1/Z72</f>
        <v>0</v>
      </c>
      <c r="AC72" s="94">
        <f>Z72/I72</f>
        <v>237</v>
      </c>
      <c r="AD72" s="212">
        <f>Y72/Z72</f>
        <v>5.012658227848101</v>
      </c>
      <c r="AE72" s="96"/>
      <c r="AF72" s="1097"/>
      <c r="AG72" s="217">
        <v>114311.75</v>
      </c>
      <c r="AH72" s="249">
        <v>14051</v>
      </c>
      <c r="AI72" s="276">
        <f>+AG72/AH72</f>
        <v>8.135488577325457</v>
      </c>
      <c r="AJ72" s="655">
        <v>62</v>
      </c>
    </row>
    <row r="73" spans="1:36" s="90" customFormat="1" ht="9.75" customHeight="1">
      <c r="A73" s="338">
        <v>63</v>
      </c>
      <c r="B73" s="677"/>
      <c r="C73" s="880"/>
      <c r="D73" s="1041"/>
      <c r="E73" s="899" t="s">
        <v>376</v>
      </c>
      <c r="F73" s="567">
        <v>40739</v>
      </c>
      <c r="G73" s="881" t="s">
        <v>62</v>
      </c>
      <c r="H73" s="213">
        <v>3</v>
      </c>
      <c r="I73" s="215">
        <v>2</v>
      </c>
      <c r="J73" s="215">
        <v>11</v>
      </c>
      <c r="K73" s="217">
        <v>52</v>
      </c>
      <c r="L73" s="216">
        <v>10</v>
      </c>
      <c r="M73" s="217">
        <v>245</v>
      </c>
      <c r="N73" s="216">
        <v>30</v>
      </c>
      <c r="O73" s="217">
        <v>428</v>
      </c>
      <c r="P73" s="216">
        <v>48</v>
      </c>
      <c r="Q73" s="581">
        <f>SUM(K73+M73+O73)</f>
        <v>725</v>
      </c>
      <c r="R73" s="483">
        <f>SUM(L73+N73+P73)</f>
        <v>88</v>
      </c>
      <c r="S73" s="280">
        <f>IF(Q73&lt;&gt;0,R73/I73,"")</f>
        <v>44</v>
      </c>
      <c r="T73" s="211">
        <f>IF(Q73&lt;&gt;0,Q73/R73,"")</f>
        <v>8.238636363636363</v>
      </c>
      <c r="U73" s="591">
        <v>502</v>
      </c>
      <c r="V73" s="883">
        <f>IF(U73&lt;&gt;0,-(U73-Q73)/U73,"")</f>
        <v>0.4442231075697211</v>
      </c>
      <c r="W73" s="318">
        <f>Y73-Q73</f>
        <v>413</v>
      </c>
      <c r="X73" s="245">
        <f>Z73-R73</f>
        <v>62</v>
      </c>
      <c r="Y73" s="1110">
        <v>1138</v>
      </c>
      <c r="Z73" s="1109">
        <v>150</v>
      </c>
      <c r="AA73" s="970">
        <f>R73*1/Z73</f>
        <v>0.5866666666666667</v>
      </c>
      <c r="AB73" s="970">
        <f>X73*1/Z73</f>
        <v>0.41333333333333333</v>
      </c>
      <c r="AC73" s="94">
        <f>Z73/I73</f>
        <v>75</v>
      </c>
      <c r="AD73" s="212">
        <f>Y73/Z73</f>
        <v>7.586666666666667</v>
      </c>
      <c r="AE73" s="95">
        <v>1840</v>
      </c>
      <c r="AF73" s="1097">
        <f>IF(AE73&lt;&gt;0,-(AE73-Y73)/AE73,"")</f>
        <v>-0.3815217391304348</v>
      </c>
      <c r="AG73" s="217">
        <v>34896</v>
      </c>
      <c r="AH73" s="216">
        <v>3790</v>
      </c>
      <c r="AI73" s="1098">
        <f>+AG73/AH73</f>
        <v>9.207387862796834</v>
      </c>
      <c r="AJ73" s="655">
        <v>63</v>
      </c>
    </row>
    <row r="74" spans="1:36" s="90" customFormat="1" ht="9.75" customHeight="1">
      <c r="A74" s="338">
        <v>64</v>
      </c>
      <c r="B74" s="907"/>
      <c r="C74" s="880"/>
      <c r="D74" s="1044" t="s">
        <v>446</v>
      </c>
      <c r="E74" s="672" t="s">
        <v>13</v>
      </c>
      <c r="F74" s="32">
        <v>40585</v>
      </c>
      <c r="G74" s="588" t="s">
        <v>31</v>
      </c>
      <c r="H74" s="33">
        <v>58</v>
      </c>
      <c r="I74" s="186">
        <v>2</v>
      </c>
      <c r="J74" s="186">
        <v>33</v>
      </c>
      <c r="K74" s="1045">
        <v>513</v>
      </c>
      <c r="L74" s="1046">
        <v>124</v>
      </c>
      <c r="M74" s="1045">
        <v>46</v>
      </c>
      <c r="N74" s="1046">
        <v>6</v>
      </c>
      <c r="O74" s="1045">
        <v>476</v>
      </c>
      <c r="P74" s="1046">
        <v>119</v>
      </c>
      <c r="Q74" s="581">
        <f>SUM(K74+M74+O74)</f>
        <v>1035</v>
      </c>
      <c r="R74" s="483">
        <f>SUM(L74+N74+P74)</f>
        <v>249</v>
      </c>
      <c r="S74" s="280">
        <f>IF(Q74&lt;&gt;0,R74/I74,"")</f>
        <v>124.5</v>
      </c>
      <c r="T74" s="211">
        <f>IF(Q74&lt;&gt;0,Q74/R74,"")</f>
        <v>4.156626506024097</v>
      </c>
      <c r="U74" s="34"/>
      <c r="V74" s="883"/>
      <c r="W74" s="318">
        <f>Y74-Q74</f>
        <v>58.5</v>
      </c>
      <c r="X74" s="245">
        <f>Z74-R74</f>
        <v>8</v>
      </c>
      <c r="Y74" s="1106">
        <v>1093.5</v>
      </c>
      <c r="Z74" s="1107">
        <v>257</v>
      </c>
      <c r="AA74" s="970">
        <f>R74*1/Z74</f>
        <v>0.9688715953307393</v>
      </c>
      <c r="AB74" s="970">
        <f>X74*1/Z74</f>
        <v>0.0311284046692607</v>
      </c>
      <c r="AC74" s="94">
        <f>Z74/I74</f>
        <v>128.5</v>
      </c>
      <c r="AD74" s="212">
        <f>Y74/Z74</f>
        <v>4.254863813229572</v>
      </c>
      <c r="AE74" s="96">
        <v>59</v>
      </c>
      <c r="AF74" s="1097">
        <f>IF(AE74&lt;&gt;0,-(AE74-Y74)/AE74,"")</f>
        <v>17.533898305084747</v>
      </c>
      <c r="AG74" s="12">
        <f>236018+209847.25+105622+138051.5+64189.5+34454+20202.5+27754+16946+8179.5+9672.5+8494+21812+25095+12109+8066+3824+4092+15394+226700+172575.5+127465+93972+96529+77366.5+63475.5+48505.5+31769.5+29482+10986+6164+59+1093.5</f>
        <v>1955965.75</v>
      </c>
      <c r="AH74" s="13">
        <f>25731+24506+13184+19079+9581+4996+3067+4392+3122+1175+1530+1410+3175+3587+1436+923+420+447+1629+25969+20073+15455+11876+13635+10490+9269+7265+5116+4049+1598+1517+8+257</f>
        <v>249967</v>
      </c>
      <c r="AI74" s="1098">
        <f>AG74/AH74</f>
        <v>7.824895886256986</v>
      </c>
      <c r="AJ74" s="655">
        <v>64</v>
      </c>
    </row>
    <row r="75" spans="1:36" s="90" customFormat="1" ht="9.75" customHeight="1">
      <c r="A75" s="338">
        <v>65</v>
      </c>
      <c r="B75" s="802"/>
      <c r="C75" s="880"/>
      <c r="D75" s="1044" t="s">
        <v>446</v>
      </c>
      <c r="E75" s="20" t="s">
        <v>57</v>
      </c>
      <c r="F75" s="2">
        <v>40669</v>
      </c>
      <c r="G75" s="588" t="s">
        <v>21</v>
      </c>
      <c r="H75" s="5">
        <v>9</v>
      </c>
      <c r="I75" s="3">
        <v>2</v>
      </c>
      <c r="J75" s="3">
        <v>17</v>
      </c>
      <c r="K75" s="10">
        <v>78</v>
      </c>
      <c r="L75" s="11">
        <v>10</v>
      </c>
      <c r="M75" s="10">
        <v>241</v>
      </c>
      <c r="N75" s="11">
        <v>30</v>
      </c>
      <c r="O75" s="10">
        <v>289</v>
      </c>
      <c r="P75" s="11">
        <v>37</v>
      </c>
      <c r="Q75" s="581">
        <f>+K75+M75+O75</f>
        <v>608</v>
      </c>
      <c r="R75" s="483">
        <f>+L75+N75+P75</f>
        <v>77</v>
      </c>
      <c r="S75" s="280">
        <f>IF(Q75&lt;&gt;0,R75/I75,"")</f>
        <v>38.5</v>
      </c>
      <c r="T75" s="211">
        <f>IF(Q75&lt;&gt;0,Q75/R75,"")</f>
        <v>7.896103896103896</v>
      </c>
      <c r="U75" s="34"/>
      <c r="V75" s="883">
        <f>IF(U75&lt;&gt;0,-(U75-Q75)/U75,"")</f>
      </c>
      <c r="W75" s="318">
        <f>Y75-Q75</f>
        <v>482</v>
      </c>
      <c r="X75" s="245">
        <f>Z75-R75</f>
        <v>62</v>
      </c>
      <c r="Y75" s="1115">
        <v>1090</v>
      </c>
      <c r="Z75" s="1116">
        <v>139</v>
      </c>
      <c r="AA75" s="970">
        <f>R75*1/Z75</f>
        <v>0.5539568345323741</v>
      </c>
      <c r="AB75" s="970">
        <f>X75*1/Z75</f>
        <v>0.4460431654676259</v>
      </c>
      <c r="AC75" s="94">
        <f>Z75/I75</f>
        <v>69.5</v>
      </c>
      <c r="AD75" s="212">
        <f>Y75/Z75</f>
        <v>7.841726618705036</v>
      </c>
      <c r="AE75" s="96"/>
      <c r="AF75" s="1097"/>
      <c r="AG75" s="35">
        <f>10611.5+6246+3879+1660+2650+3829+1318+645+1041+24+977.5+84+1681+166+203+141+1090</f>
        <v>36246</v>
      </c>
      <c r="AH75" s="38">
        <f>1405+909+512+224+387+611+221+87+151+4+128+14+189+28+32+22+139</f>
        <v>5063</v>
      </c>
      <c r="AI75" s="276">
        <f>+AG75/AH75</f>
        <v>7.158996642306932</v>
      </c>
      <c r="AJ75" s="655">
        <v>65</v>
      </c>
    </row>
    <row r="76" spans="1:36" s="90" customFormat="1" ht="9.75" customHeight="1">
      <c r="A76" s="338">
        <v>66</v>
      </c>
      <c r="B76" s="677"/>
      <c r="C76" s="880"/>
      <c r="D76" s="1041"/>
      <c r="E76" s="178">
        <v>3</v>
      </c>
      <c r="F76" s="32">
        <v>40746</v>
      </c>
      <c r="G76" s="588" t="s">
        <v>31</v>
      </c>
      <c r="H76" s="181">
        <v>5</v>
      </c>
      <c r="I76" s="186">
        <v>2</v>
      </c>
      <c r="J76" s="186">
        <v>10</v>
      </c>
      <c r="K76" s="1045">
        <v>44</v>
      </c>
      <c r="L76" s="1046">
        <v>6</v>
      </c>
      <c r="M76" s="1045">
        <v>260</v>
      </c>
      <c r="N76" s="1046">
        <v>34</v>
      </c>
      <c r="O76" s="1045">
        <v>257</v>
      </c>
      <c r="P76" s="1046">
        <v>33</v>
      </c>
      <c r="Q76" s="581">
        <f>+K76+M76+O76</f>
        <v>561</v>
      </c>
      <c r="R76" s="483">
        <f>+L76+N76+P76</f>
        <v>73</v>
      </c>
      <c r="S76" s="280">
        <f>IF(Q76&lt;&gt;0,R76/I76,"")</f>
        <v>36.5</v>
      </c>
      <c r="T76" s="211">
        <f>IF(Q76&lt;&gt;0,Q76/R76,"")</f>
        <v>7.684931506849315</v>
      </c>
      <c r="U76" s="34">
        <v>98</v>
      </c>
      <c r="V76" s="883">
        <f>IF(U76&lt;&gt;0,-(U76-Q76)/U76,"")</f>
        <v>4.724489795918367</v>
      </c>
      <c r="W76" s="318">
        <f>Y76-Q76</f>
        <v>429</v>
      </c>
      <c r="X76" s="245">
        <f>Z76-R76</f>
        <v>61</v>
      </c>
      <c r="Y76" s="1106">
        <v>990</v>
      </c>
      <c r="Z76" s="1107">
        <v>134</v>
      </c>
      <c r="AA76" s="970">
        <f>R76*1/Z76</f>
        <v>0.5447761194029851</v>
      </c>
      <c r="AB76" s="970">
        <f>X76*1/Z76</f>
        <v>0.4552238805970149</v>
      </c>
      <c r="AC76" s="94">
        <f>Z76/I76</f>
        <v>67</v>
      </c>
      <c r="AD76" s="212">
        <f>Y76/Z76</f>
        <v>7.388059701492537</v>
      </c>
      <c r="AE76" s="96">
        <v>196</v>
      </c>
      <c r="AF76" s="1097">
        <f>IF(AE76&lt;&gt;0,-(AE76-Y76)/AE76,"")</f>
        <v>4.051020408163265</v>
      </c>
      <c r="AG76" s="12">
        <f>15287.5+10909.5+3453.5+1267.5+1495+5972+1476+196+990</f>
        <v>41047</v>
      </c>
      <c r="AH76" s="13">
        <f>1370+1093+336+155+192+663+166+28+134</f>
        <v>4137</v>
      </c>
      <c r="AI76" s="276">
        <f>+AG76/AH76</f>
        <v>9.921924099589074</v>
      </c>
      <c r="AJ76" s="655">
        <v>66</v>
      </c>
    </row>
    <row r="77" spans="1:36" s="90" customFormat="1" ht="9.75" customHeight="1">
      <c r="A77" s="338">
        <v>67</v>
      </c>
      <c r="B77" s="907"/>
      <c r="C77" s="880"/>
      <c r="D77" s="880"/>
      <c r="E77" s="1078" t="s">
        <v>226</v>
      </c>
      <c r="F77" s="185">
        <v>40704</v>
      </c>
      <c r="G77" s="588" t="s">
        <v>31</v>
      </c>
      <c r="H77" s="33">
        <v>25</v>
      </c>
      <c r="I77" s="186">
        <v>1</v>
      </c>
      <c r="J77" s="186">
        <v>14</v>
      </c>
      <c r="K77" s="1045">
        <v>0</v>
      </c>
      <c r="L77" s="1046">
        <v>0</v>
      </c>
      <c r="M77" s="1045">
        <v>258</v>
      </c>
      <c r="N77" s="1046">
        <v>37</v>
      </c>
      <c r="O77" s="1045">
        <v>186</v>
      </c>
      <c r="P77" s="1046">
        <v>31</v>
      </c>
      <c r="Q77" s="581">
        <f>+K77+M77+O77</f>
        <v>444</v>
      </c>
      <c r="R77" s="483">
        <f>+L77+N77+P77</f>
        <v>68</v>
      </c>
      <c r="S77" s="280">
        <f>IF(Q77&lt;&gt;0,R77/I77,"")</f>
        <v>68</v>
      </c>
      <c r="T77" s="211">
        <f>IF(Q77&lt;&gt;0,Q77/R77,"")</f>
        <v>6.529411764705882</v>
      </c>
      <c r="U77" s="34"/>
      <c r="V77" s="883"/>
      <c r="W77" s="318">
        <f>Y77-Q77</f>
        <v>542</v>
      </c>
      <c r="X77" s="245">
        <f>Z77-R77</f>
        <v>83</v>
      </c>
      <c r="Y77" s="1106">
        <v>986</v>
      </c>
      <c r="Z77" s="1107">
        <v>151</v>
      </c>
      <c r="AA77" s="970">
        <f>R77*1/Z77</f>
        <v>0.4503311258278146</v>
      </c>
      <c r="AB77" s="970">
        <f>X77*1/Z77</f>
        <v>0.5496688741721855</v>
      </c>
      <c r="AC77" s="94">
        <f>Z77/I77</f>
        <v>151</v>
      </c>
      <c r="AD77" s="212">
        <f>Y77/Z77</f>
        <v>6.529801324503311</v>
      </c>
      <c r="AE77" s="96"/>
      <c r="AF77" s="1097"/>
      <c r="AG77" s="12">
        <f>1507.5+116073+64240.5+36865+26116.5+23857.5+27298.75+30562+27213.5+14091+13059.5+5775+887+432+986</f>
        <v>388964.75</v>
      </c>
      <c r="AH77" s="13">
        <f>73+10003+5758+3705+3172+2912+3100+4082+3485+1779+1512+765+131+60+151</f>
        <v>40688</v>
      </c>
      <c r="AI77" s="276">
        <f>+AG77/AH77</f>
        <v>9.559692046795124</v>
      </c>
      <c r="AJ77" s="655">
        <v>67</v>
      </c>
    </row>
    <row r="78" spans="1:36" s="90" customFormat="1" ht="9.75" customHeight="1">
      <c r="A78" s="338">
        <v>68</v>
      </c>
      <c r="B78" s="907"/>
      <c r="C78" s="880"/>
      <c r="D78" s="880"/>
      <c r="E78" s="1079" t="s">
        <v>384</v>
      </c>
      <c r="F78" s="185">
        <v>40746</v>
      </c>
      <c r="G78" s="588" t="s">
        <v>31</v>
      </c>
      <c r="H78" s="33">
        <v>8</v>
      </c>
      <c r="I78" s="186">
        <v>1</v>
      </c>
      <c r="J78" s="186">
        <v>9</v>
      </c>
      <c r="K78" s="1045">
        <v>98</v>
      </c>
      <c r="L78" s="1046">
        <v>12</v>
      </c>
      <c r="M78" s="1045">
        <v>186</v>
      </c>
      <c r="N78" s="1046">
        <v>24</v>
      </c>
      <c r="O78" s="1045">
        <v>249</v>
      </c>
      <c r="P78" s="1046">
        <v>30</v>
      </c>
      <c r="Q78" s="581">
        <f>SUM(K78+M78+O78)</f>
        <v>533</v>
      </c>
      <c r="R78" s="483">
        <f>SUM(L78+N78+P78)</f>
        <v>66</v>
      </c>
      <c r="S78" s="280">
        <f>IF(Q78&lt;&gt;0,R78/I78,"")</f>
        <v>66</v>
      </c>
      <c r="T78" s="211">
        <f>IF(Q78&lt;&gt;0,Q78/R78,"")</f>
        <v>8.075757575757576</v>
      </c>
      <c r="U78" s="34"/>
      <c r="V78" s="883"/>
      <c r="W78" s="318">
        <f>Y78-Q78</f>
        <v>259</v>
      </c>
      <c r="X78" s="245">
        <f>Z78-R78</f>
        <v>39</v>
      </c>
      <c r="Y78" s="1106">
        <v>792</v>
      </c>
      <c r="Z78" s="1107">
        <v>105</v>
      </c>
      <c r="AA78" s="970">
        <f>R78*1/Z78</f>
        <v>0.6285714285714286</v>
      </c>
      <c r="AB78" s="970">
        <f>X78*1/Z78</f>
        <v>0.37142857142857144</v>
      </c>
      <c r="AC78" s="94">
        <f>Z78/I78</f>
        <v>105</v>
      </c>
      <c r="AD78" s="212">
        <f>Y78/Z78</f>
        <v>7.542857142857143</v>
      </c>
      <c r="AE78" s="96"/>
      <c r="AF78" s="1097"/>
      <c r="AG78" s="12">
        <f>34995.5+29767+4050+6340+3008.5+4152+1152+3132.5+792</f>
        <v>87389.5</v>
      </c>
      <c r="AH78" s="13">
        <f>2476+2114+377+695+481+799+155+438+105</f>
        <v>7640</v>
      </c>
      <c r="AI78" s="1098">
        <f>AG78/AH78</f>
        <v>11.438416230366492</v>
      </c>
      <c r="AJ78" s="655">
        <v>68</v>
      </c>
    </row>
    <row r="79" spans="1:36" s="90" customFormat="1" ht="9.75" customHeight="1">
      <c r="A79" s="338">
        <v>69</v>
      </c>
      <c r="B79" s="907"/>
      <c r="C79" s="880"/>
      <c r="D79" s="880"/>
      <c r="E79" s="1078" t="s">
        <v>60</v>
      </c>
      <c r="F79" s="185">
        <v>40669</v>
      </c>
      <c r="G79" s="588" t="s">
        <v>31</v>
      </c>
      <c r="H79" s="33">
        <v>58</v>
      </c>
      <c r="I79" s="186">
        <v>1</v>
      </c>
      <c r="J79" s="186">
        <v>19</v>
      </c>
      <c r="K79" s="1045">
        <v>30</v>
      </c>
      <c r="L79" s="1046">
        <v>4</v>
      </c>
      <c r="M79" s="1045">
        <v>294</v>
      </c>
      <c r="N79" s="1046">
        <v>41</v>
      </c>
      <c r="O79" s="1045">
        <v>247</v>
      </c>
      <c r="P79" s="1046">
        <v>34</v>
      </c>
      <c r="Q79" s="581">
        <f>SUM(K79+M79+O79)</f>
        <v>571</v>
      </c>
      <c r="R79" s="483">
        <f>SUM(L79+N79+P79)</f>
        <v>79</v>
      </c>
      <c r="S79" s="280">
        <f>IF(Q79&lt;&gt;0,R79/I79,"")</f>
        <v>79</v>
      </c>
      <c r="T79" s="211">
        <f>IF(Q79&lt;&gt;0,Q79/R79,"")</f>
        <v>7.227848101265823</v>
      </c>
      <c r="U79" s="34"/>
      <c r="V79" s="883"/>
      <c r="W79" s="318">
        <f>Y79-Q79</f>
        <v>178</v>
      </c>
      <c r="X79" s="245">
        <f>Z79-R79</f>
        <v>25</v>
      </c>
      <c r="Y79" s="1106">
        <v>749</v>
      </c>
      <c r="Z79" s="1107">
        <v>104</v>
      </c>
      <c r="AA79" s="970">
        <f>R79*1/Z79</f>
        <v>0.7596153846153846</v>
      </c>
      <c r="AB79" s="970">
        <f>X79*1/Z79</f>
        <v>0.2403846153846154</v>
      </c>
      <c r="AC79" s="94">
        <f>Z79/I79</f>
        <v>104</v>
      </c>
      <c r="AD79" s="212">
        <f>Y79/Z79</f>
        <v>7.201923076923077</v>
      </c>
      <c r="AE79" s="96"/>
      <c r="AF79" s="1097"/>
      <c r="AG79" s="12">
        <f>283662.5+204713+63694+61522.5+37976+46923.5+23377.5+15917+7067.5+2523.5+6128.5+15179.5+11086.5+9981+4315+1379+1711+405+749</f>
        <v>798311.5</v>
      </c>
      <c r="AH79" s="13">
        <f>29595+21640+7444+8447+5671+7156+3524+2414+1006+405+822+1862+1355+1194+582+204+215+57+104</f>
        <v>93697</v>
      </c>
      <c r="AI79" s="276">
        <f>+AG79/AH79</f>
        <v>8.520139385465917</v>
      </c>
      <c r="AJ79" s="655">
        <v>69</v>
      </c>
    </row>
    <row r="80" spans="1:36" s="90" customFormat="1" ht="9.75" customHeight="1">
      <c r="A80" s="338">
        <v>70</v>
      </c>
      <c r="B80" s="893"/>
      <c r="C80" s="880"/>
      <c r="D80" s="1041"/>
      <c r="E80" s="117" t="s">
        <v>240</v>
      </c>
      <c r="F80" s="113">
        <v>40718</v>
      </c>
      <c r="G80" s="588" t="s">
        <v>31</v>
      </c>
      <c r="H80" s="181">
        <v>42</v>
      </c>
      <c r="I80" s="186">
        <v>3</v>
      </c>
      <c r="J80" s="186">
        <v>14</v>
      </c>
      <c r="K80" s="1045">
        <v>151</v>
      </c>
      <c r="L80" s="1046">
        <v>20</v>
      </c>
      <c r="M80" s="1045">
        <v>139</v>
      </c>
      <c r="N80" s="1046">
        <v>18</v>
      </c>
      <c r="O80" s="1045">
        <v>202</v>
      </c>
      <c r="P80" s="1046">
        <v>26</v>
      </c>
      <c r="Q80" s="581">
        <f>SUM(K80+M80+O80)</f>
        <v>492</v>
      </c>
      <c r="R80" s="483">
        <f>SUM(L80+N80+P80)</f>
        <v>64</v>
      </c>
      <c r="S80" s="595">
        <f>+R80/I80</f>
        <v>21.333333333333332</v>
      </c>
      <c r="T80" s="898">
        <f>+Q80/R80</f>
        <v>7.6875</v>
      </c>
      <c r="U80" s="34">
        <v>1212</v>
      </c>
      <c r="V80" s="883">
        <f>IF(U80&lt;&gt;0,-(U80-Q80)/U80,"")</f>
        <v>-0.594059405940594</v>
      </c>
      <c r="W80" s="318">
        <f>Y80-Q80</f>
        <v>225</v>
      </c>
      <c r="X80" s="245">
        <f>Z80-R80</f>
        <v>34</v>
      </c>
      <c r="Y80" s="1106">
        <v>717</v>
      </c>
      <c r="Z80" s="1107">
        <v>98</v>
      </c>
      <c r="AA80" s="970">
        <f>R80*1/Z80</f>
        <v>0.6530612244897959</v>
      </c>
      <c r="AB80" s="970">
        <f>X80*1/Z80</f>
        <v>0.3469387755102041</v>
      </c>
      <c r="AC80" s="94">
        <f>Z80/I80</f>
        <v>32.666666666666664</v>
      </c>
      <c r="AD80" s="212">
        <f>Y80/Z80</f>
        <v>7.316326530612245</v>
      </c>
      <c r="AE80" s="96">
        <v>2181</v>
      </c>
      <c r="AF80" s="1097">
        <f>IF(AE80&lt;&gt;0,-(AE80-Y80)/AE80,"")</f>
        <v>-0.671251719394773</v>
      </c>
      <c r="AG80" s="12">
        <f>206744+133125+83915.5+50898.5+53053.5+49526+20766+13108.5+7886.5+18395+9625+6653+2181+717</f>
        <v>656594.5</v>
      </c>
      <c r="AH80" s="13">
        <f>19325+12664+8208+6197+7341+6951+3245+2073+1102+2616+1516+888+316+98</f>
        <v>72540</v>
      </c>
      <c r="AI80" s="1098">
        <f>AG80/AH80</f>
        <v>9.05148194099807</v>
      </c>
      <c r="AJ80" s="655">
        <v>70</v>
      </c>
    </row>
    <row r="81" spans="1:36" s="90" customFormat="1" ht="9.75" customHeight="1">
      <c r="A81" s="338">
        <v>71</v>
      </c>
      <c r="B81" s="907"/>
      <c r="C81" s="880"/>
      <c r="D81" s="1044" t="s">
        <v>446</v>
      </c>
      <c r="E81" s="1078" t="s">
        <v>25</v>
      </c>
      <c r="F81" s="185">
        <v>40627</v>
      </c>
      <c r="G81" s="588" t="s">
        <v>31</v>
      </c>
      <c r="H81" s="33">
        <v>137</v>
      </c>
      <c r="I81" s="186">
        <v>1</v>
      </c>
      <c r="J81" s="186">
        <v>22</v>
      </c>
      <c r="K81" s="1045">
        <v>113</v>
      </c>
      <c r="L81" s="1046">
        <v>28</v>
      </c>
      <c r="M81" s="1045">
        <v>100</v>
      </c>
      <c r="N81" s="1046">
        <v>25</v>
      </c>
      <c r="O81" s="1045">
        <v>100</v>
      </c>
      <c r="P81" s="1046">
        <v>25</v>
      </c>
      <c r="Q81" s="581">
        <f>SUM(K81+M81+O81)</f>
        <v>313</v>
      </c>
      <c r="R81" s="483">
        <f>SUM(L81+N81+P81)</f>
        <v>78</v>
      </c>
      <c r="S81" s="900">
        <f>IF(Q81&lt;&gt;0,R81/I81,"")</f>
        <v>78</v>
      </c>
      <c r="T81" s="211">
        <f>IF(Q81&lt;&gt;0,Q81/R81,"")</f>
        <v>4.012820512820513</v>
      </c>
      <c r="U81" s="34"/>
      <c r="V81" s="883"/>
      <c r="W81" s="318">
        <f>Y81-Q81</f>
        <v>400</v>
      </c>
      <c r="X81" s="245">
        <f>Z81-R81</f>
        <v>100</v>
      </c>
      <c r="Y81" s="1106">
        <v>713</v>
      </c>
      <c r="Z81" s="1107">
        <v>178</v>
      </c>
      <c r="AA81" s="970">
        <f>R81*1/Z81</f>
        <v>0.43820224719101125</v>
      </c>
      <c r="AB81" s="970">
        <f>X81*1/Z81</f>
        <v>0.5617977528089888</v>
      </c>
      <c r="AC81" s="94">
        <f>Z81/I81</f>
        <v>178</v>
      </c>
      <c r="AD81" s="212">
        <f>Y81/Z81</f>
        <v>4.00561797752809</v>
      </c>
      <c r="AE81" s="96"/>
      <c r="AF81" s="1097"/>
      <c r="AG81" s="12">
        <f>1066061.5+1061275+813239.75+606216+468367.5+266511+137274.5+89937.5+9478+4671.5+2215.5+593.5+2273.5+2234+1858+10514.5+2603+2122+2001+349+713</f>
        <v>4550509.25</v>
      </c>
      <c r="AH81" s="13">
        <f>110278+106719+82858+62672+50883+32012+17904+13463+1427+637+352+91+261+268+240+2410+402+325+272+26+178</f>
        <v>483678</v>
      </c>
      <c r="AI81" s="1098">
        <f>AG81/AH81</f>
        <v>9.408137748667501</v>
      </c>
      <c r="AJ81" s="655">
        <v>71</v>
      </c>
    </row>
    <row r="82" spans="1:36" s="90" customFormat="1" ht="9.75" customHeight="1">
      <c r="A82" s="338">
        <v>72</v>
      </c>
      <c r="B82" s="677"/>
      <c r="C82" s="880"/>
      <c r="D82" s="1041"/>
      <c r="E82" s="400" t="s">
        <v>223</v>
      </c>
      <c r="F82" s="399">
        <v>40697</v>
      </c>
      <c r="G82" s="881" t="s">
        <v>62</v>
      </c>
      <c r="H82" s="213">
        <v>15</v>
      </c>
      <c r="I82" s="856">
        <v>1</v>
      </c>
      <c r="J82" s="856">
        <v>17</v>
      </c>
      <c r="K82" s="1049">
        <v>16</v>
      </c>
      <c r="L82" s="249">
        <v>2</v>
      </c>
      <c r="M82" s="1049">
        <v>115</v>
      </c>
      <c r="N82" s="249">
        <v>16</v>
      </c>
      <c r="O82" s="1049">
        <v>57</v>
      </c>
      <c r="P82" s="249">
        <v>8</v>
      </c>
      <c r="Q82" s="581">
        <f>SUM(K82+M82+O82)</f>
        <v>188</v>
      </c>
      <c r="R82" s="483">
        <f>SUM(L82+N82+P82)</f>
        <v>26</v>
      </c>
      <c r="S82" s="280">
        <f>IF(Q82&lt;&gt;0,R82/I82,"")</f>
        <v>26</v>
      </c>
      <c r="T82" s="211">
        <f>IF(Q82&lt;&gt;0,Q82/R82,"")</f>
        <v>7.230769230769231</v>
      </c>
      <c r="U82" s="34">
        <v>496.5</v>
      </c>
      <c r="V82" s="883">
        <f>IF(U82&lt;&gt;0,-(U82-Q82)/U82,"")</f>
        <v>-0.62134944612286</v>
      </c>
      <c r="W82" s="318">
        <f>Y82-Q82</f>
        <v>306</v>
      </c>
      <c r="X82" s="245">
        <f>Z82-R82</f>
        <v>41</v>
      </c>
      <c r="Y82" s="1118">
        <v>494</v>
      </c>
      <c r="Z82" s="1117">
        <v>67</v>
      </c>
      <c r="AA82" s="970">
        <f>R82*1/Z82</f>
        <v>0.3880597014925373</v>
      </c>
      <c r="AB82" s="970">
        <f>X82*1/Z82</f>
        <v>0.6119402985074627</v>
      </c>
      <c r="AC82" s="94">
        <f>Z82/I82</f>
        <v>67</v>
      </c>
      <c r="AD82" s="212">
        <f>Y82/Z82</f>
        <v>7.373134328358209</v>
      </c>
      <c r="AE82" s="96">
        <v>959</v>
      </c>
      <c r="AF82" s="1097">
        <f>IF(AE82&lt;&gt;0,-(AE82-Y82)/AE82,"")</f>
        <v>-0.4848800834202294</v>
      </c>
      <c r="AG82" s="1049">
        <v>218024.5</v>
      </c>
      <c r="AH82" s="249">
        <v>28429</v>
      </c>
      <c r="AI82" s="276">
        <f>+AG82/AH82</f>
        <v>7.669087903197439</v>
      </c>
      <c r="AJ82" s="655">
        <v>72</v>
      </c>
    </row>
    <row r="83" spans="1:36" s="90" customFormat="1" ht="9.75" customHeight="1">
      <c r="A83" s="338">
        <v>73</v>
      </c>
      <c r="B83" s="890"/>
      <c r="C83" s="887" t="s">
        <v>444</v>
      </c>
      <c r="D83" s="1041"/>
      <c r="E83" s="20" t="s">
        <v>410</v>
      </c>
      <c r="F83" s="113">
        <v>40669</v>
      </c>
      <c r="G83" s="588" t="s">
        <v>8</v>
      </c>
      <c r="H83" s="5">
        <v>51</v>
      </c>
      <c r="I83" s="6">
        <v>2</v>
      </c>
      <c r="J83" s="6">
        <v>20</v>
      </c>
      <c r="K83" s="7">
        <v>322</v>
      </c>
      <c r="L83" s="8">
        <v>66</v>
      </c>
      <c r="M83" s="7">
        <v>17</v>
      </c>
      <c r="N83" s="8">
        <v>4</v>
      </c>
      <c r="O83" s="7">
        <v>69</v>
      </c>
      <c r="P83" s="8">
        <v>15</v>
      </c>
      <c r="Q83" s="581">
        <f>SUM(K83+M83+O83)</f>
        <v>408</v>
      </c>
      <c r="R83" s="483">
        <f>SUM(L83+N83+P83)</f>
        <v>85</v>
      </c>
      <c r="S83" s="280">
        <f>IF(Q83&lt;&gt;0,R83/I83,"")</f>
        <v>42.5</v>
      </c>
      <c r="T83" s="211">
        <f>IF(Q83&lt;&gt;0,Q83/R83,"")</f>
        <v>4.8</v>
      </c>
      <c r="U83" s="557">
        <v>99</v>
      </c>
      <c r="V83" s="883">
        <f>IF(U83&lt;&gt;0,-(U83-Q83)/U83,"")</f>
        <v>3.121212121212121</v>
      </c>
      <c r="W83" s="318">
        <f>Y83-Q83</f>
        <v>44</v>
      </c>
      <c r="X83" s="245">
        <f>Z83-R83</f>
        <v>10</v>
      </c>
      <c r="Y83" s="1119">
        <v>452</v>
      </c>
      <c r="Z83" s="1120">
        <v>95</v>
      </c>
      <c r="AA83" s="970">
        <f>R83*1/Z83</f>
        <v>0.8947368421052632</v>
      </c>
      <c r="AB83" s="970">
        <f>X83*1/Z83</f>
        <v>0.10526315789473684</v>
      </c>
      <c r="AC83" s="94">
        <f>Z83/I83</f>
        <v>47.5</v>
      </c>
      <c r="AD83" s="212">
        <f>Y83/Z83</f>
        <v>4.757894736842105</v>
      </c>
      <c r="AE83" s="96">
        <v>147</v>
      </c>
      <c r="AF83" s="1097">
        <f>IF(AE83&lt;&gt;0,-(AE83-Y83)/AE83,"")</f>
        <v>2.074829931972789</v>
      </c>
      <c r="AG83" s="7">
        <v>475963</v>
      </c>
      <c r="AH83" s="8">
        <v>48784</v>
      </c>
      <c r="AI83" s="276">
        <f>+AG83/AH83</f>
        <v>9.756539029189899</v>
      </c>
      <c r="AJ83" s="655">
        <v>73</v>
      </c>
    </row>
    <row r="84" spans="1:36" s="90" customFormat="1" ht="9.75" customHeight="1">
      <c r="A84" s="338">
        <v>74</v>
      </c>
      <c r="B84" s="677"/>
      <c r="C84" s="880"/>
      <c r="D84" s="1041"/>
      <c r="E84" s="588" t="s">
        <v>375</v>
      </c>
      <c r="F84" s="567">
        <v>40739</v>
      </c>
      <c r="G84" s="588" t="s">
        <v>62</v>
      </c>
      <c r="H84" s="119">
        <v>15</v>
      </c>
      <c r="I84" s="856">
        <v>2</v>
      </c>
      <c r="J84" s="856">
        <v>11</v>
      </c>
      <c r="K84" s="1049">
        <v>187</v>
      </c>
      <c r="L84" s="249">
        <v>25</v>
      </c>
      <c r="M84" s="1049">
        <v>80</v>
      </c>
      <c r="N84" s="249">
        <v>10</v>
      </c>
      <c r="O84" s="1049">
        <v>94</v>
      </c>
      <c r="P84" s="249">
        <v>12</v>
      </c>
      <c r="Q84" s="593">
        <f>SUM(K84+M84+O84)</f>
        <v>361</v>
      </c>
      <c r="R84" s="592">
        <f>SUM(L84+N84+P84)</f>
        <v>47</v>
      </c>
      <c r="S84" s="592">
        <f>R84/I84</f>
        <v>23.5</v>
      </c>
      <c r="T84" s="211">
        <f>+Q84/R84</f>
        <v>7.680851063829787</v>
      </c>
      <c r="U84" s="557">
        <v>481</v>
      </c>
      <c r="V84" s="883">
        <f>IF(U84&lt;&gt;0,-(U84-Q84)/U84,"")</f>
        <v>-0.2494802494802495</v>
      </c>
      <c r="W84" s="318">
        <f>Y84-Q84</f>
        <v>70</v>
      </c>
      <c r="X84" s="245">
        <f>Z84-R84</f>
        <v>10</v>
      </c>
      <c r="Y84" s="1118">
        <v>431</v>
      </c>
      <c r="Z84" s="1117">
        <v>57</v>
      </c>
      <c r="AA84" s="970">
        <f>R84*1/Z84</f>
        <v>0.8245614035087719</v>
      </c>
      <c r="AB84" s="970">
        <f>X84*1/Z84</f>
        <v>0.17543859649122806</v>
      </c>
      <c r="AC84" s="94">
        <f>Z84/I84</f>
        <v>28.5</v>
      </c>
      <c r="AD84" s="212">
        <f>Y84/Z84</f>
        <v>7.56140350877193</v>
      </c>
      <c r="AE84" s="96">
        <v>777</v>
      </c>
      <c r="AF84" s="1097">
        <f>IF(AE84&lt;&gt;0,-(AE84-Y84)/AE84,"")</f>
        <v>-0.4453024453024453</v>
      </c>
      <c r="AG84" s="1049">
        <v>115939.5</v>
      </c>
      <c r="AH84" s="249">
        <v>12785</v>
      </c>
      <c r="AI84" s="276">
        <f>+AG84/AH84</f>
        <v>9.068400469299961</v>
      </c>
      <c r="AJ84" s="655">
        <v>74</v>
      </c>
    </row>
    <row r="85" spans="1:36" s="90" customFormat="1" ht="9.75" customHeight="1">
      <c r="A85" s="338">
        <v>75</v>
      </c>
      <c r="B85" s="890"/>
      <c r="C85" s="880"/>
      <c r="D85" s="1044" t="s">
        <v>446</v>
      </c>
      <c r="E85" s="178" t="s">
        <v>447</v>
      </c>
      <c r="F85" s="32">
        <v>40795</v>
      </c>
      <c r="G85" s="588" t="s">
        <v>31</v>
      </c>
      <c r="H85" s="181">
        <v>3</v>
      </c>
      <c r="I85" s="199">
        <v>2</v>
      </c>
      <c r="J85" s="199">
        <v>3</v>
      </c>
      <c r="K85" s="1050">
        <v>83</v>
      </c>
      <c r="L85" s="1051">
        <v>10</v>
      </c>
      <c r="M85" s="1050">
        <v>91.5</v>
      </c>
      <c r="N85" s="1051">
        <v>11</v>
      </c>
      <c r="O85" s="1050">
        <v>41.5</v>
      </c>
      <c r="P85" s="1051">
        <v>5</v>
      </c>
      <c r="Q85" s="581">
        <f>SUM(K85+M85+O85)</f>
        <v>216</v>
      </c>
      <c r="R85" s="483">
        <f>SUM(L85+N85+P85)</f>
        <v>26</v>
      </c>
      <c r="S85" s="280">
        <f>IF(Q85&lt;&gt;0,R85/I85,"")</f>
        <v>13</v>
      </c>
      <c r="T85" s="211">
        <f>IF(Q85&lt;&gt;0,Q85/R85,"")</f>
        <v>8.307692307692308</v>
      </c>
      <c r="U85" s="34">
        <v>1314</v>
      </c>
      <c r="V85" s="883">
        <f>IF(U85&lt;&gt;0,-(U85-Q85)/U85,"")</f>
        <v>-0.8356164383561644</v>
      </c>
      <c r="W85" s="318">
        <f>Y85-Q85</f>
        <v>182</v>
      </c>
      <c r="X85" s="245">
        <f>Z85-R85</f>
        <v>26</v>
      </c>
      <c r="Y85" s="1121">
        <v>398</v>
      </c>
      <c r="Z85" s="1122">
        <v>52</v>
      </c>
      <c r="AA85" s="970">
        <f>R85*1/Z85</f>
        <v>0.5</v>
      </c>
      <c r="AB85" s="970">
        <f>X85*1/Z85</f>
        <v>0.5</v>
      </c>
      <c r="AC85" s="94">
        <f>Z85/I85</f>
        <v>26</v>
      </c>
      <c r="AD85" s="212">
        <f>Y85/Z85</f>
        <v>7.653846153846154</v>
      </c>
      <c r="AE85" s="96">
        <v>2511</v>
      </c>
      <c r="AF85" s="1097">
        <f>IF(AE85&lt;&gt;0,-(AE85-Y85)/AE85,"")</f>
        <v>-0.8414974113898845</v>
      </c>
      <c r="AG85" s="43">
        <f>4125+2511+398</f>
        <v>7034</v>
      </c>
      <c r="AH85" s="9">
        <f>422+287+52</f>
        <v>761</v>
      </c>
      <c r="AI85" s="1098">
        <f>AG85/AH85</f>
        <v>9.243101182654403</v>
      </c>
      <c r="AJ85" s="655">
        <v>75</v>
      </c>
    </row>
    <row r="86" spans="1:36" s="90" customFormat="1" ht="9.75" customHeight="1">
      <c r="A86" s="338">
        <v>76</v>
      </c>
      <c r="B86" s="890"/>
      <c r="C86" s="880"/>
      <c r="D86" s="1041"/>
      <c r="E86" s="20" t="s">
        <v>469</v>
      </c>
      <c r="F86" s="113">
        <v>40732</v>
      </c>
      <c r="G86" s="588" t="s">
        <v>8</v>
      </c>
      <c r="H86" s="5">
        <v>1</v>
      </c>
      <c r="I86" s="6">
        <v>1</v>
      </c>
      <c r="J86" s="6">
        <v>5</v>
      </c>
      <c r="K86" s="7">
        <v>0</v>
      </c>
      <c r="L86" s="8">
        <v>0</v>
      </c>
      <c r="M86" s="7">
        <v>0</v>
      </c>
      <c r="N86" s="8">
        <v>0</v>
      </c>
      <c r="O86" s="7">
        <v>0</v>
      </c>
      <c r="P86" s="8">
        <v>0</v>
      </c>
      <c r="Q86" s="581">
        <f>SUM(K86+M86+O86)</f>
        <v>0</v>
      </c>
      <c r="R86" s="483">
        <f>SUM(L86+N86+P86)</f>
        <v>0</v>
      </c>
      <c r="S86" s="280">
        <f>IF(Q86&lt;&gt;0,R86/I86,"")</f>
      </c>
      <c r="T86" s="211">
        <f>IF(Q86&lt;&gt;0,Q86/R86,"")</f>
      </c>
      <c r="U86" s="557"/>
      <c r="V86" s="883"/>
      <c r="W86" s="318">
        <f>Y86-Q86</f>
        <v>390</v>
      </c>
      <c r="X86" s="245">
        <f>Z86-R86</f>
        <v>53</v>
      </c>
      <c r="Y86" s="1119">
        <v>390</v>
      </c>
      <c r="Z86" s="1120">
        <v>53</v>
      </c>
      <c r="AA86" s="970">
        <f>R86*1/Z86</f>
        <v>0</v>
      </c>
      <c r="AB86" s="970">
        <f>X86*1/Z86</f>
        <v>1</v>
      </c>
      <c r="AC86" s="94">
        <f>Z86/I86</f>
        <v>53</v>
      </c>
      <c r="AD86" s="212">
        <f>Y86/Z86</f>
        <v>7.3584905660377355</v>
      </c>
      <c r="AE86" s="96"/>
      <c r="AF86" s="1097"/>
      <c r="AG86" s="7">
        <v>26855</v>
      </c>
      <c r="AH86" s="8">
        <v>2368</v>
      </c>
      <c r="AI86" s="1098">
        <f>AG86/AH86</f>
        <v>11.34079391891892</v>
      </c>
      <c r="AJ86" s="655">
        <v>76</v>
      </c>
    </row>
    <row r="87" spans="1:36" s="90" customFormat="1" ht="9.75" customHeight="1">
      <c r="A87" s="338">
        <v>77</v>
      </c>
      <c r="B87" s="802"/>
      <c r="C87" s="880"/>
      <c r="D87" s="880"/>
      <c r="E87" s="20" t="s">
        <v>68</v>
      </c>
      <c r="F87" s="2">
        <v>40682</v>
      </c>
      <c r="G87" s="588" t="s">
        <v>21</v>
      </c>
      <c r="H87" s="5">
        <v>45</v>
      </c>
      <c r="I87" s="4">
        <v>1</v>
      </c>
      <c r="J87" s="4">
        <v>15</v>
      </c>
      <c r="K87" s="7">
        <v>84</v>
      </c>
      <c r="L87" s="8">
        <v>14</v>
      </c>
      <c r="M87" s="7">
        <v>121</v>
      </c>
      <c r="N87" s="8">
        <v>20</v>
      </c>
      <c r="O87" s="7">
        <v>61</v>
      </c>
      <c r="P87" s="8">
        <v>10</v>
      </c>
      <c r="Q87" s="581">
        <f>+K87+M87+O87</f>
        <v>266</v>
      </c>
      <c r="R87" s="483">
        <f>+L87+N87+P87</f>
        <v>44</v>
      </c>
      <c r="S87" s="280">
        <f>IF(Q87&lt;&gt;0,R87/I87,"")</f>
        <v>44</v>
      </c>
      <c r="T87" s="211">
        <f>IF(Q87&lt;&gt;0,Q87/R87,"")</f>
        <v>6.045454545454546</v>
      </c>
      <c r="U87" s="34"/>
      <c r="V87" s="883">
        <f>IF(U87&lt;&gt;0,-(U87-Q87)/U87,"")</f>
      </c>
      <c r="W87" s="318">
        <f>Y87-Q87</f>
        <v>48</v>
      </c>
      <c r="X87" s="245">
        <f>Z87-R87</f>
        <v>8</v>
      </c>
      <c r="Y87" s="1123">
        <v>314</v>
      </c>
      <c r="Z87" s="1124">
        <v>52</v>
      </c>
      <c r="AA87" s="970">
        <f>R87*1/Z87</f>
        <v>0.8461538461538461</v>
      </c>
      <c r="AB87" s="970">
        <f>X87*1/Z87</f>
        <v>0.15384615384615385</v>
      </c>
      <c r="AC87" s="94">
        <f>Z87/I87</f>
        <v>52</v>
      </c>
      <c r="AD87" s="212">
        <f>Y87/Z87</f>
        <v>6.038461538461538</v>
      </c>
      <c r="AE87" s="96"/>
      <c r="AF87" s="1097"/>
      <c r="AG87" s="45">
        <f>13185+73231+37777+23268.5+18693.5+7384+9469.5+1890+288+1214+2255+1460+319+820+582+314</f>
        <v>192150.5</v>
      </c>
      <c r="AH87" s="40">
        <f>1138+8298+4612+3436+2782+1275+1363+239+41+242+308+191+51+120+81+52</f>
        <v>24229</v>
      </c>
      <c r="AI87" s="276">
        <f>+AG87/AH87</f>
        <v>7.9305996945808745</v>
      </c>
      <c r="AJ87" s="655">
        <v>77</v>
      </c>
    </row>
    <row r="88" spans="1:36" s="90" customFormat="1" ht="9.75" customHeight="1">
      <c r="A88" s="338">
        <v>78</v>
      </c>
      <c r="B88" s="907"/>
      <c r="C88" s="880"/>
      <c r="D88" s="880"/>
      <c r="E88" s="30" t="s">
        <v>291</v>
      </c>
      <c r="F88" s="32">
        <v>39738</v>
      </c>
      <c r="G88" s="588" t="s">
        <v>31</v>
      </c>
      <c r="H88" s="33">
        <v>67</v>
      </c>
      <c r="I88" s="208">
        <v>1</v>
      </c>
      <c r="J88" s="208">
        <v>46</v>
      </c>
      <c r="K88" s="1050">
        <v>0</v>
      </c>
      <c r="L88" s="1051">
        <v>0</v>
      </c>
      <c r="M88" s="1050">
        <v>0</v>
      </c>
      <c r="N88" s="1051">
        <v>0</v>
      </c>
      <c r="O88" s="1050">
        <v>0</v>
      </c>
      <c r="P88" s="1051">
        <v>0</v>
      </c>
      <c r="Q88" s="581">
        <f>SUM(K88+M88+O88)</f>
        <v>0</v>
      </c>
      <c r="R88" s="483">
        <f>SUM(L88+N88+P88)</f>
        <v>0</v>
      </c>
      <c r="S88" s="900">
        <f>IF(Q88&lt;&gt;0,R88/I88,"")</f>
      </c>
      <c r="T88" s="211">
        <f>IF(Q88&lt;&gt;0,Q88/R88,"")</f>
      </c>
      <c r="U88" s="34"/>
      <c r="V88" s="883"/>
      <c r="W88" s="318">
        <f>Y88-Q88</f>
        <v>286</v>
      </c>
      <c r="X88" s="245">
        <f>Z88-R88</f>
        <v>42</v>
      </c>
      <c r="Y88" s="1121">
        <v>286</v>
      </c>
      <c r="Z88" s="1122">
        <v>42</v>
      </c>
      <c r="AA88" s="970">
        <f>R88*1/Z88</f>
        <v>0</v>
      </c>
      <c r="AB88" s="970">
        <f>X88*1/Z88</f>
        <v>1</v>
      </c>
      <c r="AC88" s="94">
        <f>Z88/I88</f>
        <v>42</v>
      </c>
      <c r="AD88" s="212">
        <f>Y88/Z88</f>
        <v>6.809523809523809</v>
      </c>
      <c r="AE88" s="96"/>
      <c r="AF88" s="1097"/>
      <c r="AG88" s="43">
        <f>575413.5+2968+2376+2737+2376+2376+4752+2376+952+1780+226+286</f>
        <v>598618.5</v>
      </c>
      <c r="AH88" s="9">
        <f>83313+742+594+635+594+594+1188+594+238+445+36+42</f>
        <v>89015</v>
      </c>
      <c r="AI88" s="1098">
        <f>AG88/AH88</f>
        <v>6.7249171487951465</v>
      </c>
      <c r="AJ88" s="655">
        <v>78</v>
      </c>
    </row>
    <row r="89" spans="1:36" s="90" customFormat="1" ht="9.75" customHeight="1">
      <c r="A89" s="338">
        <v>79</v>
      </c>
      <c r="B89" s="890"/>
      <c r="C89" s="880"/>
      <c r="D89" s="1041"/>
      <c r="E89" s="1055" t="s">
        <v>208</v>
      </c>
      <c r="F89" s="1082">
        <v>40557</v>
      </c>
      <c r="G89" s="588" t="s">
        <v>138</v>
      </c>
      <c r="H89" s="618">
        <v>12</v>
      </c>
      <c r="I89" s="903">
        <v>1</v>
      </c>
      <c r="J89" s="903">
        <v>9</v>
      </c>
      <c r="K89" s="593">
        <v>0</v>
      </c>
      <c r="L89" s="592">
        <v>0</v>
      </c>
      <c r="M89" s="593">
        <v>0</v>
      </c>
      <c r="N89" s="592">
        <v>0</v>
      </c>
      <c r="O89" s="593">
        <v>0</v>
      </c>
      <c r="P89" s="592">
        <v>0</v>
      </c>
      <c r="Q89" s="596">
        <f>SUM(K89+M89+O89)</f>
        <v>0</v>
      </c>
      <c r="R89" s="595">
        <f>SUM(L89+N89+P89)</f>
        <v>0</v>
      </c>
      <c r="S89" s="595"/>
      <c r="T89" s="211"/>
      <c r="U89" s="34"/>
      <c r="V89" s="883"/>
      <c r="W89" s="318">
        <f>Y89-Q89</f>
        <v>198</v>
      </c>
      <c r="X89" s="245">
        <f>Z89-R89</f>
        <v>33</v>
      </c>
      <c r="Y89" s="1125">
        <v>198</v>
      </c>
      <c r="Z89" s="1126">
        <v>33</v>
      </c>
      <c r="AA89" s="970">
        <f>R89*1/Z89</f>
        <v>0</v>
      </c>
      <c r="AB89" s="970">
        <f>X89*1/Z89</f>
        <v>1</v>
      </c>
      <c r="AC89" s="94">
        <f>Z89/I89</f>
        <v>33</v>
      </c>
      <c r="AD89" s="212">
        <f>Y89/Z89</f>
        <v>6</v>
      </c>
      <c r="AE89" s="96"/>
      <c r="AF89" s="1097"/>
      <c r="AG89" s="1100">
        <v>20551</v>
      </c>
      <c r="AH89" s="1101">
        <v>2866</v>
      </c>
      <c r="AI89" s="276">
        <f>+AG89/AH89</f>
        <v>7.170621074668528</v>
      </c>
      <c r="AJ89" s="655">
        <v>79</v>
      </c>
    </row>
    <row r="90" spans="1:36" s="90" customFormat="1" ht="9.75" customHeight="1">
      <c r="A90" s="338">
        <v>80</v>
      </c>
      <c r="B90" s="907"/>
      <c r="C90" s="880"/>
      <c r="D90" s="880"/>
      <c r="E90" s="1078" t="s">
        <v>433</v>
      </c>
      <c r="F90" s="185">
        <v>40753</v>
      </c>
      <c r="G90" s="588" t="s">
        <v>31</v>
      </c>
      <c r="H90" s="186">
        <v>1</v>
      </c>
      <c r="I90" s="186">
        <v>1</v>
      </c>
      <c r="J90" s="186">
        <v>7</v>
      </c>
      <c r="K90" s="1045">
        <v>0</v>
      </c>
      <c r="L90" s="1046">
        <v>0</v>
      </c>
      <c r="M90" s="1045">
        <v>0</v>
      </c>
      <c r="N90" s="1046">
        <v>0</v>
      </c>
      <c r="O90" s="1045">
        <v>0</v>
      </c>
      <c r="P90" s="1046">
        <v>0</v>
      </c>
      <c r="Q90" s="581">
        <f>+K90+M90+O90</f>
        <v>0</v>
      </c>
      <c r="R90" s="483">
        <f>+L90+N90+P90</f>
        <v>0</v>
      </c>
      <c r="S90" s="280">
        <f>IF(Q90&lt;&gt;0,R90/I90,"")</f>
      </c>
      <c r="T90" s="211">
        <f>IF(Q90&lt;&gt;0,Q90/R90,"")</f>
      </c>
      <c r="U90" s="34"/>
      <c r="V90" s="883"/>
      <c r="W90" s="318">
        <f>Y90-Q90</f>
        <v>188</v>
      </c>
      <c r="X90" s="245">
        <f>Z90-R90</f>
        <v>26</v>
      </c>
      <c r="Y90" s="1121">
        <v>188</v>
      </c>
      <c r="Z90" s="1122">
        <v>26</v>
      </c>
      <c r="AA90" s="970">
        <f>R90*1/Z90</f>
        <v>0</v>
      </c>
      <c r="AB90" s="970">
        <f>X90*1/Z90</f>
        <v>1</v>
      </c>
      <c r="AC90" s="94">
        <f>Z90/I90</f>
        <v>26</v>
      </c>
      <c r="AD90" s="212">
        <f>Y90/Z90</f>
        <v>7.230769230769231</v>
      </c>
      <c r="AE90" s="96"/>
      <c r="AF90" s="1097"/>
      <c r="AG90" s="43">
        <f>8466+542+128+932+1064+258+188</f>
        <v>11578</v>
      </c>
      <c r="AH90" s="9">
        <f>472+64+13+122+133+38+26</f>
        <v>868</v>
      </c>
      <c r="AI90" s="276">
        <f>+AG90/AH90</f>
        <v>13.338709677419354</v>
      </c>
      <c r="AJ90" s="655">
        <v>80</v>
      </c>
    </row>
    <row r="91" spans="1:36" s="90" customFormat="1" ht="9.75" customHeight="1">
      <c r="A91" s="338">
        <v>81</v>
      </c>
      <c r="B91" s="890"/>
      <c r="C91" s="880"/>
      <c r="D91" s="891"/>
      <c r="E91" s="899" t="s">
        <v>247</v>
      </c>
      <c r="F91" s="399">
        <v>40718</v>
      </c>
      <c r="G91" s="588" t="s">
        <v>138</v>
      </c>
      <c r="H91" s="618">
        <v>4</v>
      </c>
      <c r="I91" s="618">
        <v>2</v>
      </c>
      <c r="J91" s="618">
        <v>14</v>
      </c>
      <c r="K91" s="557">
        <v>0</v>
      </c>
      <c r="L91" s="449">
        <v>0</v>
      </c>
      <c r="M91" s="557">
        <v>0</v>
      </c>
      <c r="N91" s="449">
        <v>0</v>
      </c>
      <c r="O91" s="557">
        <v>0</v>
      </c>
      <c r="P91" s="449">
        <v>0</v>
      </c>
      <c r="Q91" s="596">
        <f>SUM(K91+M91+O91)</f>
        <v>0</v>
      </c>
      <c r="R91" s="595">
        <f>SUM(L91+N91+P91)</f>
        <v>0</v>
      </c>
      <c r="S91" s="592"/>
      <c r="T91" s="211"/>
      <c r="U91" s="34"/>
      <c r="V91" s="883"/>
      <c r="W91" s="318">
        <f>Y91-Q91</f>
        <v>182</v>
      </c>
      <c r="X91" s="245">
        <f>Z91-R91</f>
        <v>32</v>
      </c>
      <c r="Y91" s="1127">
        <v>182</v>
      </c>
      <c r="Z91" s="1128">
        <v>32</v>
      </c>
      <c r="AA91" s="970">
        <f>R91*1/Z91</f>
        <v>0</v>
      </c>
      <c r="AB91" s="970">
        <f>X91*1/Z91</f>
        <v>1</v>
      </c>
      <c r="AC91" s="94">
        <f>Z91/I91</f>
        <v>16</v>
      </c>
      <c r="AD91" s="212">
        <f>Y91/Z91</f>
        <v>5.6875</v>
      </c>
      <c r="AE91" s="96"/>
      <c r="AF91" s="1097"/>
      <c r="AG91" s="375">
        <v>44572</v>
      </c>
      <c r="AH91" s="376">
        <v>4163</v>
      </c>
      <c r="AI91" s="276">
        <f>+AG91/AH91</f>
        <v>10.70670189766995</v>
      </c>
      <c r="AJ91" s="655">
        <v>81</v>
      </c>
    </row>
    <row r="92" spans="1:36" s="90" customFormat="1" ht="9.75" customHeight="1">
      <c r="A92" s="338">
        <v>82</v>
      </c>
      <c r="B92" s="677"/>
      <c r="C92" s="880"/>
      <c r="D92" s="1041"/>
      <c r="E92" s="20" t="s">
        <v>448</v>
      </c>
      <c r="F92" s="2">
        <v>40704</v>
      </c>
      <c r="G92" s="588" t="s">
        <v>28</v>
      </c>
      <c r="H92" s="5">
        <v>25</v>
      </c>
      <c r="I92" s="240">
        <v>2</v>
      </c>
      <c r="J92" s="240">
        <v>16</v>
      </c>
      <c r="K92" s="1042">
        <v>0</v>
      </c>
      <c r="L92" s="1043">
        <v>0</v>
      </c>
      <c r="M92" s="1042">
        <v>56</v>
      </c>
      <c r="N92" s="1043">
        <v>8</v>
      </c>
      <c r="O92" s="1042">
        <v>42</v>
      </c>
      <c r="P92" s="1043">
        <v>6</v>
      </c>
      <c r="Q92" s="581">
        <f>+K92+M92+O92</f>
        <v>98</v>
      </c>
      <c r="R92" s="483">
        <f>+L92+N92+P92</f>
        <v>14</v>
      </c>
      <c r="S92" s="280">
        <f>IF(Q92&lt;&gt;0,R92/I92,"")</f>
        <v>7</v>
      </c>
      <c r="T92" s="211">
        <f>IF(Q92&lt;&gt;0,Q92/R92,"")</f>
        <v>7</v>
      </c>
      <c r="U92" s="34">
        <v>112</v>
      </c>
      <c r="V92" s="883">
        <f>IF(U92&lt;&gt;0,-(U92-Q92)/U92,"")</f>
        <v>-0.125</v>
      </c>
      <c r="W92" s="318">
        <f>Y92-Q92</f>
        <v>54</v>
      </c>
      <c r="X92" s="245">
        <f>Z92-R92</f>
        <v>8</v>
      </c>
      <c r="Y92" s="1108">
        <v>152</v>
      </c>
      <c r="Z92" s="1109">
        <v>22</v>
      </c>
      <c r="AA92" s="970">
        <f>R92*1/Z92</f>
        <v>0.6363636363636364</v>
      </c>
      <c r="AB92" s="970">
        <f>X92*1/Z92</f>
        <v>0.36363636363636365</v>
      </c>
      <c r="AC92" s="94">
        <f>Z92/I92</f>
        <v>11</v>
      </c>
      <c r="AD92" s="212">
        <f>Y92/Z92</f>
        <v>6.909090909090909</v>
      </c>
      <c r="AE92" s="96">
        <v>188</v>
      </c>
      <c r="AF92" s="1097">
        <f>IF(AE92&lt;&gt;0,-(AE92-Y92)/AE92,"")</f>
        <v>-0.19148936170212766</v>
      </c>
      <c r="AG92" s="654">
        <f>43219+22056.5+14006+11048+8484+3910+2043+1766+1438.5+2339+1978+2019+1227+324+188+152</f>
        <v>116198</v>
      </c>
      <c r="AH92" s="216">
        <f>5354+2999+1948+1502+1234+633+338+284+205+242+255+266+163+48+28+22</f>
        <v>15521</v>
      </c>
      <c r="AI92" s="276">
        <f>+AG92/AH92</f>
        <v>7.4865021583660845</v>
      </c>
      <c r="AJ92" s="655">
        <v>82</v>
      </c>
    </row>
    <row r="93" spans="1:36" s="90" customFormat="1" ht="9.75" customHeight="1">
      <c r="A93" s="338">
        <v>83</v>
      </c>
      <c r="B93" s="1075"/>
      <c r="C93" s="1064"/>
      <c r="D93" s="1065"/>
      <c r="E93" s="1066"/>
      <c r="F93" s="1067"/>
      <c r="G93" s="759"/>
      <c r="H93" s="761"/>
      <c r="I93" s="1068"/>
      <c r="J93" s="1068"/>
      <c r="K93" s="919"/>
      <c r="L93" s="920"/>
      <c r="M93" s="919"/>
      <c r="N93" s="920"/>
      <c r="O93" s="919"/>
      <c r="P93" s="920"/>
      <c r="Q93" s="764"/>
      <c r="R93" s="765"/>
      <c r="S93" s="766"/>
      <c r="T93" s="767"/>
      <c r="U93" s="919"/>
      <c r="V93" s="769"/>
      <c r="W93" s="770"/>
      <c r="X93" s="771"/>
      <c r="Y93" s="1069"/>
      <c r="Z93" s="1070"/>
      <c r="AA93" s="971"/>
      <c r="AB93" s="971"/>
      <c r="AC93" s="766"/>
      <c r="AD93" s="767"/>
      <c r="AE93" s="770"/>
      <c r="AF93" s="1071"/>
      <c r="AG93" s="1072"/>
      <c r="AH93" s="1073"/>
      <c r="AI93" s="1074"/>
      <c r="AJ93" s="655">
        <v>83</v>
      </c>
    </row>
    <row r="94" spans="1:36" s="90" customFormat="1" ht="9.75" customHeight="1">
      <c r="A94" s="338">
        <v>84</v>
      </c>
      <c r="B94" s="677"/>
      <c r="C94" s="880"/>
      <c r="D94" s="906"/>
      <c r="E94" s="178"/>
      <c r="F94" s="671"/>
      <c r="G94" s="588"/>
      <c r="H94" s="882"/>
      <c r="I94" s="882"/>
      <c r="J94" s="882"/>
      <c r="K94" s="662"/>
      <c r="L94" s="663"/>
      <c r="M94" s="662"/>
      <c r="N94" s="663"/>
      <c r="O94" s="662"/>
      <c r="P94" s="663"/>
      <c r="Q94" s="581"/>
      <c r="R94" s="483"/>
      <c r="S94" s="280"/>
      <c r="T94" s="211"/>
      <c r="U94" s="34"/>
      <c r="V94" s="883"/>
      <c r="W94" s="318"/>
      <c r="X94" s="245"/>
      <c r="Y94" s="644"/>
      <c r="Z94" s="645"/>
      <c r="AA94" s="970"/>
      <c r="AB94" s="970"/>
      <c r="AC94" s="280"/>
      <c r="AD94" s="211"/>
      <c r="AE94" s="318"/>
      <c r="AF94" s="947"/>
      <c r="AG94" s="26"/>
      <c r="AH94" s="27"/>
      <c r="AI94" s="948"/>
      <c r="AJ94" s="655">
        <v>84</v>
      </c>
    </row>
    <row r="95" spans="1:36" s="90" customFormat="1" ht="9.75" customHeight="1">
      <c r="A95" s="338">
        <v>85</v>
      </c>
      <c r="B95" s="897"/>
      <c r="C95" s="904"/>
      <c r="D95" s="905"/>
      <c r="E95" s="178"/>
      <c r="F95" s="671"/>
      <c r="G95" s="588"/>
      <c r="H95" s="882"/>
      <c r="I95" s="902"/>
      <c r="J95" s="902"/>
      <c r="K95" s="659"/>
      <c r="L95" s="660"/>
      <c r="M95" s="659"/>
      <c r="N95" s="660"/>
      <c r="O95" s="659"/>
      <c r="P95" s="660"/>
      <c r="Q95" s="581"/>
      <c r="R95" s="483"/>
      <c r="S95" s="280"/>
      <c r="T95" s="211"/>
      <c r="U95" s="34"/>
      <c r="V95" s="883"/>
      <c r="W95" s="318"/>
      <c r="X95" s="245"/>
      <c r="Y95" s="961"/>
      <c r="Z95" s="962"/>
      <c r="AA95" s="970"/>
      <c r="AB95" s="970"/>
      <c r="AC95" s="280"/>
      <c r="AD95" s="211"/>
      <c r="AE95" s="318"/>
      <c r="AF95" s="947"/>
      <c r="AG95" s="391"/>
      <c r="AH95" s="392"/>
      <c r="AI95" s="948"/>
      <c r="AJ95" s="655">
        <v>85</v>
      </c>
    </row>
    <row r="96" spans="1:36" s="90" customFormat="1" ht="9.75" customHeight="1">
      <c r="A96" s="338">
        <v>86</v>
      </c>
      <c r="B96" s="1076"/>
      <c r="C96" s="912"/>
      <c r="D96" s="913"/>
      <c r="E96" s="30"/>
      <c r="F96" s="671"/>
      <c r="G96" s="588"/>
      <c r="H96" s="31"/>
      <c r="I96" s="540"/>
      <c r="J96" s="540"/>
      <c r="K96" s="659"/>
      <c r="L96" s="660"/>
      <c r="M96" s="659"/>
      <c r="N96" s="660"/>
      <c r="O96" s="659"/>
      <c r="P96" s="660"/>
      <c r="Q96" s="581"/>
      <c r="R96" s="483"/>
      <c r="S96" s="280"/>
      <c r="T96" s="211"/>
      <c r="U96" s="34"/>
      <c r="V96" s="883"/>
      <c r="W96" s="318"/>
      <c r="X96" s="245"/>
      <c r="Y96" s="961"/>
      <c r="Z96" s="962"/>
      <c r="AA96" s="970"/>
      <c r="AB96" s="970"/>
      <c r="AC96" s="280"/>
      <c r="AD96" s="211"/>
      <c r="AE96" s="318"/>
      <c r="AF96" s="884"/>
      <c r="AG96" s="391"/>
      <c r="AH96" s="392"/>
      <c r="AI96" s="885"/>
      <c r="AJ96" s="655">
        <v>86</v>
      </c>
    </row>
    <row r="97" spans="1:36" s="90" customFormat="1" ht="9.75" customHeight="1">
      <c r="A97" s="338">
        <v>87</v>
      </c>
      <c r="B97" s="677"/>
      <c r="C97" s="880"/>
      <c r="D97" s="906"/>
      <c r="E97" s="178"/>
      <c r="F97" s="671"/>
      <c r="G97" s="588"/>
      <c r="H97" s="882"/>
      <c r="I97" s="902"/>
      <c r="J97" s="902"/>
      <c r="K97" s="659"/>
      <c r="L97" s="660"/>
      <c r="M97" s="659"/>
      <c r="N97" s="660"/>
      <c r="O97" s="659"/>
      <c r="P97" s="660"/>
      <c r="Q97" s="581"/>
      <c r="R97" s="483"/>
      <c r="S97" s="280"/>
      <c r="T97" s="211"/>
      <c r="U97" s="34"/>
      <c r="V97" s="883"/>
      <c r="W97" s="318"/>
      <c r="X97" s="245"/>
      <c r="Y97" s="961"/>
      <c r="Z97" s="962"/>
      <c r="AA97" s="970"/>
      <c r="AB97" s="970"/>
      <c r="AC97" s="280"/>
      <c r="AD97" s="211"/>
      <c r="AE97" s="318"/>
      <c r="AF97" s="884"/>
      <c r="AG97" s="391"/>
      <c r="AH97" s="392"/>
      <c r="AI97" s="296"/>
      <c r="AJ97" s="655">
        <v>87</v>
      </c>
    </row>
    <row r="98" spans="1:36" s="90" customFormat="1" ht="9.75" customHeight="1">
      <c r="A98" s="338">
        <v>88</v>
      </c>
      <c r="B98" s="1076"/>
      <c r="C98" s="912"/>
      <c r="D98" s="913"/>
      <c r="E98" s="20"/>
      <c r="F98" s="720"/>
      <c r="G98" s="588"/>
      <c r="H98" s="24"/>
      <c r="I98" s="902"/>
      <c r="J98" s="902"/>
      <c r="K98" s="596"/>
      <c r="L98" s="595"/>
      <c r="M98" s="596"/>
      <c r="N98" s="595"/>
      <c r="O98" s="596"/>
      <c r="P98" s="595"/>
      <c r="Q98" s="581"/>
      <c r="R98" s="483"/>
      <c r="S98" s="280"/>
      <c r="T98" s="211"/>
      <c r="U98" s="34"/>
      <c r="V98" s="883"/>
      <c r="W98" s="318"/>
      <c r="X98" s="245"/>
      <c r="Y98" s="908"/>
      <c r="Z98" s="869"/>
      <c r="AA98" s="970"/>
      <c r="AB98" s="970"/>
      <c r="AC98" s="280"/>
      <c r="AD98" s="211"/>
      <c r="AE98" s="318"/>
      <c r="AF98" s="884"/>
      <c r="AG98" s="593"/>
      <c r="AH98" s="592"/>
      <c r="AI98" s="296"/>
      <c r="AJ98" s="655">
        <v>88</v>
      </c>
    </row>
    <row r="99" spans="1:36" s="90" customFormat="1" ht="9.75" customHeight="1">
      <c r="A99" s="338">
        <v>89</v>
      </c>
      <c r="B99" s="677"/>
      <c r="C99" s="880"/>
      <c r="D99" s="906"/>
      <c r="E99" s="20"/>
      <c r="F99" s="658"/>
      <c r="G99" s="588"/>
      <c r="H99" s="24"/>
      <c r="I99" s="584"/>
      <c r="J99" s="584"/>
      <c r="K99" s="472"/>
      <c r="L99" s="479"/>
      <c r="M99" s="472"/>
      <c r="N99" s="479"/>
      <c r="O99" s="472"/>
      <c r="P99" s="479"/>
      <c r="Q99" s="581"/>
      <c r="R99" s="483"/>
      <c r="S99" s="280"/>
      <c r="T99" s="211"/>
      <c r="U99" s="557"/>
      <c r="V99" s="883"/>
      <c r="W99" s="318"/>
      <c r="X99" s="245"/>
      <c r="Y99" s="622"/>
      <c r="Z99" s="623"/>
      <c r="AA99" s="970"/>
      <c r="AB99" s="970"/>
      <c r="AC99" s="280"/>
      <c r="AD99" s="211"/>
      <c r="AE99" s="318"/>
      <c r="AF99" s="884"/>
      <c r="AG99" s="472"/>
      <c r="AH99" s="479"/>
      <c r="AI99" s="296"/>
      <c r="AJ99" s="655">
        <v>89</v>
      </c>
    </row>
    <row r="100" spans="1:36" s="90" customFormat="1" ht="9.75" customHeight="1">
      <c r="A100" s="338">
        <v>90</v>
      </c>
      <c r="B100" s="1076"/>
      <c r="C100" s="912"/>
      <c r="D100" s="913"/>
      <c r="E100" s="882"/>
      <c r="F100" s="671"/>
      <c r="G100" s="588"/>
      <c r="H100" s="882"/>
      <c r="I100" s="902"/>
      <c r="J100" s="902"/>
      <c r="K100" s="659"/>
      <c r="L100" s="660"/>
      <c r="M100" s="659"/>
      <c r="N100" s="660"/>
      <c r="O100" s="659"/>
      <c r="P100" s="660"/>
      <c r="Q100" s="581"/>
      <c r="R100" s="483"/>
      <c r="S100" s="280"/>
      <c r="T100" s="211"/>
      <c r="U100" s="34"/>
      <c r="V100" s="883"/>
      <c r="W100" s="318"/>
      <c r="X100" s="245"/>
      <c r="Y100" s="961"/>
      <c r="Z100" s="962"/>
      <c r="AA100" s="970"/>
      <c r="AB100" s="970"/>
      <c r="AC100" s="280"/>
      <c r="AD100" s="211"/>
      <c r="AE100" s="318"/>
      <c r="AF100" s="884"/>
      <c r="AG100" s="391"/>
      <c r="AH100" s="392"/>
      <c r="AI100" s="885"/>
      <c r="AJ100" s="655">
        <v>90</v>
      </c>
    </row>
    <row r="101" spans="1:36" s="90" customFormat="1" ht="9.75" customHeight="1">
      <c r="A101" s="338">
        <v>91</v>
      </c>
      <c r="B101" s="677"/>
      <c r="C101" s="880"/>
      <c r="D101" s="906"/>
      <c r="E101" s="588"/>
      <c r="F101" s="658"/>
      <c r="G101" s="881"/>
      <c r="H101" s="618"/>
      <c r="I101" s="903"/>
      <c r="J101" s="903"/>
      <c r="K101" s="593"/>
      <c r="L101" s="592"/>
      <c r="M101" s="593"/>
      <c r="N101" s="592"/>
      <c r="O101" s="593"/>
      <c r="P101" s="592"/>
      <c r="Q101" s="581"/>
      <c r="R101" s="483"/>
      <c r="S101" s="592"/>
      <c r="T101" s="211"/>
      <c r="U101" s="34"/>
      <c r="V101" s="883"/>
      <c r="W101" s="318"/>
      <c r="X101" s="245"/>
      <c r="Y101" s="908"/>
      <c r="Z101" s="869"/>
      <c r="AA101" s="970"/>
      <c r="AB101" s="970"/>
      <c r="AC101" s="280"/>
      <c r="AD101" s="211"/>
      <c r="AE101" s="318"/>
      <c r="AF101" s="884"/>
      <c r="AG101" s="593"/>
      <c r="AH101" s="592"/>
      <c r="AI101" s="885"/>
      <c r="AJ101" s="655">
        <v>91</v>
      </c>
    </row>
    <row r="102" spans="1:36" s="90" customFormat="1" ht="9.75" customHeight="1">
      <c r="A102" s="338">
        <v>92</v>
      </c>
      <c r="B102" s="897"/>
      <c r="C102" s="904"/>
      <c r="D102" s="905"/>
      <c r="E102" s="672"/>
      <c r="F102" s="671"/>
      <c r="G102" s="588"/>
      <c r="H102" s="31"/>
      <c r="I102" s="540"/>
      <c r="J102" s="540"/>
      <c r="K102" s="659"/>
      <c r="L102" s="660"/>
      <c r="M102" s="659"/>
      <c r="N102" s="660"/>
      <c r="O102" s="659"/>
      <c r="P102" s="660"/>
      <c r="Q102" s="581"/>
      <c r="R102" s="483"/>
      <c r="S102" s="280"/>
      <c r="T102" s="211"/>
      <c r="U102" s="34"/>
      <c r="V102" s="883"/>
      <c r="W102" s="318"/>
      <c r="X102" s="245"/>
      <c r="Y102" s="961"/>
      <c r="Z102" s="962"/>
      <c r="AA102" s="970"/>
      <c r="AB102" s="970"/>
      <c r="AC102" s="280"/>
      <c r="AD102" s="211"/>
      <c r="AE102" s="318"/>
      <c r="AF102" s="884"/>
      <c r="AG102" s="391"/>
      <c r="AH102" s="392"/>
      <c r="AI102" s="885"/>
      <c r="AJ102" s="655">
        <v>92</v>
      </c>
    </row>
    <row r="103" spans="1:36" s="90" customFormat="1" ht="9.75" customHeight="1">
      <c r="A103" s="338">
        <v>93</v>
      </c>
      <c r="B103" s="1076"/>
      <c r="C103" s="914"/>
      <c r="D103" s="915"/>
      <c r="E103" s="577"/>
      <c r="F103" s="661"/>
      <c r="G103" s="580"/>
      <c r="H103" s="22"/>
      <c r="I103" s="903"/>
      <c r="J103" s="903"/>
      <c r="K103" s="593"/>
      <c r="L103" s="592"/>
      <c r="M103" s="593"/>
      <c r="N103" s="592"/>
      <c r="O103" s="593"/>
      <c r="P103" s="592"/>
      <c r="Q103" s="593"/>
      <c r="R103" s="592"/>
      <c r="S103" s="280"/>
      <c r="T103" s="317"/>
      <c r="U103" s="557"/>
      <c r="V103" s="326"/>
      <c r="W103" s="318"/>
      <c r="X103" s="245"/>
      <c r="Y103" s="1052"/>
      <c r="Z103" s="1053"/>
      <c r="AA103" s="779"/>
      <c r="AB103" s="779"/>
      <c r="AC103" s="280"/>
      <c r="AD103" s="317"/>
      <c r="AE103" s="318"/>
      <c r="AF103" s="884"/>
      <c r="AG103" s="916"/>
      <c r="AH103" s="917"/>
      <c r="AI103" s="630"/>
      <c r="AJ103" s="655">
        <v>93</v>
      </c>
    </row>
    <row r="104" spans="1:36" s="90" customFormat="1" ht="9.75" customHeight="1">
      <c r="A104" s="338">
        <v>94</v>
      </c>
      <c r="B104" s="803"/>
      <c r="C104" s="827"/>
      <c r="D104" s="665"/>
      <c r="E104" s="909"/>
      <c r="F104" s="910"/>
      <c r="G104" s="909"/>
      <c r="H104" s="918"/>
      <c r="I104" s="918"/>
      <c r="J104" s="918"/>
      <c r="K104" s="919"/>
      <c r="L104" s="920"/>
      <c r="M104" s="919"/>
      <c r="N104" s="920"/>
      <c r="O104" s="919"/>
      <c r="P104" s="920"/>
      <c r="Q104" s="764"/>
      <c r="R104" s="765"/>
      <c r="S104" s="766"/>
      <c r="T104" s="767"/>
      <c r="U104" s="768"/>
      <c r="V104" s="769"/>
      <c r="W104" s="770"/>
      <c r="X104" s="771"/>
      <c r="Y104" s="921"/>
      <c r="Z104" s="922"/>
      <c r="AA104" s="971"/>
      <c r="AB104" s="971"/>
      <c r="AC104" s="766"/>
      <c r="AD104" s="767"/>
      <c r="AE104" s="770"/>
      <c r="AF104" s="770"/>
      <c r="AG104" s="919"/>
      <c r="AH104" s="920"/>
      <c r="AI104" s="911"/>
      <c r="AJ104" s="655">
        <v>94</v>
      </c>
    </row>
    <row r="105" spans="1:36" s="90" customFormat="1" ht="9.75" customHeight="1">
      <c r="A105" s="338">
        <v>95</v>
      </c>
      <c r="B105" s="717"/>
      <c r="C105" s="828"/>
      <c r="D105" s="656"/>
      <c r="E105" s="672"/>
      <c r="F105" s="671"/>
      <c r="G105" s="580"/>
      <c r="H105" s="33"/>
      <c r="I105" s="3"/>
      <c r="J105" s="3"/>
      <c r="K105" s="10"/>
      <c r="L105" s="11"/>
      <c r="M105" s="10"/>
      <c r="N105" s="11"/>
      <c r="O105" s="10"/>
      <c r="P105" s="11"/>
      <c r="Q105" s="45"/>
      <c r="R105" s="778"/>
      <c r="S105" s="94"/>
      <c r="T105" s="95"/>
      <c r="U105" s="175"/>
      <c r="V105" s="779"/>
      <c r="W105" s="96"/>
      <c r="X105" s="97"/>
      <c r="Y105" s="51"/>
      <c r="Z105" s="801"/>
      <c r="AA105" s="779"/>
      <c r="AB105" s="779"/>
      <c r="AC105" s="94"/>
      <c r="AD105" s="95"/>
      <c r="AE105" s="96"/>
      <c r="AF105" s="96"/>
      <c r="AG105" s="35"/>
      <c r="AH105" s="40"/>
      <c r="AI105" s="98"/>
      <c r="AJ105" s="655">
        <v>95</v>
      </c>
    </row>
    <row r="106" spans="1:36" s="90" customFormat="1" ht="9.75" customHeight="1">
      <c r="A106" s="338">
        <v>96</v>
      </c>
      <c r="B106" s="717"/>
      <c r="C106" s="828"/>
      <c r="D106" s="1077"/>
      <c r="E106" s="672"/>
      <c r="F106" s="671"/>
      <c r="G106" s="580"/>
      <c r="H106" s="33"/>
      <c r="I106" s="33"/>
      <c r="J106" s="33"/>
      <c r="K106" s="786"/>
      <c r="L106" s="787"/>
      <c r="M106" s="786"/>
      <c r="N106" s="787"/>
      <c r="O106" s="786"/>
      <c r="P106" s="787"/>
      <c r="Q106" s="45"/>
      <c r="R106" s="778"/>
      <c r="S106" s="94"/>
      <c r="T106" s="95"/>
      <c r="U106" s="175"/>
      <c r="V106" s="779"/>
      <c r="W106" s="96"/>
      <c r="X106" s="97"/>
      <c r="Y106" s="17"/>
      <c r="Z106" s="14"/>
      <c r="AA106" s="779"/>
      <c r="AB106" s="779"/>
      <c r="AC106" s="94"/>
      <c r="AD106" s="95"/>
      <c r="AE106" s="96"/>
      <c r="AF106" s="96"/>
      <c r="AG106" s="12"/>
      <c r="AH106" s="9"/>
      <c r="AI106" s="98"/>
      <c r="AJ106" s="655">
        <v>96</v>
      </c>
    </row>
    <row r="107" spans="1:36" s="90" customFormat="1" ht="9.75" customHeight="1">
      <c r="A107" s="338">
        <v>97</v>
      </c>
      <c r="B107" s="802"/>
      <c r="C107" s="829"/>
      <c r="D107" s="665"/>
      <c r="E107" s="580"/>
      <c r="F107" s="658"/>
      <c r="G107" s="580"/>
      <c r="H107" s="3"/>
      <c r="I107" s="3"/>
      <c r="J107" s="3"/>
      <c r="K107" s="10"/>
      <c r="L107" s="11"/>
      <c r="M107" s="10"/>
      <c r="N107" s="11"/>
      <c r="O107" s="10"/>
      <c r="P107" s="11"/>
      <c r="Q107" s="45"/>
      <c r="R107" s="778"/>
      <c r="S107" s="94"/>
      <c r="T107" s="95"/>
      <c r="U107" s="35"/>
      <c r="V107" s="779"/>
      <c r="W107" s="96"/>
      <c r="X107" s="97"/>
      <c r="Y107" s="49"/>
      <c r="Z107" s="50"/>
      <c r="AA107" s="779"/>
      <c r="AB107" s="779"/>
      <c r="AC107" s="94"/>
      <c r="AD107" s="95"/>
      <c r="AE107" s="96"/>
      <c r="AF107" s="96"/>
      <c r="AG107" s="44"/>
      <c r="AH107" s="46"/>
      <c r="AI107" s="98"/>
      <c r="AJ107" s="655">
        <v>97</v>
      </c>
    </row>
    <row r="108" spans="1:36" s="90" customFormat="1" ht="9.75" customHeight="1">
      <c r="A108" s="338">
        <v>98</v>
      </c>
      <c r="B108" s="803"/>
      <c r="C108" s="827"/>
      <c r="D108" s="665"/>
      <c r="E108" s="672"/>
      <c r="F108" s="666"/>
      <c r="G108" s="580"/>
      <c r="H108" s="33"/>
      <c r="I108" s="33"/>
      <c r="J108" s="33"/>
      <c r="K108" s="783"/>
      <c r="L108" s="784"/>
      <c r="M108" s="783"/>
      <c r="N108" s="784"/>
      <c r="O108" s="783"/>
      <c r="P108" s="784"/>
      <c r="Q108" s="45"/>
      <c r="R108" s="778"/>
      <c r="S108" s="94"/>
      <c r="T108" s="95"/>
      <c r="U108" s="107"/>
      <c r="V108" s="779"/>
      <c r="W108" s="96"/>
      <c r="X108" s="97"/>
      <c r="Y108" s="17"/>
      <c r="Z108" s="18"/>
      <c r="AA108" s="779"/>
      <c r="AB108" s="779"/>
      <c r="AC108" s="94"/>
      <c r="AD108" s="95"/>
      <c r="AE108" s="96"/>
      <c r="AF108" s="96"/>
      <c r="AG108" s="12"/>
      <c r="AH108" s="13"/>
      <c r="AI108" s="101"/>
      <c r="AJ108" s="655">
        <v>98</v>
      </c>
    </row>
    <row r="109" spans="1:36" s="90" customFormat="1" ht="9.75" customHeight="1">
      <c r="A109" s="338">
        <v>99</v>
      </c>
      <c r="B109" s="802"/>
      <c r="C109" s="829"/>
      <c r="D109" s="665"/>
      <c r="E109" s="672"/>
      <c r="F109" s="671"/>
      <c r="G109" s="580"/>
      <c r="H109" s="33"/>
      <c r="I109" s="5"/>
      <c r="J109" s="5"/>
      <c r="K109" s="10"/>
      <c r="L109" s="11"/>
      <c r="M109" s="10"/>
      <c r="N109" s="11"/>
      <c r="O109" s="10"/>
      <c r="P109" s="11"/>
      <c r="Q109" s="45"/>
      <c r="R109" s="778"/>
      <c r="S109" s="94"/>
      <c r="T109" s="95"/>
      <c r="U109" s="175"/>
      <c r="V109" s="779"/>
      <c r="W109" s="96"/>
      <c r="X109" s="97"/>
      <c r="Y109" s="15"/>
      <c r="Z109" s="16"/>
      <c r="AA109" s="779"/>
      <c r="AB109" s="779"/>
      <c r="AC109" s="94"/>
      <c r="AD109" s="95"/>
      <c r="AE109" s="96"/>
      <c r="AF109" s="96"/>
      <c r="AG109" s="10"/>
      <c r="AH109" s="11"/>
      <c r="AI109" s="98"/>
      <c r="AJ109" s="655">
        <v>99</v>
      </c>
    </row>
    <row r="110" spans="1:36" s="90" customFormat="1" ht="9.75" customHeight="1">
      <c r="A110" s="338">
        <v>100</v>
      </c>
      <c r="B110" s="717"/>
      <c r="C110" s="828"/>
      <c r="D110" s="665"/>
      <c r="E110" s="589"/>
      <c r="F110" s="671"/>
      <c r="G110" s="580"/>
      <c r="H110" s="33"/>
      <c r="I110" s="5"/>
      <c r="J110" s="5"/>
      <c r="K110" s="10"/>
      <c r="L110" s="11"/>
      <c r="M110" s="10"/>
      <c r="N110" s="11"/>
      <c r="O110" s="10"/>
      <c r="P110" s="11"/>
      <c r="Q110" s="45"/>
      <c r="R110" s="778"/>
      <c r="S110" s="94"/>
      <c r="T110" s="95"/>
      <c r="U110" s="35"/>
      <c r="V110" s="779"/>
      <c r="W110" s="96"/>
      <c r="X110" s="97"/>
      <c r="Y110" s="15"/>
      <c r="Z110" s="16"/>
      <c r="AA110" s="779"/>
      <c r="AB110" s="779"/>
      <c r="AC110" s="94"/>
      <c r="AD110" s="95"/>
      <c r="AE110" s="96"/>
      <c r="AF110" s="96"/>
      <c r="AG110" s="10"/>
      <c r="AH110" s="11"/>
      <c r="AI110" s="101"/>
      <c r="AJ110" s="655">
        <v>100</v>
      </c>
    </row>
    <row r="111" spans="1:36" s="90" customFormat="1" ht="9.75" customHeight="1">
      <c r="A111" s="338">
        <v>101</v>
      </c>
      <c r="B111" s="804"/>
      <c r="C111" s="830"/>
      <c r="D111" s="665"/>
      <c r="E111" s="589"/>
      <c r="F111" s="671"/>
      <c r="G111" s="594"/>
      <c r="H111" s="3"/>
      <c r="I111" s="33"/>
      <c r="J111" s="33"/>
      <c r="K111" s="785"/>
      <c r="L111" s="782"/>
      <c r="M111" s="785"/>
      <c r="N111" s="782"/>
      <c r="O111" s="785"/>
      <c r="P111" s="782"/>
      <c r="Q111" s="45"/>
      <c r="R111" s="778"/>
      <c r="S111" s="94"/>
      <c r="T111" s="95"/>
      <c r="U111" s="35"/>
      <c r="V111" s="779"/>
      <c r="W111" s="96"/>
      <c r="X111" s="97"/>
      <c r="Y111" s="754"/>
      <c r="Z111" s="173"/>
      <c r="AA111" s="779"/>
      <c r="AB111" s="779"/>
      <c r="AC111" s="94"/>
      <c r="AD111" s="95"/>
      <c r="AE111" s="96"/>
      <c r="AF111" s="96"/>
      <c r="AG111" s="175"/>
      <c r="AH111" s="39"/>
      <c r="AI111" s="98"/>
      <c r="AJ111" s="655">
        <v>101</v>
      </c>
    </row>
    <row r="112" spans="1:36" s="90" customFormat="1" ht="9.75" customHeight="1">
      <c r="A112" s="338">
        <v>102</v>
      </c>
      <c r="B112" s="802"/>
      <c r="C112" s="829"/>
      <c r="D112" s="656"/>
      <c r="E112" s="672"/>
      <c r="F112" s="671"/>
      <c r="G112" s="580"/>
      <c r="H112" s="33"/>
      <c r="I112" s="33"/>
      <c r="J112" s="33"/>
      <c r="K112" s="783"/>
      <c r="L112" s="784"/>
      <c r="M112" s="783"/>
      <c r="N112" s="784"/>
      <c r="O112" s="783"/>
      <c r="P112" s="784"/>
      <c r="Q112" s="790"/>
      <c r="R112" s="41"/>
      <c r="S112" s="94"/>
      <c r="T112" s="95"/>
      <c r="U112" s="175"/>
      <c r="V112" s="779"/>
      <c r="W112" s="96"/>
      <c r="X112" s="97"/>
      <c r="Y112" s="17"/>
      <c r="Z112" s="18"/>
      <c r="AA112" s="779"/>
      <c r="AB112" s="779"/>
      <c r="AC112" s="94"/>
      <c r="AD112" s="95"/>
      <c r="AE112" s="96"/>
      <c r="AF112" s="96"/>
      <c r="AG112" s="12"/>
      <c r="AH112" s="13"/>
      <c r="AI112" s="101"/>
      <c r="AJ112" s="655">
        <v>102</v>
      </c>
    </row>
    <row r="113" spans="1:36" s="90" customFormat="1" ht="9.75" customHeight="1">
      <c r="A113" s="338">
        <v>103</v>
      </c>
      <c r="B113" s="717"/>
      <c r="C113" s="828"/>
      <c r="D113" s="656"/>
      <c r="E113" s="669"/>
      <c r="F113" s="671"/>
      <c r="G113" s="580"/>
      <c r="H113" s="33"/>
      <c r="I113" s="33"/>
      <c r="J113" s="33"/>
      <c r="K113" s="786"/>
      <c r="L113" s="787"/>
      <c r="M113" s="786"/>
      <c r="N113" s="787"/>
      <c r="O113" s="786"/>
      <c r="P113" s="787"/>
      <c r="Q113" s="45"/>
      <c r="R113" s="778"/>
      <c r="S113" s="94"/>
      <c r="T113" s="95"/>
      <c r="U113" s="175"/>
      <c r="V113" s="779"/>
      <c r="W113" s="96"/>
      <c r="X113" s="97"/>
      <c r="Y113" s="17"/>
      <c r="Z113" s="18"/>
      <c r="AA113" s="779"/>
      <c r="AB113" s="779"/>
      <c r="AC113" s="94"/>
      <c r="AD113" s="95"/>
      <c r="AE113" s="96"/>
      <c r="AF113" s="96"/>
      <c r="AG113" s="12"/>
      <c r="AH113" s="13"/>
      <c r="AI113" s="98"/>
      <c r="AJ113" s="655">
        <v>103</v>
      </c>
    </row>
    <row r="114" spans="1:36" s="90" customFormat="1" ht="9.75" customHeight="1">
      <c r="A114" s="338">
        <v>104</v>
      </c>
      <c r="B114" s="802"/>
      <c r="C114" s="829"/>
      <c r="D114" s="665"/>
      <c r="E114" s="22"/>
      <c r="F114" s="720"/>
      <c r="G114" s="580"/>
      <c r="H114" s="3"/>
      <c r="I114" s="3"/>
      <c r="J114" s="3"/>
      <c r="K114" s="10"/>
      <c r="L114" s="11"/>
      <c r="M114" s="10"/>
      <c r="N114" s="11"/>
      <c r="O114" s="10"/>
      <c r="P114" s="11"/>
      <c r="Q114" s="790"/>
      <c r="R114" s="41"/>
      <c r="S114" s="41"/>
      <c r="T114" s="95"/>
      <c r="U114" s="175"/>
      <c r="V114" s="779"/>
      <c r="W114" s="96"/>
      <c r="X114" s="97"/>
      <c r="Y114" s="51"/>
      <c r="Z114" s="800"/>
      <c r="AA114" s="779"/>
      <c r="AB114" s="779"/>
      <c r="AC114" s="94"/>
      <c r="AD114" s="95"/>
      <c r="AE114" s="96"/>
      <c r="AF114" s="96"/>
      <c r="AG114" s="35"/>
      <c r="AH114" s="38"/>
      <c r="AI114" s="98"/>
      <c r="AJ114" s="655">
        <v>104</v>
      </c>
    </row>
    <row r="115" spans="1:36" s="90" customFormat="1" ht="9.75" customHeight="1">
      <c r="A115" s="338">
        <v>105</v>
      </c>
      <c r="B115" s="803"/>
      <c r="C115" s="827"/>
      <c r="D115" s="656"/>
      <c r="E115" s="580"/>
      <c r="F115" s="658"/>
      <c r="G115" s="580"/>
      <c r="H115" s="3"/>
      <c r="I115" s="4"/>
      <c r="J115" s="4"/>
      <c r="K115" s="7"/>
      <c r="L115" s="8"/>
      <c r="M115" s="7"/>
      <c r="N115" s="8"/>
      <c r="O115" s="7"/>
      <c r="P115" s="8"/>
      <c r="Q115" s="45"/>
      <c r="R115" s="778"/>
      <c r="S115" s="789"/>
      <c r="T115" s="95"/>
      <c r="U115" s="35"/>
      <c r="V115" s="779"/>
      <c r="W115" s="96"/>
      <c r="X115" s="97"/>
      <c r="Y115" s="797"/>
      <c r="Z115" s="801"/>
      <c r="AA115" s="779"/>
      <c r="AB115" s="779"/>
      <c r="AC115" s="94"/>
      <c r="AD115" s="95"/>
      <c r="AE115" s="95"/>
      <c r="AF115" s="95"/>
      <c r="AG115" s="45"/>
      <c r="AH115" s="40"/>
      <c r="AI115" s="101"/>
      <c r="AJ115" s="655">
        <v>105</v>
      </c>
    </row>
    <row r="116" spans="1:36" s="90" customFormat="1" ht="9.75" customHeight="1">
      <c r="A116" s="338">
        <v>106</v>
      </c>
      <c r="B116" s="805"/>
      <c r="C116" s="831"/>
      <c r="D116" s="777"/>
      <c r="E116" s="672"/>
      <c r="F116" s="671"/>
      <c r="G116" s="580"/>
      <c r="H116" s="33"/>
      <c r="I116" s="208"/>
      <c r="J116" s="208"/>
      <c r="K116" s="780"/>
      <c r="L116" s="781"/>
      <c r="M116" s="780"/>
      <c r="N116" s="781"/>
      <c r="O116" s="780"/>
      <c r="P116" s="781"/>
      <c r="Q116" s="45"/>
      <c r="R116" s="778"/>
      <c r="S116" s="94"/>
      <c r="T116" s="95"/>
      <c r="U116" s="175"/>
      <c r="V116" s="779"/>
      <c r="W116" s="96"/>
      <c r="X116" s="97"/>
      <c r="Y116" s="712"/>
      <c r="Z116" s="14"/>
      <c r="AA116" s="779"/>
      <c r="AB116" s="779"/>
      <c r="AC116" s="94"/>
      <c r="AD116" s="95"/>
      <c r="AE116" s="95"/>
      <c r="AF116" s="95"/>
      <c r="AG116" s="43"/>
      <c r="AH116" s="9"/>
      <c r="AI116" s="98"/>
      <c r="AJ116" s="655">
        <v>106</v>
      </c>
    </row>
    <row r="117" spans="1:36" s="90" customFormat="1" ht="9.75" customHeight="1">
      <c r="A117" s="338">
        <v>107</v>
      </c>
      <c r="B117" s="717"/>
      <c r="C117" s="828"/>
      <c r="D117" s="656"/>
      <c r="E117" s="588"/>
      <c r="F117" s="658"/>
      <c r="G117" s="594"/>
      <c r="H117" s="33"/>
      <c r="I117" s="208"/>
      <c r="J117" s="208"/>
      <c r="K117" s="788"/>
      <c r="L117" s="789"/>
      <c r="M117" s="788"/>
      <c r="N117" s="789"/>
      <c r="O117" s="788"/>
      <c r="P117" s="789"/>
      <c r="Q117" s="788"/>
      <c r="R117" s="789"/>
      <c r="S117" s="94"/>
      <c r="T117" s="95"/>
      <c r="U117" s="785"/>
      <c r="V117" s="779"/>
      <c r="W117" s="96"/>
      <c r="X117" s="97"/>
      <c r="Y117" s="796"/>
      <c r="Z117" s="599"/>
      <c r="AA117" s="779"/>
      <c r="AB117" s="779"/>
      <c r="AC117" s="94"/>
      <c r="AD117" s="95"/>
      <c r="AE117" s="95"/>
      <c r="AF117" s="95"/>
      <c r="AG117" s="790"/>
      <c r="AH117" s="41"/>
      <c r="AI117" s="98"/>
      <c r="AJ117" s="655">
        <v>107</v>
      </c>
    </row>
    <row r="118" spans="1:36" s="90" customFormat="1" ht="9.75" customHeight="1">
      <c r="A118" s="338">
        <v>108</v>
      </c>
      <c r="B118" s="804"/>
      <c r="C118" s="830"/>
      <c r="D118" s="665"/>
      <c r="E118" s="24"/>
      <c r="F118" s="658"/>
      <c r="G118" s="594"/>
      <c r="H118" s="5"/>
      <c r="I118" s="6"/>
      <c r="J118" s="6"/>
      <c r="K118" s="7"/>
      <c r="L118" s="8"/>
      <c r="M118" s="7"/>
      <c r="N118" s="8"/>
      <c r="O118" s="7"/>
      <c r="P118" s="8"/>
      <c r="Q118" s="790"/>
      <c r="R118" s="41"/>
      <c r="S118" s="41"/>
      <c r="T118" s="95"/>
      <c r="U118" s="175"/>
      <c r="V118" s="779"/>
      <c r="W118" s="96"/>
      <c r="X118" s="97"/>
      <c r="Y118" s="799"/>
      <c r="Z118" s="753"/>
      <c r="AA118" s="779"/>
      <c r="AB118" s="779"/>
      <c r="AC118" s="94"/>
      <c r="AD118" s="95"/>
      <c r="AE118" s="95"/>
      <c r="AF118" s="95"/>
      <c r="AG118" s="7"/>
      <c r="AH118" s="8"/>
      <c r="AI118" s="98"/>
      <c r="AJ118" s="655">
        <v>108</v>
      </c>
    </row>
    <row r="119" spans="1:36" s="90" customFormat="1" ht="9.75" customHeight="1">
      <c r="A119" s="338">
        <v>109</v>
      </c>
      <c r="B119" s="717"/>
      <c r="C119" s="828"/>
      <c r="D119" s="656"/>
      <c r="E119" s="588"/>
      <c r="F119" s="658"/>
      <c r="G119" s="594"/>
      <c r="H119" s="5"/>
      <c r="I119" s="6"/>
      <c r="J119" s="6"/>
      <c r="K119" s="7"/>
      <c r="L119" s="8"/>
      <c r="M119" s="7"/>
      <c r="N119" s="8"/>
      <c r="O119" s="7"/>
      <c r="P119" s="8"/>
      <c r="Q119" s="45"/>
      <c r="R119" s="778"/>
      <c r="S119" s="94"/>
      <c r="T119" s="95"/>
      <c r="U119" s="35"/>
      <c r="V119" s="779"/>
      <c r="W119" s="96"/>
      <c r="X119" s="97"/>
      <c r="Y119" s="799"/>
      <c r="Z119" s="753"/>
      <c r="AA119" s="779"/>
      <c r="AB119" s="779"/>
      <c r="AC119" s="94"/>
      <c r="AD119" s="95"/>
      <c r="AE119" s="95"/>
      <c r="AF119" s="95"/>
      <c r="AG119" s="7"/>
      <c r="AH119" s="8"/>
      <c r="AI119" s="101"/>
      <c r="AJ119" s="655">
        <v>109</v>
      </c>
    </row>
    <row r="120" spans="1:36" s="90" customFormat="1" ht="9.75" customHeight="1">
      <c r="A120" s="338">
        <v>110</v>
      </c>
      <c r="B120" s="806"/>
      <c r="C120" s="832"/>
      <c r="D120" s="807"/>
      <c r="E120" s="580"/>
      <c r="F120" s="658"/>
      <c r="G120" s="580"/>
      <c r="H120" s="3"/>
      <c r="I120" s="4"/>
      <c r="J120" s="4"/>
      <c r="K120" s="7"/>
      <c r="L120" s="8"/>
      <c r="M120" s="7"/>
      <c r="N120" s="8"/>
      <c r="O120" s="7"/>
      <c r="P120" s="8"/>
      <c r="Q120" s="790"/>
      <c r="R120" s="41"/>
      <c r="S120" s="41"/>
      <c r="T120" s="95"/>
      <c r="U120" s="175"/>
      <c r="V120" s="779"/>
      <c r="W120" s="96"/>
      <c r="X120" s="97"/>
      <c r="Y120" s="797"/>
      <c r="Z120" s="801"/>
      <c r="AA120" s="779"/>
      <c r="AB120" s="779"/>
      <c r="AC120" s="94"/>
      <c r="AD120" s="95"/>
      <c r="AE120" s="95"/>
      <c r="AF120" s="95"/>
      <c r="AG120" s="45"/>
      <c r="AH120" s="40"/>
      <c r="AI120" s="98"/>
      <c r="AJ120" s="655">
        <v>110</v>
      </c>
    </row>
    <row r="121" spans="1:36" s="90" customFormat="1" ht="9.75" customHeight="1">
      <c r="A121" s="338">
        <v>111</v>
      </c>
      <c r="B121" s="803"/>
      <c r="C121" s="827"/>
      <c r="D121" s="665"/>
      <c r="E121" s="590"/>
      <c r="F121" s="666"/>
      <c r="G121" s="590"/>
      <c r="H121" s="172"/>
      <c r="I121" s="791"/>
      <c r="J121" s="791"/>
      <c r="K121" s="790"/>
      <c r="L121" s="41"/>
      <c r="M121" s="790"/>
      <c r="N121" s="41"/>
      <c r="O121" s="790"/>
      <c r="P121" s="41"/>
      <c r="Q121" s="45"/>
      <c r="R121" s="778"/>
      <c r="S121" s="94"/>
      <c r="T121" s="95"/>
      <c r="U121" s="35"/>
      <c r="V121" s="779"/>
      <c r="W121" s="96"/>
      <c r="X121" s="97"/>
      <c r="Y121" s="796"/>
      <c r="Z121" s="599"/>
      <c r="AA121" s="779"/>
      <c r="AB121" s="779"/>
      <c r="AC121" s="94"/>
      <c r="AD121" s="95"/>
      <c r="AE121" s="95"/>
      <c r="AF121" s="95"/>
      <c r="AG121" s="790"/>
      <c r="AH121" s="41"/>
      <c r="AI121" s="101"/>
      <c r="AJ121" s="655">
        <v>111</v>
      </c>
    </row>
    <row r="122" spans="1:36" s="90" customFormat="1" ht="9.75" customHeight="1">
      <c r="A122" s="338">
        <v>112</v>
      </c>
      <c r="B122" s="717"/>
      <c r="C122" s="828"/>
      <c r="D122" s="665"/>
      <c r="E122" s="589"/>
      <c r="F122" s="671"/>
      <c r="G122" s="594"/>
      <c r="H122" s="172"/>
      <c r="I122" s="33"/>
      <c r="J122" s="33"/>
      <c r="K122" s="785"/>
      <c r="L122" s="782"/>
      <c r="M122" s="785"/>
      <c r="N122" s="782"/>
      <c r="O122" s="785"/>
      <c r="P122" s="782"/>
      <c r="Q122" s="45"/>
      <c r="R122" s="778"/>
      <c r="S122" s="94"/>
      <c r="T122" s="95"/>
      <c r="U122" s="175"/>
      <c r="V122" s="779"/>
      <c r="W122" s="96"/>
      <c r="X122" s="97"/>
      <c r="Y122" s="754"/>
      <c r="Z122" s="173"/>
      <c r="AA122" s="779"/>
      <c r="AB122" s="779"/>
      <c r="AC122" s="94"/>
      <c r="AD122" s="95"/>
      <c r="AE122" s="96"/>
      <c r="AF122" s="96"/>
      <c r="AG122" s="175"/>
      <c r="AH122" s="39"/>
      <c r="AI122" s="98"/>
      <c r="AJ122" s="655">
        <v>112</v>
      </c>
    </row>
    <row r="123" spans="1:36" s="90" customFormat="1" ht="9.75" customHeight="1">
      <c r="A123" s="338">
        <v>113</v>
      </c>
      <c r="B123" s="808"/>
      <c r="C123" s="833"/>
      <c r="D123" s="758"/>
      <c r="E123" s="759"/>
      <c r="F123" s="760"/>
      <c r="G123" s="759"/>
      <c r="H123" s="761"/>
      <c r="I123" s="761"/>
      <c r="J123" s="761"/>
      <c r="K123" s="762"/>
      <c r="L123" s="763"/>
      <c r="M123" s="762"/>
      <c r="N123" s="763"/>
      <c r="O123" s="762"/>
      <c r="P123" s="763"/>
      <c r="Q123" s="764"/>
      <c r="R123" s="765"/>
      <c r="S123" s="766"/>
      <c r="T123" s="767"/>
      <c r="U123" s="768"/>
      <c r="V123" s="769"/>
      <c r="W123" s="770"/>
      <c r="X123" s="771"/>
      <c r="Y123" s="772"/>
      <c r="Z123" s="773"/>
      <c r="AA123" s="769"/>
      <c r="AB123" s="769"/>
      <c r="AC123" s="766"/>
      <c r="AD123" s="767"/>
      <c r="AE123" s="770"/>
      <c r="AF123" s="770"/>
      <c r="AG123" s="774"/>
      <c r="AH123" s="775"/>
      <c r="AI123" s="776"/>
      <c r="AJ123" s="655">
        <v>113</v>
      </c>
    </row>
    <row r="124" spans="1:36" s="90" customFormat="1" ht="9.75" customHeight="1">
      <c r="A124" s="338">
        <v>114</v>
      </c>
      <c r="B124" s="677"/>
      <c r="C124" s="834"/>
      <c r="D124" s="656"/>
      <c r="E124" s="724"/>
      <c r="F124" s="185"/>
      <c r="G124" s="580"/>
      <c r="H124" s="585"/>
      <c r="I124" s="585"/>
      <c r="J124" s="585"/>
      <c r="K124" s="662"/>
      <c r="L124" s="663"/>
      <c r="M124" s="662"/>
      <c r="N124" s="663"/>
      <c r="O124" s="662"/>
      <c r="P124" s="663"/>
      <c r="Q124" s="581"/>
      <c r="R124" s="483"/>
      <c r="S124" s="280"/>
      <c r="T124" s="317"/>
      <c r="U124" s="557"/>
      <c r="V124" s="326"/>
      <c r="W124" s="318"/>
      <c r="X124" s="245"/>
      <c r="Y124" s="644"/>
      <c r="Z124" s="645"/>
      <c r="AA124" s="326"/>
      <c r="AB124" s="326"/>
      <c r="AC124" s="280"/>
      <c r="AD124" s="317"/>
      <c r="AE124" s="318"/>
      <c r="AF124" s="318"/>
      <c r="AG124" s="26"/>
      <c r="AH124" s="27"/>
      <c r="AI124" s="630"/>
      <c r="AJ124" s="655">
        <v>114</v>
      </c>
    </row>
    <row r="125" spans="1:36" s="90" customFormat="1" ht="9.75" customHeight="1">
      <c r="A125" s="338">
        <v>115</v>
      </c>
      <c r="B125" s="677"/>
      <c r="C125" s="834"/>
      <c r="D125" s="656"/>
      <c r="E125" s="724"/>
      <c r="F125" s="185"/>
      <c r="G125" s="580"/>
      <c r="H125" s="585"/>
      <c r="I125" s="585"/>
      <c r="J125" s="585"/>
      <c r="K125" s="662"/>
      <c r="L125" s="663"/>
      <c r="M125" s="662"/>
      <c r="N125" s="663"/>
      <c r="O125" s="662"/>
      <c r="P125" s="663"/>
      <c r="Q125" s="581"/>
      <c r="R125" s="483"/>
      <c r="S125" s="280"/>
      <c r="T125" s="317"/>
      <c r="U125" s="557"/>
      <c r="V125" s="326"/>
      <c r="W125" s="318"/>
      <c r="X125" s="245"/>
      <c r="Y125" s="644"/>
      <c r="Z125" s="645"/>
      <c r="AA125" s="326"/>
      <c r="AB125" s="326"/>
      <c r="AC125" s="280"/>
      <c r="AD125" s="317"/>
      <c r="AE125" s="318"/>
      <c r="AF125" s="318"/>
      <c r="AG125" s="26"/>
      <c r="AH125" s="27"/>
      <c r="AI125" s="630"/>
      <c r="AJ125" s="655">
        <v>115</v>
      </c>
    </row>
    <row r="126" spans="1:36" s="90" customFormat="1" ht="9.75" customHeight="1">
      <c r="A126" s="338">
        <v>116</v>
      </c>
      <c r="B126" s="677"/>
      <c r="C126" s="834"/>
      <c r="D126" s="656"/>
      <c r="E126" s="724"/>
      <c r="F126" s="185"/>
      <c r="G126" s="580"/>
      <c r="H126" s="585"/>
      <c r="I126" s="585"/>
      <c r="J126" s="585"/>
      <c r="K126" s="23"/>
      <c r="L126" s="431"/>
      <c r="M126" s="23"/>
      <c r="N126" s="431"/>
      <c r="O126" s="23"/>
      <c r="P126" s="431"/>
      <c r="Q126" s="581"/>
      <c r="R126" s="483"/>
      <c r="S126" s="280"/>
      <c r="T126" s="317"/>
      <c r="U126" s="557"/>
      <c r="V126" s="326"/>
      <c r="W126" s="318"/>
      <c r="X126" s="245"/>
      <c r="Y126" s="644"/>
      <c r="Z126" s="645"/>
      <c r="AA126" s="326"/>
      <c r="AB126" s="326"/>
      <c r="AC126" s="280"/>
      <c r="AD126" s="317"/>
      <c r="AE126" s="318"/>
      <c r="AF126" s="318"/>
      <c r="AG126" s="26"/>
      <c r="AH126" s="27"/>
      <c r="AI126" s="630"/>
      <c r="AJ126" s="655">
        <v>116</v>
      </c>
    </row>
    <row r="127" spans="1:36" s="90" customFormat="1" ht="9.75" customHeight="1">
      <c r="A127" s="338">
        <v>117</v>
      </c>
      <c r="B127" s="677"/>
      <c r="C127" s="834"/>
      <c r="D127" s="656"/>
      <c r="E127" s="724"/>
      <c r="F127" s="185"/>
      <c r="G127" s="580"/>
      <c r="H127" s="585"/>
      <c r="I127" s="585"/>
      <c r="J127" s="585"/>
      <c r="K127" s="662"/>
      <c r="L127" s="663"/>
      <c r="M127" s="662"/>
      <c r="N127" s="663"/>
      <c r="O127" s="662"/>
      <c r="P127" s="663"/>
      <c r="Q127" s="581"/>
      <c r="R127" s="483"/>
      <c r="S127" s="280"/>
      <c r="T127" s="317"/>
      <c r="U127" s="557"/>
      <c r="V127" s="326"/>
      <c r="W127" s="318"/>
      <c r="X127" s="245"/>
      <c r="Y127" s="644"/>
      <c r="Z127" s="645"/>
      <c r="AA127" s="326"/>
      <c r="AB127" s="326"/>
      <c r="AC127" s="280"/>
      <c r="AD127" s="317"/>
      <c r="AE127" s="318"/>
      <c r="AF127" s="318"/>
      <c r="AG127" s="26"/>
      <c r="AH127" s="27"/>
      <c r="AI127" s="630"/>
      <c r="AJ127" s="655">
        <v>117</v>
      </c>
    </row>
    <row r="128" spans="1:36" s="90" customFormat="1" ht="9.75" customHeight="1">
      <c r="A128" s="338">
        <v>118</v>
      </c>
      <c r="B128" s="674"/>
      <c r="C128" s="835"/>
      <c r="D128" s="665"/>
      <c r="E128" s="590"/>
      <c r="F128" s="399"/>
      <c r="G128" s="590"/>
      <c r="H128" s="589"/>
      <c r="I128" s="589"/>
      <c r="J128" s="589"/>
      <c r="K128" s="557"/>
      <c r="L128" s="449"/>
      <c r="M128" s="557"/>
      <c r="N128" s="449"/>
      <c r="O128" s="557"/>
      <c r="P128" s="449"/>
      <c r="Q128" s="593"/>
      <c r="R128" s="592"/>
      <c r="S128" s="592"/>
      <c r="T128" s="593"/>
      <c r="U128" s="557"/>
      <c r="V128" s="326"/>
      <c r="W128" s="318"/>
      <c r="X128" s="245"/>
      <c r="Y128" s="333"/>
      <c r="Z128" s="330"/>
      <c r="AA128" s="326"/>
      <c r="AB128" s="326"/>
      <c r="AC128" s="280"/>
      <c r="AD128" s="317"/>
      <c r="AE128" s="318"/>
      <c r="AF128" s="318"/>
      <c r="AG128" s="557"/>
      <c r="AH128" s="449"/>
      <c r="AI128" s="319"/>
      <c r="AJ128" s="655">
        <v>118</v>
      </c>
    </row>
    <row r="129" spans="1:36" s="90" customFormat="1" ht="9.75" customHeight="1">
      <c r="A129" s="338">
        <v>119</v>
      </c>
      <c r="B129" s="675"/>
      <c r="C129" s="836"/>
      <c r="D129" s="665"/>
      <c r="E129" s="586"/>
      <c r="F129" s="113"/>
      <c r="G129" s="580"/>
      <c r="H129" s="31"/>
      <c r="I129" s="31"/>
      <c r="J129" s="31"/>
      <c r="K129" s="578"/>
      <c r="L129" s="579"/>
      <c r="M129" s="578"/>
      <c r="N129" s="579"/>
      <c r="O129" s="578"/>
      <c r="P129" s="579"/>
      <c r="Q129" s="581"/>
      <c r="R129" s="483"/>
      <c r="S129" s="280"/>
      <c r="T129" s="317"/>
      <c r="U129" s="34"/>
      <c r="V129" s="326"/>
      <c r="W129" s="318"/>
      <c r="X129" s="245"/>
      <c r="Y129" s="574"/>
      <c r="Z129" s="575"/>
      <c r="AA129" s="326"/>
      <c r="AB129" s="326"/>
      <c r="AC129" s="280"/>
      <c r="AD129" s="317"/>
      <c r="AE129" s="318"/>
      <c r="AF129" s="318"/>
      <c r="AG129" s="28"/>
      <c r="AH129" s="449"/>
      <c r="AI129" s="630"/>
      <c r="AJ129" s="655">
        <v>119</v>
      </c>
    </row>
    <row r="130" spans="1:36" s="90" customFormat="1" ht="9.75" customHeight="1">
      <c r="A130" s="338">
        <v>120</v>
      </c>
      <c r="B130" s="675"/>
      <c r="C130" s="836"/>
      <c r="D130" s="656"/>
      <c r="E130" s="580"/>
      <c r="F130" s="113"/>
      <c r="G130" s="580"/>
      <c r="H130" s="22"/>
      <c r="I130" s="22"/>
      <c r="J130" s="22"/>
      <c r="K130" s="23"/>
      <c r="L130" s="431"/>
      <c r="M130" s="23"/>
      <c r="N130" s="431"/>
      <c r="O130" s="23"/>
      <c r="P130" s="431"/>
      <c r="Q130" s="581"/>
      <c r="R130" s="483"/>
      <c r="S130" s="595"/>
      <c r="T130" s="317"/>
      <c r="U130" s="34"/>
      <c r="V130" s="326"/>
      <c r="W130" s="318"/>
      <c r="X130" s="245"/>
      <c r="Y130" s="619"/>
      <c r="Z130" s="755"/>
      <c r="AA130" s="326"/>
      <c r="AB130" s="326"/>
      <c r="AC130" s="280"/>
      <c r="AD130" s="317"/>
      <c r="AE130" s="318"/>
      <c r="AF130" s="318"/>
      <c r="AG130" s="34"/>
      <c r="AH130" s="29"/>
      <c r="AI130" s="319"/>
      <c r="AJ130" s="655">
        <v>120</v>
      </c>
    </row>
    <row r="131" spans="1:36" s="90" customFormat="1" ht="9.75" customHeight="1">
      <c r="A131" s="338">
        <v>121</v>
      </c>
      <c r="B131" s="673"/>
      <c r="C131" s="837"/>
      <c r="D131" s="665"/>
      <c r="E131" s="590"/>
      <c r="F131" s="567"/>
      <c r="G131" s="590"/>
      <c r="H131" s="589"/>
      <c r="I131" s="589"/>
      <c r="J131" s="589"/>
      <c r="K131" s="557"/>
      <c r="L131" s="449"/>
      <c r="M131" s="557"/>
      <c r="N131" s="449"/>
      <c r="O131" s="557"/>
      <c r="P131" s="449"/>
      <c r="Q131" s="581"/>
      <c r="R131" s="483"/>
      <c r="S131" s="280"/>
      <c r="T131" s="317"/>
      <c r="U131" s="34"/>
      <c r="V131" s="326"/>
      <c r="W131" s="318"/>
      <c r="X131" s="245"/>
      <c r="Y131" s="333"/>
      <c r="Z131" s="330"/>
      <c r="AA131" s="326"/>
      <c r="AB131" s="326"/>
      <c r="AC131" s="280"/>
      <c r="AD131" s="317"/>
      <c r="AE131" s="318"/>
      <c r="AF131" s="318"/>
      <c r="AG131" s="557"/>
      <c r="AH131" s="449"/>
      <c r="AI131" s="319"/>
      <c r="AJ131" s="655">
        <v>121</v>
      </c>
    </row>
    <row r="132" spans="1:36" s="90" customFormat="1" ht="9.75" customHeight="1">
      <c r="A132" s="338">
        <v>122</v>
      </c>
      <c r="B132" s="673"/>
      <c r="C132" s="837"/>
      <c r="D132" s="665"/>
      <c r="E132" s="24"/>
      <c r="F132" s="113"/>
      <c r="G132" s="594"/>
      <c r="H132" s="24"/>
      <c r="I132" s="24"/>
      <c r="J132" s="24"/>
      <c r="K132" s="23"/>
      <c r="L132" s="431"/>
      <c r="M132" s="23"/>
      <c r="N132" s="431"/>
      <c r="O132" s="23"/>
      <c r="P132" s="431"/>
      <c r="Q132" s="593"/>
      <c r="R132" s="592"/>
      <c r="S132" s="592"/>
      <c r="T132" s="317"/>
      <c r="U132" s="557"/>
      <c r="V132" s="326"/>
      <c r="W132" s="318"/>
      <c r="X132" s="245"/>
      <c r="Y132" s="620"/>
      <c r="Z132" s="621"/>
      <c r="AA132" s="326"/>
      <c r="AB132" s="326"/>
      <c r="AC132" s="280"/>
      <c r="AD132" s="317"/>
      <c r="AE132" s="318"/>
      <c r="AF132" s="318"/>
      <c r="AG132" s="23"/>
      <c r="AH132" s="431"/>
      <c r="AI132" s="319"/>
      <c r="AJ132" s="655">
        <v>122</v>
      </c>
    </row>
    <row r="133" spans="1:36" s="90" customFormat="1" ht="9.75" customHeight="1">
      <c r="A133" s="338">
        <v>123</v>
      </c>
      <c r="B133" s="675"/>
      <c r="C133" s="836"/>
      <c r="D133" s="665"/>
      <c r="E133" s="586"/>
      <c r="F133" s="113"/>
      <c r="G133" s="580"/>
      <c r="H133" s="31"/>
      <c r="I133" s="31"/>
      <c r="J133" s="31"/>
      <c r="K133" s="578"/>
      <c r="L133" s="579"/>
      <c r="M133" s="578"/>
      <c r="N133" s="579"/>
      <c r="O133" s="578"/>
      <c r="P133" s="579"/>
      <c r="Q133" s="581"/>
      <c r="R133" s="483"/>
      <c r="S133" s="280"/>
      <c r="T133" s="317"/>
      <c r="U133" s="34"/>
      <c r="V133" s="326"/>
      <c r="W133" s="318"/>
      <c r="X133" s="245"/>
      <c r="Y133" s="574"/>
      <c r="Z133" s="575"/>
      <c r="AA133" s="326"/>
      <c r="AB133" s="326"/>
      <c r="AC133" s="280"/>
      <c r="AD133" s="317"/>
      <c r="AE133" s="318"/>
      <c r="AF133" s="318"/>
      <c r="AG133" s="28"/>
      <c r="AH133" s="449"/>
      <c r="AI133" s="319"/>
      <c r="AJ133" s="655">
        <v>123</v>
      </c>
    </row>
    <row r="134" spans="1:36" s="90" customFormat="1" ht="9.75" customHeight="1">
      <c r="A134" s="338">
        <v>124</v>
      </c>
      <c r="B134" s="675"/>
      <c r="C134" s="836"/>
      <c r="D134" s="656"/>
      <c r="E134" s="588"/>
      <c r="F134" s="113"/>
      <c r="G134" s="594"/>
      <c r="H134" s="31"/>
      <c r="I134" s="31"/>
      <c r="J134" s="31"/>
      <c r="K134" s="578"/>
      <c r="L134" s="579"/>
      <c r="M134" s="578"/>
      <c r="N134" s="579"/>
      <c r="O134" s="578"/>
      <c r="P134" s="579"/>
      <c r="Q134" s="596"/>
      <c r="R134" s="595"/>
      <c r="S134" s="280"/>
      <c r="T134" s="317"/>
      <c r="U134" s="578"/>
      <c r="V134" s="326"/>
      <c r="W134" s="318"/>
      <c r="X134" s="245"/>
      <c r="Y134" s="643"/>
      <c r="Z134" s="330"/>
      <c r="AA134" s="326"/>
      <c r="AB134" s="326"/>
      <c r="AC134" s="280"/>
      <c r="AD134" s="317"/>
      <c r="AE134" s="318"/>
      <c r="AF134" s="318"/>
      <c r="AG134" s="626"/>
      <c r="AH134" s="449"/>
      <c r="AI134" s="319"/>
      <c r="AJ134" s="655">
        <v>124</v>
      </c>
    </row>
    <row r="135" spans="1:36" s="90" customFormat="1" ht="9.75" customHeight="1">
      <c r="A135" s="338">
        <v>125</v>
      </c>
      <c r="B135" s="676"/>
      <c r="C135" s="838"/>
      <c r="D135" s="665"/>
      <c r="E135" s="580"/>
      <c r="F135" s="113"/>
      <c r="G135" s="580"/>
      <c r="H135" s="22"/>
      <c r="I135" s="22"/>
      <c r="J135" s="22"/>
      <c r="K135" s="23"/>
      <c r="L135" s="431"/>
      <c r="M135" s="23"/>
      <c r="N135" s="431"/>
      <c r="O135" s="23"/>
      <c r="P135" s="431"/>
      <c r="Q135" s="593"/>
      <c r="R135" s="592"/>
      <c r="S135" s="592"/>
      <c r="T135" s="317"/>
      <c r="U135" s="557"/>
      <c r="V135" s="326"/>
      <c r="W135" s="318"/>
      <c r="X135" s="245"/>
      <c r="Y135" s="619"/>
      <c r="Z135" s="755"/>
      <c r="AA135" s="326"/>
      <c r="AB135" s="326"/>
      <c r="AC135" s="280"/>
      <c r="AD135" s="317"/>
      <c r="AE135" s="318"/>
      <c r="AF135" s="318"/>
      <c r="AG135" s="34"/>
      <c r="AH135" s="29"/>
      <c r="AI135" s="630"/>
      <c r="AJ135" s="655">
        <v>125</v>
      </c>
    </row>
    <row r="136" spans="1:36" s="90" customFormat="1" ht="9.75" customHeight="1">
      <c r="A136" s="338">
        <v>126</v>
      </c>
      <c r="B136" s="677"/>
      <c r="C136" s="834"/>
      <c r="D136" s="665"/>
      <c r="E136" s="587"/>
      <c r="F136" s="113"/>
      <c r="G136" s="580"/>
      <c r="H136" s="31"/>
      <c r="I136" s="31"/>
      <c r="J136" s="31"/>
      <c r="K136" s="662"/>
      <c r="L136" s="663"/>
      <c r="M136" s="662"/>
      <c r="N136" s="663"/>
      <c r="O136" s="662"/>
      <c r="P136" s="663"/>
      <c r="Q136" s="593"/>
      <c r="R136" s="592"/>
      <c r="S136" s="592"/>
      <c r="T136" s="317"/>
      <c r="U136" s="557"/>
      <c r="V136" s="326"/>
      <c r="W136" s="318"/>
      <c r="X136" s="245"/>
      <c r="Y136" s="644"/>
      <c r="Z136" s="645"/>
      <c r="AA136" s="326"/>
      <c r="AB136" s="326"/>
      <c r="AC136" s="280"/>
      <c r="AD136" s="317"/>
      <c r="AE136" s="318"/>
      <c r="AF136" s="318"/>
      <c r="AG136" s="26"/>
      <c r="AH136" s="27"/>
      <c r="AI136" s="319"/>
      <c r="AJ136" s="655">
        <v>126</v>
      </c>
    </row>
    <row r="137" spans="1:36" s="90" customFormat="1" ht="9.75" customHeight="1">
      <c r="A137" s="338">
        <v>127</v>
      </c>
      <c r="B137" s="675"/>
      <c r="C137" s="836"/>
      <c r="D137" s="665"/>
      <c r="E137" s="728"/>
      <c r="F137" s="185"/>
      <c r="G137" s="580"/>
      <c r="H137" s="585"/>
      <c r="I137" s="585"/>
      <c r="J137" s="585"/>
      <c r="K137" s="662"/>
      <c r="L137" s="663"/>
      <c r="M137" s="662"/>
      <c r="N137" s="663"/>
      <c r="O137" s="662"/>
      <c r="P137" s="663"/>
      <c r="Q137" s="581"/>
      <c r="R137" s="483"/>
      <c r="S137" s="280"/>
      <c r="T137" s="317"/>
      <c r="U137" s="557"/>
      <c r="V137" s="326"/>
      <c r="W137" s="318"/>
      <c r="X137" s="245"/>
      <c r="Y137" s="644"/>
      <c r="Z137" s="645"/>
      <c r="AA137" s="326"/>
      <c r="AB137" s="326"/>
      <c r="AC137" s="280"/>
      <c r="AD137" s="317"/>
      <c r="AE137" s="318"/>
      <c r="AF137" s="318"/>
      <c r="AG137" s="26"/>
      <c r="AH137" s="27"/>
      <c r="AI137" s="630"/>
      <c r="AJ137" s="655">
        <v>127</v>
      </c>
    </row>
    <row r="138" spans="1:36" s="90" customFormat="1" ht="9.75" customHeight="1">
      <c r="A138" s="338">
        <v>128</v>
      </c>
      <c r="B138" s="675"/>
      <c r="C138" s="836"/>
      <c r="D138" s="665"/>
      <c r="E138" s="728"/>
      <c r="F138" s="185"/>
      <c r="G138" s="580"/>
      <c r="H138" s="585"/>
      <c r="I138" s="585"/>
      <c r="J138" s="585"/>
      <c r="K138" s="23"/>
      <c r="L138" s="431"/>
      <c r="M138" s="23"/>
      <c r="N138" s="431"/>
      <c r="O138" s="23"/>
      <c r="P138" s="431"/>
      <c r="Q138" s="581"/>
      <c r="R138" s="483"/>
      <c r="S138" s="280"/>
      <c r="T138" s="317"/>
      <c r="U138" s="34"/>
      <c r="V138" s="326"/>
      <c r="W138" s="318"/>
      <c r="X138" s="245"/>
      <c r="Y138" s="644"/>
      <c r="Z138" s="645"/>
      <c r="AA138" s="326"/>
      <c r="AB138" s="326"/>
      <c r="AC138" s="280"/>
      <c r="AD138" s="317"/>
      <c r="AE138" s="318"/>
      <c r="AF138" s="318"/>
      <c r="AG138" s="26"/>
      <c r="AH138" s="27"/>
      <c r="AI138" s="630"/>
      <c r="AJ138" s="655">
        <v>128</v>
      </c>
    </row>
    <row r="139" spans="1:36" s="90" customFormat="1" ht="9.75" customHeight="1">
      <c r="A139" s="338">
        <v>129</v>
      </c>
      <c r="B139" s="677"/>
      <c r="C139" s="834"/>
      <c r="D139" s="656"/>
      <c r="E139" s="724"/>
      <c r="F139" s="185"/>
      <c r="G139" s="580"/>
      <c r="H139" s="585"/>
      <c r="I139" s="585"/>
      <c r="J139" s="585"/>
      <c r="K139" s="662"/>
      <c r="L139" s="663"/>
      <c r="M139" s="662"/>
      <c r="N139" s="663"/>
      <c r="O139" s="662"/>
      <c r="P139" s="663"/>
      <c r="Q139" s="581"/>
      <c r="R139" s="483"/>
      <c r="S139" s="280"/>
      <c r="T139" s="317"/>
      <c r="U139" s="557"/>
      <c r="V139" s="326"/>
      <c r="W139" s="318"/>
      <c r="X139" s="245"/>
      <c r="Y139" s="644"/>
      <c r="Z139" s="645"/>
      <c r="AA139" s="326"/>
      <c r="AB139" s="326"/>
      <c r="AC139" s="280"/>
      <c r="AD139" s="317"/>
      <c r="AE139" s="318"/>
      <c r="AF139" s="318"/>
      <c r="AG139" s="26"/>
      <c r="AH139" s="27"/>
      <c r="AI139" s="630"/>
      <c r="AJ139" s="655">
        <v>129</v>
      </c>
    </row>
    <row r="140" spans="1:36" s="90" customFormat="1" ht="9.75" customHeight="1">
      <c r="A140" s="338">
        <v>130</v>
      </c>
      <c r="B140" s="677"/>
      <c r="C140" s="834"/>
      <c r="D140" s="665"/>
      <c r="E140" s="590"/>
      <c r="F140" s="567"/>
      <c r="G140" s="590"/>
      <c r="H140" s="589"/>
      <c r="I140" s="589"/>
      <c r="J140" s="589"/>
      <c r="K140" s="557"/>
      <c r="L140" s="449"/>
      <c r="M140" s="557"/>
      <c r="N140" s="449"/>
      <c r="O140" s="557"/>
      <c r="P140" s="449"/>
      <c r="Q140" s="581"/>
      <c r="R140" s="483"/>
      <c r="S140" s="280"/>
      <c r="T140" s="317"/>
      <c r="U140" s="591"/>
      <c r="V140" s="326"/>
      <c r="W140" s="318"/>
      <c r="X140" s="245"/>
      <c r="Y140" s="333"/>
      <c r="Z140" s="330"/>
      <c r="AA140" s="326"/>
      <c r="AB140" s="326"/>
      <c r="AC140" s="280"/>
      <c r="AD140" s="317"/>
      <c r="AE140" s="318"/>
      <c r="AF140" s="318"/>
      <c r="AG140" s="557"/>
      <c r="AH140" s="449"/>
      <c r="AI140" s="319"/>
      <c r="AJ140" s="655">
        <v>130</v>
      </c>
    </row>
    <row r="141" spans="1:36" s="90" customFormat="1" ht="9.75" customHeight="1">
      <c r="A141" s="338">
        <v>131</v>
      </c>
      <c r="B141" s="673"/>
      <c r="C141" s="837"/>
      <c r="D141" s="657"/>
      <c r="E141" s="582"/>
      <c r="F141" s="475"/>
      <c r="G141" s="594"/>
      <c r="H141" s="584"/>
      <c r="I141" s="584"/>
      <c r="J141" s="584"/>
      <c r="K141" s="23"/>
      <c r="L141" s="431"/>
      <c r="M141" s="23"/>
      <c r="N141" s="431"/>
      <c r="O141" s="23"/>
      <c r="P141" s="431"/>
      <c r="Q141" s="593"/>
      <c r="R141" s="592"/>
      <c r="S141" s="592"/>
      <c r="T141" s="317"/>
      <c r="U141" s="557"/>
      <c r="V141" s="326"/>
      <c r="W141" s="318"/>
      <c r="X141" s="245"/>
      <c r="Y141" s="622"/>
      <c r="Z141" s="623"/>
      <c r="AA141" s="326"/>
      <c r="AB141" s="326"/>
      <c r="AC141" s="280"/>
      <c r="AD141" s="317"/>
      <c r="AE141" s="317"/>
      <c r="AF141" s="317"/>
      <c r="AG141" s="472"/>
      <c r="AH141" s="479"/>
      <c r="AI141" s="630"/>
      <c r="AJ141" s="655">
        <v>131</v>
      </c>
    </row>
    <row r="142" spans="1:36" s="90" customFormat="1" ht="9.75" customHeight="1">
      <c r="A142" s="338">
        <v>132</v>
      </c>
      <c r="B142" s="676"/>
      <c r="C142" s="838"/>
      <c r="D142" s="665"/>
      <c r="E142" s="552"/>
      <c r="F142" s="461"/>
      <c r="G142" s="580"/>
      <c r="H142" s="552"/>
      <c r="I142" s="552"/>
      <c r="J142" s="552"/>
      <c r="K142" s="23"/>
      <c r="L142" s="431"/>
      <c r="M142" s="23"/>
      <c r="N142" s="431"/>
      <c r="O142" s="23"/>
      <c r="P142" s="431"/>
      <c r="Q142" s="593"/>
      <c r="R142" s="592"/>
      <c r="S142" s="592"/>
      <c r="T142" s="317"/>
      <c r="U142" s="557"/>
      <c r="V142" s="326"/>
      <c r="W142" s="318"/>
      <c r="X142" s="245"/>
      <c r="Y142" s="756"/>
      <c r="Z142" s="757"/>
      <c r="AA142" s="326"/>
      <c r="AB142" s="326"/>
      <c r="AC142" s="280"/>
      <c r="AD142" s="317"/>
      <c r="AE142" s="317"/>
      <c r="AF142" s="317"/>
      <c r="AG142" s="581"/>
      <c r="AH142" s="625"/>
      <c r="AI142" s="630"/>
      <c r="AJ142" s="655">
        <v>132</v>
      </c>
    </row>
    <row r="143" spans="1:36" s="90" customFormat="1" ht="9.75" customHeight="1">
      <c r="A143" s="338">
        <v>133</v>
      </c>
      <c r="B143" s="673"/>
      <c r="C143" s="837"/>
      <c r="D143" s="657"/>
      <c r="E143" s="597"/>
      <c r="F143" s="250"/>
      <c r="G143" s="580"/>
      <c r="H143" s="540"/>
      <c r="I143" s="540"/>
      <c r="J143" s="540"/>
      <c r="K143" s="578"/>
      <c r="L143" s="579"/>
      <c r="M143" s="578"/>
      <c r="N143" s="579"/>
      <c r="O143" s="578"/>
      <c r="P143" s="579"/>
      <c r="Q143" s="581"/>
      <c r="R143" s="483"/>
      <c r="S143" s="280"/>
      <c r="T143" s="317"/>
      <c r="U143" s="34"/>
      <c r="V143" s="326"/>
      <c r="W143" s="318"/>
      <c r="X143" s="245"/>
      <c r="Y143" s="646"/>
      <c r="Z143" s="711"/>
      <c r="AA143" s="326"/>
      <c r="AB143" s="326"/>
      <c r="AC143" s="280"/>
      <c r="AD143" s="317"/>
      <c r="AE143" s="317"/>
      <c r="AF143" s="317"/>
      <c r="AG143" s="488"/>
      <c r="AH143" s="592"/>
      <c r="AI143" s="319"/>
      <c r="AJ143" s="655">
        <v>133</v>
      </c>
    </row>
    <row r="144" spans="1:36" s="90" customFormat="1" ht="9.75" customHeight="1">
      <c r="A144" s="338">
        <v>134</v>
      </c>
      <c r="B144" s="675"/>
      <c r="C144" s="836"/>
      <c r="D144" s="656"/>
      <c r="E144" s="588"/>
      <c r="F144" s="658"/>
      <c r="G144" s="594"/>
      <c r="H144" s="31"/>
      <c r="I144" s="31"/>
      <c r="J144" s="31"/>
      <c r="K144" s="578"/>
      <c r="L144" s="579"/>
      <c r="M144" s="578"/>
      <c r="N144" s="579"/>
      <c r="O144" s="578"/>
      <c r="P144" s="579"/>
      <c r="Q144" s="596"/>
      <c r="R144" s="595"/>
      <c r="S144" s="280"/>
      <c r="T144" s="317"/>
      <c r="U144" s="578"/>
      <c r="V144" s="326"/>
      <c r="W144" s="318"/>
      <c r="X144" s="245"/>
      <c r="Y144" s="557"/>
      <c r="Z144" s="449"/>
      <c r="AA144" s="326"/>
      <c r="AB144" s="326"/>
      <c r="AC144" s="280"/>
      <c r="AD144" s="317"/>
      <c r="AE144" s="318"/>
      <c r="AF144" s="318"/>
      <c r="AG144" s="557"/>
      <c r="AH144" s="449"/>
      <c r="AI144" s="630"/>
      <c r="AJ144" s="655">
        <v>134</v>
      </c>
    </row>
    <row r="145" spans="1:36" s="90" customFormat="1" ht="9.75" customHeight="1">
      <c r="A145" s="338">
        <v>135</v>
      </c>
      <c r="B145" s="677"/>
      <c r="C145" s="834"/>
      <c r="D145" s="665"/>
      <c r="E145" s="719"/>
      <c r="F145" s="664"/>
      <c r="G145" s="580"/>
      <c r="H145" s="31"/>
      <c r="I145" s="540"/>
      <c r="J145" s="540"/>
      <c r="K145" s="659"/>
      <c r="L145" s="660"/>
      <c r="M145" s="659"/>
      <c r="N145" s="660"/>
      <c r="O145" s="659"/>
      <c r="P145" s="660"/>
      <c r="Q145" s="593"/>
      <c r="R145" s="592"/>
      <c r="S145" s="592"/>
      <c r="T145" s="317"/>
      <c r="U145" s="557"/>
      <c r="V145" s="326"/>
      <c r="W145" s="318"/>
      <c r="X145" s="245"/>
      <c r="Y145" s="391"/>
      <c r="Z145" s="392"/>
      <c r="AA145" s="326"/>
      <c r="AB145" s="326"/>
      <c r="AC145" s="280"/>
      <c r="AD145" s="317"/>
      <c r="AE145" s="317"/>
      <c r="AF145" s="317"/>
      <c r="AG145" s="391"/>
      <c r="AH145" s="392"/>
      <c r="AI145" s="319"/>
      <c r="AJ145" s="655">
        <v>135</v>
      </c>
    </row>
    <row r="146" spans="1:36" s="90" customFormat="1" ht="9.75" customHeight="1">
      <c r="A146" s="338">
        <v>136</v>
      </c>
      <c r="B146" s="677"/>
      <c r="C146" s="834"/>
      <c r="D146" s="665"/>
      <c r="E146" s="719"/>
      <c r="F146" s="664"/>
      <c r="G146" s="580"/>
      <c r="H146" s="31"/>
      <c r="I146" s="540"/>
      <c r="J146" s="540"/>
      <c r="K146" s="659"/>
      <c r="L146" s="660"/>
      <c r="M146" s="659"/>
      <c r="N146" s="660"/>
      <c r="O146" s="659"/>
      <c r="P146" s="660"/>
      <c r="Q146" s="593"/>
      <c r="R146" s="592"/>
      <c r="S146" s="592"/>
      <c r="T146" s="317"/>
      <c r="U146" s="557"/>
      <c r="V146" s="326"/>
      <c r="W146" s="318"/>
      <c r="X146" s="245"/>
      <c r="Y146" s="391"/>
      <c r="Z146" s="392"/>
      <c r="AA146" s="326"/>
      <c r="AB146" s="326"/>
      <c r="AC146" s="280"/>
      <c r="AD146" s="317"/>
      <c r="AE146" s="317"/>
      <c r="AF146" s="317"/>
      <c r="AG146" s="391"/>
      <c r="AH146" s="392"/>
      <c r="AI146" s="319"/>
      <c r="AJ146" s="655">
        <v>136</v>
      </c>
    </row>
    <row r="147" spans="1:36" s="90" customFormat="1" ht="9.75" customHeight="1">
      <c r="A147" s="338">
        <v>137</v>
      </c>
      <c r="B147" s="675"/>
      <c r="C147" s="836"/>
      <c r="D147" s="656"/>
      <c r="E147" s="580"/>
      <c r="F147" s="670"/>
      <c r="G147" s="580"/>
      <c r="H147" s="31"/>
      <c r="I147" s="540"/>
      <c r="J147" s="540"/>
      <c r="K147" s="596"/>
      <c r="L147" s="595"/>
      <c r="M147" s="596"/>
      <c r="N147" s="595"/>
      <c r="O147" s="596"/>
      <c r="P147" s="595"/>
      <c r="Q147" s="581"/>
      <c r="R147" s="483"/>
      <c r="S147" s="280"/>
      <c r="T147" s="317"/>
      <c r="U147" s="34"/>
      <c r="V147" s="326"/>
      <c r="W147" s="318"/>
      <c r="X147" s="245"/>
      <c r="Y147" s="488"/>
      <c r="Z147" s="625"/>
      <c r="AA147" s="326"/>
      <c r="AB147" s="326"/>
      <c r="AC147" s="280"/>
      <c r="AD147" s="317"/>
      <c r="AE147" s="317"/>
      <c r="AF147" s="317"/>
      <c r="AG147" s="488"/>
      <c r="AH147" s="625"/>
      <c r="AI147" s="630"/>
      <c r="AJ147" s="655">
        <v>137</v>
      </c>
    </row>
    <row r="148" spans="1:36" s="90" customFormat="1" ht="9.75" customHeight="1">
      <c r="A148" s="338">
        <v>138</v>
      </c>
      <c r="B148" s="675"/>
      <c r="C148" s="836"/>
      <c r="D148" s="656"/>
      <c r="E148" s="588"/>
      <c r="F148" s="658"/>
      <c r="G148" s="594"/>
      <c r="H148" s="31"/>
      <c r="I148" s="540"/>
      <c r="J148" s="540"/>
      <c r="K148" s="596"/>
      <c r="L148" s="595"/>
      <c r="M148" s="596"/>
      <c r="N148" s="595"/>
      <c r="O148" s="596"/>
      <c r="P148" s="595"/>
      <c r="Q148" s="596"/>
      <c r="R148" s="595"/>
      <c r="S148" s="280"/>
      <c r="T148" s="317"/>
      <c r="U148" s="578"/>
      <c r="V148" s="326"/>
      <c r="W148" s="318"/>
      <c r="X148" s="245"/>
      <c r="Y148" s="488"/>
      <c r="Z148" s="625"/>
      <c r="AA148" s="326"/>
      <c r="AB148" s="326"/>
      <c r="AC148" s="280"/>
      <c r="AD148" s="317"/>
      <c r="AE148" s="317"/>
      <c r="AF148" s="317"/>
      <c r="AG148" s="488"/>
      <c r="AH148" s="625"/>
      <c r="AI148" s="630"/>
      <c r="AJ148" s="655">
        <v>138</v>
      </c>
    </row>
    <row r="149" spans="1:36" s="90" customFormat="1" ht="9.75" customHeight="1">
      <c r="A149" s="338">
        <v>139</v>
      </c>
      <c r="B149" s="673"/>
      <c r="C149" s="837"/>
      <c r="D149" s="665"/>
      <c r="E149" s="590"/>
      <c r="F149" s="666"/>
      <c r="G149" s="590"/>
      <c r="H149" s="589"/>
      <c r="I149" s="597"/>
      <c r="J149" s="597"/>
      <c r="K149" s="593"/>
      <c r="L149" s="592"/>
      <c r="M149" s="593"/>
      <c r="N149" s="592"/>
      <c r="O149" s="593"/>
      <c r="P149" s="592"/>
      <c r="Q149" s="581"/>
      <c r="R149" s="483"/>
      <c r="S149" s="280"/>
      <c r="T149" s="317"/>
      <c r="U149" s="591"/>
      <c r="V149" s="326"/>
      <c r="W149" s="318"/>
      <c r="X149" s="245"/>
      <c r="Y149" s="593"/>
      <c r="Z149" s="592"/>
      <c r="AA149" s="326"/>
      <c r="AB149" s="326"/>
      <c r="AC149" s="280"/>
      <c r="AD149" s="317"/>
      <c r="AE149" s="317"/>
      <c r="AF149" s="317"/>
      <c r="AG149" s="593"/>
      <c r="AH149" s="592"/>
      <c r="AI149" s="630"/>
      <c r="AJ149" s="655">
        <v>139</v>
      </c>
    </row>
    <row r="150" spans="1:36" s="90" customFormat="1" ht="9.75" customHeight="1">
      <c r="A150" s="338">
        <v>140</v>
      </c>
      <c r="B150" s="676"/>
      <c r="C150" s="838"/>
      <c r="D150" s="656"/>
      <c r="E150" s="22"/>
      <c r="F150" s="720"/>
      <c r="G150" s="580"/>
      <c r="H150" s="22"/>
      <c r="I150" s="552"/>
      <c r="J150" s="552"/>
      <c r="K150" s="577"/>
      <c r="L150" s="577"/>
      <c r="M150" s="472"/>
      <c r="N150" s="479"/>
      <c r="O150" s="472"/>
      <c r="P150" s="479"/>
      <c r="Q150" s="593"/>
      <c r="R150" s="592"/>
      <c r="S150" s="592"/>
      <c r="T150" s="317"/>
      <c r="U150" s="557"/>
      <c r="V150" s="326"/>
      <c r="W150" s="318"/>
      <c r="X150" s="245"/>
      <c r="Y150" s="581"/>
      <c r="Z150" s="483"/>
      <c r="AA150" s="326"/>
      <c r="AB150" s="326"/>
      <c r="AC150" s="280"/>
      <c r="AD150" s="317"/>
      <c r="AE150" s="317"/>
      <c r="AF150" s="317"/>
      <c r="AG150" s="581"/>
      <c r="AH150" s="625"/>
      <c r="AI150" s="630"/>
      <c r="AJ150" s="655">
        <v>140</v>
      </c>
    </row>
    <row r="151" spans="1:36" s="90" customFormat="1" ht="9.75" customHeight="1">
      <c r="A151" s="338">
        <v>141</v>
      </c>
      <c r="B151" s="673"/>
      <c r="C151" s="837"/>
      <c r="D151" s="665"/>
      <c r="E151" s="589"/>
      <c r="F151" s="671"/>
      <c r="G151" s="580"/>
      <c r="H151" s="31"/>
      <c r="I151" s="540"/>
      <c r="J151" s="540"/>
      <c r="K151" s="596"/>
      <c r="L151" s="595"/>
      <c r="M151" s="596"/>
      <c r="N151" s="595"/>
      <c r="O151" s="596"/>
      <c r="P151" s="595"/>
      <c r="Q151" s="581"/>
      <c r="R151" s="483"/>
      <c r="S151" s="280"/>
      <c r="T151" s="317"/>
      <c r="U151" s="34"/>
      <c r="V151" s="326"/>
      <c r="W151" s="318"/>
      <c r="X151" s="245"/>
      <c r="Y151" s="488"/>
      <c r="Z151" s="625"/>
      <c r="AA151" s="326"/>
      <c r="AB151" s="326"/>
      <c r="AC151" s="280"/>
      <c r="AD151" s="317"/>
      <c r="AE151" s="317"/>
      <c r="AF151" s="317"/>
      <c r="AG151" s="488"/>
      <c r="AH151" s="592"/>
      <c r="AI151" s="630"/>
      <c r="AJ151" s="655">
        <v>141</v>
      </c>
    </row>
    <row r="152" spans="1:36" s="90" customFormat="1" ht="9.75" customHeight="1" thickBot="1">
      <c r="A152" s="338">
        <v>142</v>
      </c>
      <c r="B152" s="678"/>
      <c r="C152" s="839"/>
      <c r="D152" s="718"/>
      <c r="E152" s="679"/>
      <c r="F152" s="680"/>
      <c r="G152" s="681"/>
      <c r="H152" s="647"/>
      <c r="I152" s="647"/>
      <c r="J152" s="647"/>
      <c r="K152" s="682"/>
      <c r="L152" s="683"/>
      <c r="M152" s="682"/>
      <c r="N152" s="683"/>
      <c r="O152" s="682"/>
      <c r="P152" s="683"/>
      <c r="Q152" s="721"/>
      <c r="R152" s="722"/>
      <c r="S152" s="652"/>
      <c r="T152" s="648"/>
      <c r="U152" s="682"/>
      <c r="V152" s="649"/>
      <c r="W152" s="650"/>
      <c r="X152" s="651"/>
      <c r="Y152" s="723"/>
      <c r="Z152" s="684"/>
      <c r="AA152" s="649"/>
      <c r="AB152" s="649"/>
      <c r="AC152" s="652"/>
      <c r="AD152" s="648"/>
      <c r="AE152" s="648"/>
      <c r="AF152" s="648"/>
      <c r="AG152" s="685"/>
      <c r="AH152" s="684"/>
      <c r="AI152" s="686"/>
      <c r="AJ152" s="655">
        <v>142</v>
      </c>
    </row>
    <row r="153" spans="1:35" s="90" customFormat="1" ht="15.75" thickBot="1">
      <c r="A153" s="129"/>
      <c r="B153" s="130"/>
      <c r="C153" s="130"/>
      <c r="F153" s="131"/>
      <c r="H153" s="130"/>
      <c r="I153" s="130"/>
      <c r="J153" s="130"/>
      <c r="K153" s="132"/>
      <c r="L153" s="133"/>
      <c r="M153" s="132"/>
      <c r="N153" s="133"/>
      <c r="O153" s="132"/>
      <c r="P153" s="133"/>
      <c r="Q153" s="134"/>
      <c r="R153" s="135"/>
      <c r="S153" s="133"/>
      <c r="T153" s="132"/>
      <c r="U153" s="132"/>
      <c r="V153" s="137"/>
      <c r="W153" s="312"/>
      <c r="X153" s="139"/>
      <c r="Y153" s="313"/>
      <c r="Z153" s="304"/>
      <c r="AA153" s="327"/>
      <c r="AB153" s="327"/>
      <c r="AC153" s="139"/>
      <c r="AD153" s="312"/>
      <c r="AE153" s="312"/>
      <c r="AF153" s="312"/>
      <c r="AG153" s="132"/>
      <c r="AH153" s="141"/>
      <c r="AI153" s="132"/>
    </row>
    <row r="154" spans="1:36" s="142" customFormat="1" ht="12.75">
      <c r="A154" s="994" t="s">
        <v>84</v>
      </c>
      <c r="B154" s="995"/>
      <c r="C154" s="995"/>
      <c r="D154" s="995"/>
      <c r="E154" s="995"/>
      <c r="F154" s="995"/>
      <c r="G154" s="995"/>
      <c r="H154" s="995"/>
      <c r="I154" s="995"/>
      <c r="J154" s="995"/>
      <c r="K154" s="995"/>
      <c r="L154" s="995"/>
      <c r="M154" s="995"/>
      <c r="N154" s="995"/>
      <c r="O154" s="995"/>
      <c r="P154" s="995"/>
      <c r="Q154" s="995"/>
      <c r="R154" s="995"/>
      <c r="S154" s="995"/>
      <c r="T154" s="995"/>
      <c r="U154" s="995"/>
      <c r="V154" s="995"/>
      <c r="W154" s="995"/>
      <c r="X154" s="995"/>
      <c r="Y154" s="995"/>
      <c r="Z154" s="995"/>
      <c r="AA154" s="995"/>
      <c r="AB154" s="995"/>
      <c r="AC154" s="995"/>
      <c r="AD154" s="995"/>
      <c r="AE154" s="995"/>
      <c r="AF154" s="995"/>
      <c r="AG154" s="995"/>
      <c r="AH154" s="995"/>
      <c r="AI154" s="995"/>
      <c r="AJ154" s="996"/>
    </row>
    <row r="155" spans="1:36" s="142" customFormat="1" ht="12.75">
      <c r="A155" s="997"/>
      <c r="B155" s="998"/>
      <c r="C155" s="998"/>
      <c r="D155" s="998"/>
      <c r="E155" s="998"/>
      <c r="F155" s="998"/>
      <c r="G155" s="998"/>
      <c r="H155" s="998"/>
      <c r="I155" s="998"/>
      <c r="J155" s="998"/>
      <c r="K155" s="998"/>
      <c r="L155" s="998"/>
      <c r="M155" s="998"/>
      <c r="N155" s="998"/>
      <c r="O155" s="998"/>
      <c r="P155" s="998"/>
      <c r="Q155" s="998"/>
      <c r="R155" s="998"/>
      <c r="S155" s="998"/>
      <c r="T155" s="998"/>
      <c r="U155" s="998"/>
      <c r="V155" s="998"/>
      <c r="W155" s="998"/>
      <c r="X155" s="998"/>
      <c r="Y155" s="998"/>
      <c r="Z155" s="998"/>
      <c r="AA155" s="998"/>
      <c r="AB155" s="998"/>
      <c r="AC155" s="998"/>
      <c r="AD155" s="998"/>
      <c r="AE155" s="998"/>
      <c r="AF155" s="998"/>
      <c r="AG155" s="998"/>
      <c r="AH155" s="998"/>
      <c r="AI155" s="998"/>
      <c r="AJ155" s="999"/>
    </row>
    <row r="156" spans="1:36" s="142" customFormat="1" ht="12.75">
      <c r="A156" s="997"/>
      <c r="B156" s="998"/>
      <c r="C156" s="998"/>
      <c r="D156" s="998"/>
      <c r="E156" s="998"/>
      <c r="F156" s="998"/>
      <c r="G156" s="998"/>
      <c r="H156" s="998"/>
      <c r="I156" s="998"/>
      <c r="J156" s="998"/>
      <c r="K156" s="998"/>
      <c r="L156" s="998"/>
      <c r="M156" s="998"/>
      <c r="N156" s="998"/>
      <c r="O156" s="998"/>
      <c r="P156" s="998"/>
      <c r="Q156" s="998"/>
      <c r="R156" s="998"/>
      <c r="S156" s="998"/>
      <c r="T156" s="998"/>
      <c r="U156" s="998"/>
      <c r="V156" s="998"/>
      <c r="W156" s="998"/>
      <c r="X156" s="998"/>
      <c r="Y156" s="998"/>
      <c r="Z156" s="998"/>
      <c r="AA156" s="998"/>
      <c r="AB156" s="998"/>
      <c r="AC156" s="998"/>
      <c r="AD156" s="998"/>
      <c r="AE156" s="998"/>
      <c r="AF156" s="998"/>
      <c r="AG156" s="998"/>
      <c r="AH156" s="998"/>
      <c r="AI156" s="998"/>
      <c r="AJ156" s="999"/>
    </row>
    <row r="157" spans="1:36" s="142" customFormat="1" ht="12.75">
      <c r="A157" s="997"/>
      <c r="B157" s="998"/>
      <c r="C157" s="998"/>
      <c r="D157" s="998"/>
      <c r="E157" s="998"/>
      <c r="F157" s="998"/>
      <c r="G157" s="998"/>
      <c r="H157" s="998"/>
      <c r="I157" s="998"/>
      <c r="J157" s="998"/>
      <c r="K157" s="998"/>
      <c r="L157" s="998"/>
      <c r="M157" s="998"/>
      <c r="N157" s="998"/>
      <c r="O157" s="998"/>
      <c r="P157" s="998"/>
      <c r="Q157" s="998"/>
      <c r="R157" s="998"/>
      <c r="S157" s="998"/>
      <c r="T157" s="998"/>
      <c r="U157" s="998"/>
      <c r="V157" s="998"/>
      <c r="W157" s="998"/>
      <c r="X157" s="998"/>
      <c r="Y157" s="998"/>
      <c r="Z157" s="998"/>
      <c r="AA157" s="998"/>
      <c r="AB157" s="998"/>
      <c r="AC157" s="998"/>
      <c r="AD157" s="998"/>
      <c r="AE157" s="998"/>
      <c r="AF157" s="998"/>
      <c r="AG157" s="998"/>
      <c r="AH157" s="998"/>
      <c r="AI157" s="998"/>
      <c r="AJ157" s="999"/>
    </row>
    <row r="158" spans="1:36" s="142" customFormat="1" ht="12.75">
      <c r="A158" s="997"/>
      <c r="B158" s="998"/>
      <c r="C158" s="998"/>
      <c r="D158" s="998"/>
      <c r="E158" s="998"/>
      <c r="F158" s="998"/>
      <c r="G158" s="998"/>
      <c r="H158" s="998"/>
      <c r="I158" s="998"/>
      <c r="J158" s="998"/>
      <c r="K158" s="998"/>
      <c r="L158" s="998"/>
      <c r="M158" s="998"/>
      <c r="N158" s="998"/>
      <c r="O158" s="998"/>
      <c r="P158" s="998"/>
      <c r="Q158" s="998"/>
      <c r="R158" s="998"/>
      <c r="S158" s="998"/>
      <c r="T158" s="998"/>
      <c r="U158" s="998"/>
      <c r="V158" s="998"/>
      <c r="W158" s="998"/>
      <c r="X158" s="998"/>
      <c r="Y158" s="998"/>
      <c r="Z158" s="998"/>
      <c r="AA158" s="998"/>
      <c r="AB158" s="998"/>
      <c r="AC158" s="998"/>
      <c r="AD158" s="998"/>
      <c r="AE158" s="998"/>
      <c r="AF158" s="998"/>
      <c r="AG158" s="998"/>
      <c r="AH158" s="998"/>
      <c r="AI158" s="998"/>
      <c r="AJ158" s="999"/>
    </row>
    <row r="159" spans="1:36" s="142" customFormat="1" ht="13.5" thickBot="1">
      <c r="A159" s="1000"/>
      <c r="B159" s="1001"/>
      <c r="C159" s="1001"/>
      <c r="D159" s="1001"/>
      <c r="E159" s="1001"/>
      <c r="F159" s="1001"/>
      <c r="G159" s="1001"/>
      <c r="H159" s="1001"/>
      <c r="I159" s="1001"/>
      <c r="J159" s="1001"/>
      <c r="K159" s="1001"/>
      <c r="L159" s="1001"/>
      <c r="M159" s="1001"/>
      <c r="N159" s="1001"/>
      <c r="O159" s="1001"/>
      <c r="P159" s="1001"/>
      <c r="Q159" s="1001"/>
      <c r="R159" s="1001"/>
      <c r="S159" s="1001"/>
      <c r="T159" s="1001"/>
      <c r="U159" s="1001"/>
      <c r="V159" s="1001"/>
      <c r="W159" s="1001"/>
      <c r="X159" s="1001"/>
      <c r="Y159" s="1001"/>
      <c r="Z159" s="1001"/>
      <c r="AA159" s="1001"/>
      <c r="AB159" s="1001"/>
      <c r="AC159" s="1001"/>
      <c r="AD159" s="1001"/>
      <c r="AE159" s="1001"/>
      <c r="AF159" s="1001"/>
      <c r="AG159" s="1001"/>
      <c r="AH159" s="1001"/>
      <c r="AI159" s="1001"/>
      <c r="AJ159" s="1002"/>
    </row>
    <row r="166" ht="18">
      <c r="E166" s="315"/>
    </row>
    <row r="167" ht="18">
      <c r="E167" s="158"/>
    </row>
  </sheetData>
  <sheetProtection formatCells="0" formatColumns="0" formatRows="0" insertColumns="0" insertRows="0" insertHyperlinks="0" deleteColumns="0" deleteRows="0" sort="0" autoFilter="0" pivotTables="0"/>
  <mergeCells count="39">
    <mergeCell ref="AA7:AB7"/>
    <mergeCell ref="S9:T9"/>
    <mergeCell ref="U9:V9"/>
    <mergeCell ref="W7:X7"/>
    <mergeCell ref="U7:V7"/>
    <mergeCell ref="AC9:AD9"/>
    <mergeCell ref="AG6:AJ6"/>
    <mergeCell ref="W6:X6"/>
    <mergeCell ref="Y6:Z6"/>
    <mergeCell ref="AA6:AB6"/>
    <mergeCell ref="AC6:AD6"/>
    <mergeCell ref="AG7:AH7"/>
    <mergeCell ref="AC7:AD7"/>
    <mergeCell ref="AA9:AB9"/>
    <mergeCell ref="Y7:Z7"/>
    <mergeCell ref="K9:L9"/>
    <mergeCell ref="M9:N9"/>
    <mergeCell ref="O9:P9"/>
    <mergeCell ref="Q9:R9"/>
    <mergeCell ref="Y5:AJ5"/>
    <mergeCell ref="A154:AJ159"/>
    <mergeCell ref="E6:H6"/>
    <mergeCell ref="I6:J6"/>
    <mergeCell ref="K6:V6"/>
    <mergeCell ref="K7:L7"/>
    <mergeCell ref="M7:N7"/>
    <mergeCell ref="O7:P7"/>
    <mergeCell ref="Q7:R7"/>
    <mergeCell ref="S7:T7"/>
    <mergeCell ref="AE7:AF7"/>
    <mergeCell ref="AE9:AF9"/>
    <mergeCell ref="A5:F5"/>
    <mergeCell ref="Y1:AC1"/>
    <mergeCell ref="AD1:AJ1"/>
    <mergeCell ref="Y4:AC4"/>
    <mergeCell ref="A1:J1"/>
    <mergeCell ref="A2:J2"/>
    <mergeCell ref="A3:J3"/>
    <mergeCell ref="A4:F4"/>
  </mergeCells>
  <hyperlinks>
    <hyperlink ref="Y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I124:AI134 AI15:AI56 AI62:AI95" formula="1"/>
    <ignoredError sqref="AG124:AH129 AG13:AH59 AH60:AH92 AG60:AG88 AG90:AG92" unlockedFormula="1"/>
  </ignoredErrors>
  <drawing r:id="rId3"/>
</worksheet>
</file>

<file path=xl/worksheets/sheet2.xml><?xml version="1.0" encoding="utf-8"?>
<worksheet xmlns="http://schemas.openxmlformats.org/spreadsheetml/2006/main" xmlns:r="http://schemas.openxmlformats.org/officeDocument/2006/relationships">
  <dimension ref="A1:K234"/>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4.421875" style="143" bestFit="1" customWidth="1"/>
    <col min="2" max="2" width="43.28125" style="146" bestFit="1" customWidth="1"/>
    <col min="3" max="3" width="7.8515625" style="147" bestFit="1" customWidth="1"/>
    <col min="4" max="4" width="19.7109375" style="147" bestFit="1" customWidth="1"/>
    <col min="5" max="5" width="5.8515625" style="147" bestFit="1" customWidth="1"/>
    <col min="6" max="6" width="8.140625" style="149" bestFit="1" customWidth="1"/>
    <col min="7" max="7" width="12.28125" style="146" bestFit="1" customWidth="1"/>
    <col min="8" max="8" width="8.8515625" style="146" bestFit="1" customWidth="1"/>
    <col min="9" max="9" width="9.140625" style="146" bestFit="1" customWidth="1"/>
    <col min="10" max="10" width="4.421875" style="146" bestFit="1" customWidth="1"/>
    <col min="11" max="11" width="6.8515625" style="550" customWidth="1"/>
    <col min="12" max="15" width="6.8515625" style="146" customWidth="1"/>
    <col min="16" max="16384" width="4.421875" style="146" customWidth="1"/>
  </cols>
  <sheetData>
    <row r="1" spans="1:11" s="53" customFormat="1" ht="25.5">
      <c r="A1" s="1011" t="s">
        <v>173</v>
      </c>
      <c r="B1" s="1012"/>
      <c r="C1" s="1012"/>
      <c r="D1" s="1012"/>
      <c r="E1" s="1012"/>
      <c r="F1" s="1012"/>
      <c r="G1" s="1013"/>
      <c r="H1" s="1013"/>
      <c r="I1" s="1013"/>
      <c r="J1" s="1013"/>
      <c r="K1" s="544"/>
    </row>
    <row r="2" spans="1:11" s="53" customFormat="1" ht="18.75">
      <c r="A2" s="1014" t="s">
        <v>174</v>
      </c>
      <c r="B2" s="1015"/>
      <c r="C2" s="1015"/>
      <c r="D2" s="1015"/>
      <c r="E2" s="1015"/>
      <c r="F2" s="1015"/>
      <c r="G2" s="1013"/>
      <c r="H2" s="1013"/>
      <c r="I2" s="1013"/>
      <c r="J2" s="1013"/>
      <c r="K2" s="544"/>
    </row>
    <row r="3" spans="1:11" s="53" customFormat="1" ht="27" thickBot="1">
      <c r="A3" s="987" t="s">
        <v>133</v>
      </c>
      <c r="B3" s="988"/>
      <c r="C3" s="988"/>
      <c r="D3" s="988"/>
      <c r="E3" s="988"/>
      <c r="F3" s="988"/>
      <c r="G3" s="1016"/>
      <c r="H3" s="1016"/>
      <c r="I3" s="1016"/>
      <c r="J3" s="1016"/>
      <c r="K3" s="544"/>
    </row>
    <row r="4" spans="1:11" s="53" customFormat="1" ht="32.25">
      <c r="A4" s="1007" t="s">
        <v>461</v>
      </c>
      <c r="B4" s="1008"/>
      <c r="C4" s="1008"/>
      <c r="D4" s="56"/>
      <c r="E4" s="56"/>
      <c r="F4" s="56"/>
      <c r="G4" s="169"/>
      <c r="H4" s="170"/>
      <c r="I4" s="169"/>
      <c r="J4" s="169"/>
      <c r="K4" s="544"/>
    </row>
    <row r="5" spans="1:11" s="53" customFormat="1" ht="33" thickBot="1">
      <c r="A5" s="1009" t="s">
        <v>460</v>
      </c>
      <c r="B5" s="979"/>
      <c r="C5" s="979"/>
      <c r="D5" s="57"/>
      <c r="E5" s="57"/>
      <c r="F5" s="57"/>
      <c r="G5" s="1010"/>
      <c r="H5" s="1010"/>
      <c r="I5" s="1010"/>
      <c r="J5" s="1010"/>
      <c r="K5" s="544"/>
    </row>
    <row r="6" spans="1:11" s="60" customFormat="1" ht="15.75" customHeight="1" thickBot="1">
      <c r="A6" s="58"/>
      <c r="B6" s="1017" t="s">
        <v>116</v>
      </c>
      <c r="C6" s="1017"/>
      <c r="D6" s="1017"/>
      <c r="E6" s="1017"/>
      <c r="F6" s="59"/>
      <c r="G6" s="1017" t="s">
        <v>114</v>
      </c>
      <c r="H6" s="1017"/>
      <c r="I6" s="1017"/>
      <c r="J6" s="1017"/>
      <c r="K6" s="545"/>
    </row>
    <row r="7" spans="1:11" s="64" customFormat="1" ht="12.75" customHeight="1">
      <c r="A7" s="61"/>
      <c r="B7" s="1"/>
      <c r="C7" s="63" t="s">
        <v>85</v>
      </c>
      <c r="D7" s="1"/>
      <c r="E7" s="1" t="s">
        <v>88</v>
      </c>
      <c r="F7" s="1" t="s">
        <v>90</v>
      </c>
      <c r="G7" s="1018"/>
      <c r="H7" s="1018"/>
      <c r="I7" s="62" t="s">
        <v>100</v>
      </c>
      <c r="J7" s="62"/>
      <c r="K7" s="546"/>
    </row>
    <row r="8" spans="1:11" s="64" customFormat="1" ht="13.5" thickBot="1">
      <c r="A8" s="65"/>
      <c r="B8" s="67" t="s">
        <v>9</v>
      </c>
      <c r="C8" s="68" t="s">
        <v>86</v>
      </c>
      <c r="D8" s="69" t="s">
        <v>1</v>
      </c>
      <c r="E8" s="69" t="s">
        <v>87</v>
      </c>
      <c r="F8" s="69" t="s">
        <v>85</v>
      </c>
      <c r="G8" s="66" t="s">
        <v>7</v>
      </c>
      <c r="H8" s="66" t="s">
        <v>6</v>
      </c>
      <c r="I8" s="66" t="s">
        <v>101</v>
      </c>
      <c r="J8" s="66"/>
      <c r="K8" s="546"/>
    </row>
    <row r="9" spans="1:11" s="78" customFormat="1" ht="12.75" customHeight="1">
      <c r="A9" s="73"/>
      <c r="B9" s="73"/>
      <c r="C9" s="74" t="s">
        <v>92</v>
      </c>
      <c r="D9" s="73"/>
      <c r="E9" s="73" t="s">
        <v>95</v>
      </c>
      <c r="F9" s="73" t="s">
        <v>98</v>
      </c>
      <c r="G9" s="77"/>
      <c r="H9" s="77"/>
      <c r="I9" s="75" t="s">
        <v>106</v>
      </c>
      <c r="J9" s="75"/>
      <c r="K9" s="547"/>
    </row>
    <row r="10" spans="1:11" s="78" customFormat="1" ht="13.5" thickBot="1">
      <c r="A10" s="285"/>
      <c r="B10" s="283" t="s">
        <v>91</v>
      </c>
      <c r="C10" s="284" t="s">
        <v>93</v>
      </c>
      <c r="D10" s="285" t="s">
        <v>94</v>
      </c>
      <c r="E10" s="285" t="s">
        <v>96</v>
      </c>
      <c r="F10" s="285" t="s">
        <v>99</v>
      </c>
      <c r="G10" s="289" t="s">
        <v>105</v>
      </c>
      <c r="H10" s="289" t="s">
        <v>107</v>
      </c>
      <c r="I10" s="289" t="s">
        <v>107</v>
      </c>
      <c r="J10" s="79"/>
      <c r="K10" s="547"/>
    </row>
    <row r="11" spans="1:11" s="90" customFormat="1" ht="12" customHeight="1">
      <c r="A11" s="576">
        <v>1</v>
      </c>
      <c r="B11" s="964" t="s">
        <v>24</v>
      </c>
      <c r="C11" s="965">
        <v>40550</v>
      </c>
      <c r="D11" s="935" t="s">
        <v>23</v>
      </c>
      <c r="E11" s="966">
        <v>356</v>
      </c>
      <c r="F11" s="966">
        <v>36</v>
      </c>
      <c r="G11" s="870">
        <v>36672644</v>
      </c>
      <c r="H11" s="871">
        <v>3947085</v>
      </c>
      <c r="I11" s="878">
        <f>+G11/H11</f>
        <v>9.291070245510294</v>
      </c>
      <c r="J11" s="89">
        <v>1</v>
      </c>
      <c r="K11" s="548"/>
    </row>
    <row r="12" spans="1:11" s="90" customFormat="1" ht="12" customHeight="1">
      <c r="A12" s="91">
        <v>2</v>
      </c>
      <c r="B12" s="967" t="s">
        <v>22</v>
      </c>
      <c r="C12" s="113">
        <v>40578</v>
      </c>
      <c r="D12" s="588" t="s">
        <v>23</v>
      </c>
      <c r="E12" s="882">
        <v>224</v>
      </c>
      <c r="F12" s="882">
        <v>33</v>
      </c>
      <c r="G12" s="344">
        <v>21904816</v>
      </c>
      <c r="H12" s="342">
        <v>2417103</v>
      </c>
      <c r="I12" s="296">
        <f>+G12/H12</f>
        <v>9.062425556544342</v>
      </c>
      <c r="J12" s="99">
        <v>2</v>
      </c>
      <c r="K12" s="548">
        <v>1</v>
      </c>
    </row>
    <row r="13" spans="1:11" s="90" customFormat="1" ht="12" customHeight="1">
      <c r="A13" s="91">
        <v>3</v>
      </c>
      <c r="B13" s="205" t="s">
        <v>455</v>
      </c>
      <c r="C13" s="2">
        <v>40571</v>
      </c>
      <c r="D13" s="588" t="s">
        <v>28</v>
      </c>
      <c r="E13" s="24">
        <v>364</v>
      </c>
      <c r="F13" s="882">
        <v>20</v>
      </c>
      <c r="G13" s="333">
        <f>9270289+4217769.25+1762200.5+76.25+863944.5+635392-7+421743.5+30+17848+42283+4475+2710+9188.5+236+9382+7318+3597+3597+3597+2398+6645+5080+3603</f>
        <v>17293395.5</v>
      </c>
      <c r="H13" s="330">
        <f>1060415+493112+207846+16+104665+81570-1+60457+6+2952+6890+337+594+1519+29+1560+1216+600+600+600+400+1107+847+720</f>
        <v>2028057</v>
      </c>
      <c r="I13" s="296">
        <f>+G13/H13</f>
        <v>8.527075668977746</v>
      </c>
      <c r="J13" s="99">
        <v>3</v>
      </c>
      <c r="K13" s="548">
        <v>1</v>
      </c>
    </row>
    <row r="14" spans="1:11" s="90" customFormat="1" ht="12" customHeight="1">
      <c r="A14" s="91">
        <v>4</v>
      </c>
      <c r="B14" s="968" t="s">
        <v>65</v>
      </c>
      <c r="C14" s="113">
        <v>40682</v>
      </c>
      <c r="D14" s="588" t="s">
        <v>23</v>
      </c>
      <c r="E14" s="882">
        <v>115</v>
      </c>
      <c r="F14" s="882">
        <v>19</v>
      </c>
      <c r="G14" s="344">
        <v>13110710</v>
      </c>
      <c r="H14" s="342">
        <v>1167879</v>
      </c>
      <c r="I14" s="296">
        <f>+G14/H14</f>
        <v>11.226085921572354</v>
      </c>
      <c r="J14" s="89">
        <v>4</v>
      </c>
      <c r="K14" s="548"/>
    </row>
    <row r="15" spans="1:11" s="90" customFormat="1" ht="12" customHeight="1">
      <c r="A15" s="91">
        <v>5</v>
      </c>
      <c r="B15" s="229" t="s">
        <v>396</v>
      </c>
      <c r="C15" s="2">
        <v>40760</v>
      </c>
      <c r="D15" s="588" t="s">
        <v>10</v>
      </c>
      <c r="E15" s="181">
        <v>184</v>
      </c>
      <c r="F15" s="3">
        <v>8</v>
      </c>
      <c r="G15" s="49">
        <f>10775246+204918+99</f>
        <v>10980263</v>
      </c>
      <c r="H15" s="50">
        <f>1039444+26101</f>
        <v>1065545</v>
      </c>
      <c r="I15" s="1098">
        <f>+G15/H15</f>
        <v>10.304832738176238</v>
      </c>
      <c r="J15" s="99">
        <v>5</v>
      </c>
      <c r="K15" s="548">
        <v>1</v>
      </c>
    </row>
    <row r="16" spans="1:11" s="90" customFormat="1" ht="12" customHeight="1">
      <c r="A16" s="91">
        <v>6</v>
      </c>
      <c r="B16" s="602" t="s">
        <v>373</v>
      </c>
      <c r="C16" s="567">
        <v>40739</v>
      </c>
      <c r="D16" s="588" t="s">
        <v>10</v>
      </c>
      <c r="E16" s="5">
        <v>277</v>
      </c>
      <c r="F16" s="3">
        <v>11</v>
      </c>
      <c r="G16" s="49">
        <v>7907046</v>
      </c>
      <c r="H16" s="50">
        <v>794378</v>
      </c>
      <c r="I16" s="276">
        <f>+G16/H16</f>
        <v>9.95375753104945</v>
      </c>
      <c r="J16" s="99">
        <v>6</v>
      </c>
      <c r="K16" s="548"/>
    </row>
    <row r="17" spans="1:11" s="90" customFormat="1" ht="12" customHeight="1">
      <c r="A17" s="91">
        <v>7</v>
      </c>
      <c r="B17" s="951" t="s">
        <v>15</v>
      </c>
      <c r="C17" s="32">
        <v>40599</v>
      </c>
      <c r="D17" s="588" t="s">
        <v>10</v>
      </c>
      <c r="E17" s="882">
        <v>246</v>
      </c>
      <c r="F17" s="882">
        <v>25</v>
      </c>
      <c r="G17" s="49">
        <v>7559500</v>
      </c>
      <c r="H17" s="50">
        <v>849743</v>
      </c>
      <c r="I17" s="276">
        <f>+G17/H17</f>
        <v>8.896219209808143</v>
      </c>
      <c r="J17" s="89">
        <v>7</v>
      </c>
      <c r="K17" s="548"/>
    </row>
    <row r="18" spans="1:11" s="90" customFormat="1" ht="12" customHeight="1">
      <c r="A18" s="91">
        <v>8</v>
      </c>
      <c r="B18" s="200" t="s">
        <v>177</v>
      </c>
      <c r="C18" s="2">
        <v>40550</v>
      </c>
      <c r="D18" s="114" t="s">
        <v>28</v>
      </c>
      <c r="E18" s="3">
        <v>243</v>
      </c>
      <c r="F18" s="240">
        <v>20</v>
      </c>
      <c r="G18" s="866">
        <f>3050831.5+2178855.5+1196710.5+496983-200+210922.5+72277.5+4+43197.5+17348.5+5963-21+911+2090+3211+288+13851+660+6810+66+156+103+3603</f>
        <v>7304621.5</v>
      </c>
      <c r="H18" s="342">
        <f>393137+282255+156413+64920+60+27548+10641+7089+3227+1196+161+455+643+72+2547+132+1127+11+26+25+720</f>
        <v>952405</v>
      </c>
      <c r="I18" s="98">
        <f>+G18/H18</f>
        <v>7.669658916112368</v>
      </c>
      <c r="J18" s="99">
        <v>8</v>
      </c>
      <c r="K18" s="548"/>
    </row>
    <row r="19" spans="1:11" s="90" customFormat="1" ht="12" customHeight="1">
      <c r="A19" s="91">
        <v>9</v>
      </c>
      <c r="B19" s="950" t="s">
        <v>423</v>
      </c>
      <c r="C19" s="113">
        <v>40723</v>
      </c>
      <c r="D19" s="588" t="s">
        <v>23</v>
      </c>
      <c r="E19" s="181">
        <v>75</v>
      </c>
      <c r="F19" s="33">
        <v>13</v>
      </c>
      <c r="G19" s="344">
        <v>6851629</v>
      </c>
      <c r="H19" s="342">
        <v>645244</v>
      </c>
      <c r="I19" s="276">
        <f>+G19/H19</f>
        <v>10.618663637321696</v>
      </c>
      <c r="J19" s="89">
        <v>9</v>
      </c>
      <c r="K19" s="548"/>
    </row>
    <row r="20" spans="1:11" s="90" customFormat="1" ht="12" customHeight="1">
      <c r="A20" s="91">
        <v>10</v>
      </c>
      <c r="B20" s="603" t="s">
        <v>48</v>
      </c>
      <c r="C20" s="113">
        <v>40613</v>
      </c>
      <c r="D20" s="580" t="s">
        <v>10</v>
      </c>
      <c r="E20" s="588">
        <v>280</v>
      </c>
      <c r="F20" s="22">
        <v>17</v>
      </c>
      <c r="G20" s="331">
        <v>6559712</v>
      </c>
      <c r="H20" s="332">
        <v>736320</v>
      </c>
      <c r="I20" s="319">
        <f>G20/H20</f>
        <v>8.90877879182964</v>
      </c>
      <c r="J20" s="99">
        <v>10</v>
      </c>
      <c r="K20" s="548"/>
    </row>
    <row r="21" spans="1:11" s="90" customFormat="1" ht="12" customHeight="1">
      <c r="A21" s="91">
        <v>11</v>
      </c>
      <c r="B21" s="950" t="s">
        <v>416</v>
      </c>
      <c r="C21" s="32">
        <v>40774</v>
      </c>
      <c r="D21" s="588" t="s">
        <v>23</v>
      </c>
      <c r="E21" s="181">
        <v>123</v>
      </c>
      <c r="F21" s="33">
        <v>6</v>
      </c>
      <c r="G21" s="344">
        <v>6432534</v>
      </c>
      <c r="H21" s="342">
        <v>614256</v>
      </c>
      <c r="I21" s="1098">
        <f>G21/H21</f>
        <v>10.472073532859264</v>
      </c>
      <c r="J21" s="89">
        <v>11</v>
      </c>
      <c r="K21" s="548"/>
    </row>
    <row r="22" spans="1:11" s="90" customFormat="1" ht="12" customHeight="1">
      <c r="A22" s="91">
        <v>12</v>
      </c>
      <c r="B22" s="171" t="s">
        <v>52</v>
      </c>
      <c r="C22" s="32">
        <v>40662</v>
      </c>
      <c r="D22" s="114" t="s">
        <v>23</v>
      </c>
      <c r="E22" s="33">
        <v>172</v>
      </c>
      <c r="F22" s="33">
        <v>20</v>
      </c>
      <c r="G22" s="344">
        <v>6032408</v>
      </c>
      <c r="H22" s="342">
        <v>664847</v>
      </c>
      <c r="I22" s="101">
        <f>G22/H22</f>
        <v>9.073377784663238</v>
      </c>
      <c r="J22" s="99">
        <v>12</v>
      </c>
      <c r="K22" s="548"/>
    </row>
    <row r="23" spans="1:11" s="90" customFormat="1" ht="12" customHeight="1">
      <c r="A23" s="91">
        <v>13</v>
      </c>
      <c r="B23" s="466" t="s">
        <v>25</v>
      </c>
      <c r="C23" s="185">
        <v>40627</v>
      </c>
      <c r="D23" s="588" t="s">
        <v>31</v>
      </c>
      <c r="E23" s="33">
        <v>137</v>
      </c>
      <c r="F23" s="186">
        <v>22</v>
      </c>
      <c r="G23" s="17">
        <f>1066061.5+1061275+813239.75+606216+468367.5+266511+137274.5+89937.5+9478+4671.5+2215.5+593.5+2273.5+2234+1858+10514.5+2603+2122+2001+349+713</f>
        <v>4550509.25</v>
      </c>
      <c r="H23" s="18">
        <f>110278+106719+82858+62672+50883+32012+17904+13463+1427+637+352+91+261+268+240+2410+402+325+272+26+178</f>
        <v>483678</v>
      </c>
      <c r="I23" s="1098">
        <f>G23/H23</f>
        <v>9.408137748667501</v>
      </c>
      <c r="J23" s="99">
        <v>13</v>
      </c>
      <c r="K23" s="548"/>
    </row>
    <row r="24" spans="1:11" s="90" customFormat="1" ht="12" customHeight="1">
      <c r="A24" s="91">
        <v>14</v>
      </c>
      <c r="B24" s="282" t="s">
        <v>12</v>
      </c>
      <c r="C24" s="113">
        <v>40564</v>
      </c>
      <c r="D24" s="114" t="s">
        <v>10</v>
      </c>
      <c r="E24" s="119">
        <v>109</v>
      </c>
      <c r="F24" s="5">
        <v>20</v>
      </c>
      <c r="G24" s="49">
        <f>3982498+1190</f>
        <v>3983688</v>
      </c>
      <c r="H24" s="50">
        <f>404938+238</f>
        <v>405176</v>
      </c>
      <c r="I24" s="101">
        <f>G24/H24</f>
        <v>9.831993997670148</v>
      </c>
      <c r="J24" s="89">
        <v>14</v>
      </c>
      <c r="K24" s="548"/>
    </row>
    <row r="25" spans="1:11" s="90" customFormat="1" ht="12" customHeight="1">
      <c r="A25" s="91">
        <v>15</v>
      </c>
      <c r="B25" s="967" t="s">
        <v>229</v>
      </c>
      <c r="C25" s="113">
        <v>40704</v>
      </c>
      <c r="D25" s="588" t="s">
        <v>23</v>
      </c>
      <c r="E25" s="181">
        <v>144</v>
      </c>
      <c r="F25" s="33">
        <v>16</v>
      </c>
      <c r="G25" s="344">
        <v>3693410</v>
      </c>
      <c r="H25" s="342">
        <v>337409</v>
      </c>
      <c r="I25" s="1099">
        <f>G25/H25</f>
        <v>10.946388507716154</v>
      </c>
      <c r="J25" s="99">
        <v>15</v>
      </c>
      <c r="K25" s="548"/>
    </row>
    <row r="26" spans="1:11" s="90" customFormat="1" ht="12" customHeight="1">
      <c r="A26" s="91">
        <v>16</v>
      </c>
      <c r="B26" s="603" t="s">
        <v>387</v>
      </c>
      <c r="C26" s="113">
        <v>40662</v>
      </c>
      <c r="D26" s="580" t="s">
        <v>23</v>
      </c>
      <c r="E26" s="31">
        <v>241</v>
      </c>
      <c r="F26" s="31">
        <v>14</v>
      </c>
      <c r="G26" s="574">
        <v>3640745</v>
      </c>
      <c r="H26" s="330">
        <v>319460</v>
      </c>
      <c r="I26" s="319">
        <f>+G26/H26</f>
        <v>11.396559819695737</v>
      </c>
      <c r="J26" s="89">
        <v>16</v>
      </c>
      <c r="K26" s="548"/>
    </row>
    <row r="27" spans="1:11" s="90" customFormat="1" ht="12" customHeight="1">
      <c r="A27" s="91">
        <v>17</v>
      </c>
      <c r="B27" s="492" t="s">
        <v>30</v>
      </c>
      <c r="C27" s="433">
        <v>40641</v>
      </c>
      <c r="D27" s="588" t="s">
        <v>31</v>
      </c>
      <c r="E27" s="186">
        <v>137</v>
      </c>
      <c r="F27" s="186">
        <v>25</v>
      </c>
      <c r="G27" s="17">
        <f>1093950.25+883807.25+882248.49+232093.5+101981.5+57830.5+19947.5+33359.5+10973.5+10465+4630+3501.5+10659+9758.5+3633+5790+6145.5+1329.5+1868.5+1128+2980.5+1299.5+16988+15449+14138</f>
        <v>3425955.49</v>
      </c>
      <c r="H27" s="18">
        <f>103570+88345+90215+25333+13427+8958+3731+5336+2366+2057+997+691+1831+2140+654+1021+736+207+401+189+424+234+4142+3841+3526</f>
        <v>364372</v>
      </c>
      <c r="I27" s="276">
        <f>+G27/H27</f>
        <v>9.402356630037435</v>
      </c>
      <c r="J27" s="99">
        <v>17</v>
      </c>
      <c r="K27" s="548"/>
    </row>
    <row r="28" spans="1:11" s="90" customFormat="1" ht="12" customHeight="1">
      <c r="A28" s="91">
        <v>18</v>
      </c>
      <c r="B28" s="282" t="s">
        <v>250</v>
      </c>
      <c r="C28" s="32">
        <v>40697</v>
      </c>
      <c r="D28" s="114" t="s">
        <v>10</v>
      </c>
      <c r="E28" s="3">
        <v>101</v>
      </c>
      <c r="F28" s="3">
        <v>15</v>
      </c>
      <c r="G28" s="49">
        <v>3361913</v>
      </c>
      <c r="H28" s="50">
        <v>316461</v>
      </c>
      <c r="I28" s="98">
        <f>+G28/H28</f>
        <v>10.623467030692565</v>
      </c>
      <c r="J28" s="89">
        <v>18</v>
      </c>
      <c r="K28" s="548"/>
    </row>
    <row r="29" spans="1:11" s="90" customFormat="1" ht="12" customHeight="1">
      <c r="A29" s="91">
        <v>19</v>
      </c>
      <c r="B29" s="602" t="s">
        <v>443</v>
      </c>
      <c r="C29" s="113">
        <v>40795</v>
      </c>
      <c r="D29" s="588" t="s">
        <v>10</v>
      </c>
      <c r="E29" s="5">
        <v>142</v>
      </c>
      <c r="F29" s="3">
        <v>3</v>
      </c>
      <c r="G29" s="49">
        <v>3008294</v>
      </c>
      <c r="H29" s="50">
        <v>281318</v>
      </c>
      <c r="I29" s="276">
        <f>+G29/H29</f>
        <v>10.69357097661721</v>
      </c>
      <c r="J29" s="99">
        <v>19</v>
      </c>
      <c r="K29" s="548">
        <v>1</v>
      </c>
    </row>
    <row r="30" spans="1:11" s="90" customFormat="1" ht="12" customHeight="1">
      <c r="A30" s="91">
        <v>20</v>
      </c>
      <c r="B30" s="180" t="s">
        <v>178</v>
      </c>
      <c r="C30" s="32">
        <v>40905</v>
      </c>
      <c r="D30" s="251" t="s">
        <v>23</v>
      </c>
      <c r="E30" s="33">
        <v>200</v>
      </c>
      <c r="F30" s="33">
        <v>12</v>
      </c>
      <c r="G30" s="47">
        <v>2981369</v>
      </c>
      <c r="H30" s="48">
        <v>243539</v>
      </c>
      <c r="I30" s="281">
        <f>+G30/H30</f>
        <v>12.241854487371633</v>
      </c>
      <c r="J30" s="99">
        <v>20</v>
      </c>
      <c r="K30" s="548"/>
    </row>
    <row r="31" spans="1:11" s="90" customFormat="1" ht="12" customHeight="1">
      <c r="A31" s="91">
        <v>21</v>
      </c>
      <c r="B31" s="951" t="s">
        <v>398</v>
      </c>
      <c r="C31" s="113">
        <v>40760</v>
      </c>
      <c r="D31" s="588" t="s">
        <v>31</v>
      </c>
      <c r="E31" s="181">
        <v>101</v>
      </c>
      <c r="F31" s="186">
        <v>8</v>
      </c>
      <c r="G31" s="17">
        <f>1123387+667871.5+450599+390225.5+158633+89754+30860+15969.5</f>
        <v>2927299.5</v>
      </c>
      <c r="H31" s="18">
        <f>108166+64485+43907+41233+19918+12468+4923+2605</f>
        <v>297705</v>
      </c>
      <c r="I31" s="1098">
        <f>+G31/H31</f>
        <v>9.832886582355016</v>
      </c>
      <c r="J31" s="89">
        <v>21</v>
      </c>
      <c r="K31" s="548"/>
    </row>
    <row r="32" spans="1:11" s="90" customFormat="1" ht="12" customHeight="1">
      <c r="A32" s="91">
        <v>22</v>
      </c>
      <c r="B32" s="611" t="s">
        <v>179</v>
      </c>
      <c r="C32" s="562">
        <v>40578</v>
      </c>
      <c r="D32" s="561" t="s">
        <v>21</v>
      </c>
      <c r="E32" s="563">
        <v>79</v>
      </c>
      <c r="F32" s="563">
        <v>10</v>
      </c>
      <c r="G32" s="51">
        <v>2674923.5</v>
      </c>
      <c r="H32" s="290">
        <v>221196</v>
      </c>
      <c r="I32" s="276">
        <v>12.093001229678656</v>
      </c>
      <c r="J32" s="99">
        <v>22</v>
      </c>
      <c r="K32" s="548">
        <v>1</v>
      </c>
    </row>
    <row r="33" spans="1:11" s="90" customFormat="1" ht="12" customHeight="1">
      <c r="A33" s="91">
        <v>23</v>
      </c>
      <c r="B33" s="205" t="s">
        <v>20</v>
      </c>
      <c r="C33" s="2">
        <v>40620</v>
      </c>
      <c r="D33" s="588" t="s">
        <v>21</v>
      </c>
      <c r="E33" s="5">
        <v>218</v>
      </c>
      <c r="F33" s="3">
        <v>25</v>
      </c>
      <c r="G33" s="51">
        <f>868723.5+629960.75+471670+272432+164061+97109.5+34971.5+29195+10591.5+4973+1214+25859.5+8228+5222+126+1321+161+8414+5940+170+7722+2970+242+249+16632</f>
        <v>2668158.25</v>
      </c>
      <c r="H33" s="48">
        <f>93361+70981+54177+33865+22657+14644+6278+5343+1965+923+199+3609+1160+736+18+257+23+1598+1188+23+1386+594+42+42+3326</f>
        <v>318395</v>
      </c>
      <c r="I33" s="276">
        <f>+G33/H33</f>
        <v>8.380025597135633</v>
      </c>
      <c r="J33" s="89">
        <v>23</v>
      </c>
      <c r="K33" s="548"/>
    </row>
    <row r="34" spans="1:11" s="90" customFormat="1" ht="12" customHeight="1">
      <c r="A34" s="91">
        <v>24</v>
      </c>
      <c r="B34" s="205" t="s">
        <v>180</v>
      </c>
      <c r="C34" s="2">
        <v>40557</v>
      </c>
      <c r="D34" s="21" t="s">
        <v>8</v>
      </c>
      <c r="E34" s="5">
        <v>66</v>
      </c>
      <c r="F34" s="5">
        <v>13</v>
      </c>
      <c r="G34" s="15">
        <v>2599014</v>
      </c>
      <c r="H34" s="16">
        <v>251543</v>
      </c>
      <c r="I34" s="296">
        <f>+G34/H34</f>
        <v>10.332285136139745</v>
      </c>
      <c r="J34" s="99">
        <v>24</v>
      </c>
      <c r="K34" s="548"/>
    </row>
    <row r="35" spans="1:11" s="90" customFormat="1" ht="12" customHeight="1">
      <c r="A35" s="91">
        <v>25</v>
      </c>
      <c r="B35" s="262" t="s">
        <v>16</v>
      </c>
      <c r="C35" s="32">
        <v>40599</v>
      </c>
      <c r="D35" s="114" t="s">
        <v>31</v>
      </c>
      <c r="E35" s="33">
        <v>58</v>
      </c>
      <c r="F35" s="33">
        <v>20</v>
      </c>
      <c r="G35" s="17">
        <f>949627.55+646695.25+355755.95+109363.25+47014.5+33893+37764+26018+18120.5+5385+3265+2580+4844+2732.5+917+1899+1425.5+124+1419+224</f>
        <v>2249067</v>
      </c>
      <c r="H35" s="18">
        <f>77399+54036+29350+9290+5968+4492+5157+3726+2500+804+552+417+1095+683+110+228+357+21+164+39</f>
        <v>196388</v>
      </c>
      <c r="I35" s="98">
        <f>+G35/H35</f>
        <v>11.452161028168728</v>
      </c>
      <c r="J35" s="89">
        <v>25</v>
      </c>
      <c r="K35" s="548"/>
    </row>
    <row r="36" spans="1:11" s="90" customFormat="1" ht="12" customHeight="1">
      <c r="A36" s="91">
        <v>26</v>
      </c>
      <c r="B36" s="951" t="s">
        <v>424</v>
      </c>
      <c r="C36" s="32">
        <v>40781</v>
      </c>
      <c r="D36" s="588" t="s">
        <v>31</v>
      </c>
      <c r="E36" s="181">
        <v>96</v>
      </c>
      <c r="F36" s="186">
        <v>5</v>
      </c>
      <c r="G36" s="17">
        <f>29056+844874+618474.25+386880.75+207889+130968.5</f>
        <v>2218142.5</v>
      </c>
      <c r="H36" s="18">
        <f>4385+80857+63348+40336+22079+15879</f>
        <v>226884</v>
      </c>
      <c r="I36" s="276">
        <f>+G36/H36</f>
        <v>9.776548809083055</v>
      </c>
      <c r="J36" s="99">
        <v>26</v>
      </c>
      <c r="K36" s="548"/>
    </row>
    <row r="37" spans="1:11" s="90" customFormat="1" ht="12" customHeight="1">
      <c r="A37" s="91">
        <v>27</v>
      </c>
      <c r="B37" s="202" t="s">
        <v>26</v>
      </c>
      <c r="C37" s="2">
        <v>40606</v>
      </c>
      <c r="D37" s="580" t="s">
        <v>21</v>
      </c>
      <c r="E37" s="22">
        <v>152</v>
      </c>
      <c r="F37" s="22">
        <v>18</v>
      </c>
      <c r="G37" s="619">
        <f>1064857.25+602581.25+269086.5+86552+70688+40243.5+15124.5+5534.5+5248.5+1364+305+140+147+994+250+240+70+55</f>
        <v>2163481</v>
      </c>
      <c r="H37" s="575">
        <f>118954+67997+33243+12973+11521+6623+2561+922+800+239+45+20+21+199+36+34+14+11</f>
        <v>256213</v>
      </c>
      <c r="I37" s="630">
        <f>+G37/H37</f>
        <v>8.444071924531542</v>
      </c>
      <c r="J37" s="99">
        <v>27</v>
      </c>
      <c r="K37" s="548"/>
    </row>
    <row r="38" spans="1:11" s="90" customFormat="1" ht="12" customHeight="1">
      <c r="A38" s="91">
        <v>28</v>
      </c>
      <c r="B38" s="192" t="s">
        <v>219</v>
      </c>
      <c r="C38" s="32">
        <v>40697</v>
      </c>
      <c r="D38" s="588" t="s">
        <v>31</v>
      </c>
      <c r="E38" s="181">
        <v>111</v>
      </c>
      <c r="F38" s="186">
        <v>17</v>
      </c>
      <c r="G38" s="17">
        <f>1292+812789+521835.5+296398.75+210726.75+106359.5+46956.5+15908+8715+4517.5+1879+2596.5+764+381+221+175+260+1654.5</f>
        <v>2033429.5</v>
      </c>
      <c r="H38" s="18">
        <f>124+79271+51753+30277+22107+12041+6459+2442+1421+653+309+602+108+53+31+25+52+399</f>
        <v>208127</v>
      </c>
      <c r="I38" s="1098">
        <f>G38/H38</f>
        <v>9.770137944620352</v>
      </c>
      <c r="J38" s="89">
        <v>28</v>
      </c>
      <c r="K38" s="548">
        <v>1</v>
      </c>
    </row>
    <row r="39" spans="1:11" s="90" customFormat="1" ht="12" customHeight="1">
      <c r="A39" s="91">
        <v>29</v>
      </c>
      <c r="B39" s="716" t="s">
        <v>13</v>
      </c>
      <c r="C39" s="32">
        <v>40585</v>
      </c>
      <c r="D39" s="588" t="s">
        <v>31</v>
      </c>
      <c r="E39" s="33">
        <v>58</v>
      </c>
      <c r="F39" s="186">
        <v>33</v>
      </c>
      <c r="G39" s="17">
        <f>236018+209847.25+105622+138051.5+64189.5+34454+20202.5+27754+16946+8179.5+9672.5+8494+21812+25095+12109+8066+3824+4092+15394+226700+172575.5+127465+93972+96529+77366.5+63475.5+48505.5+31769.5+29482+10986+6164+59+1093.5</f>
        <v>1955965.75</v>
      </c>
      <c r="H39" s="18">
        <f>25731+24506+13184+19079+9581+4996+3067+4392+3122+1175+1530+1410+3175+3587+1436+923+420+447+1629+25969+20073+15455+11876+13635+10490+9269+7265+5116+4049+1598+1517+8+257</f>
        <v>249967</v>
      </c>
      <c r="I39" s="1098">
        <f>G39/H39</f>
        <v>7.824895886256986</v>
      </c>
      <c r="J39" s="99">
        <v>29</v>
      </c>
      <c r="K39" s="548"/>
    </row>
    <row r="40" spans="1:11" s="90" customFormat="1" ht="12" customHeight="1">
      <c r="A40" s="91">
        <v>30</v>
      </c>
      <c r="B40" s="171" t="s">
        <v>233</v>
      </c>
      <c r="C40" s="32">
        <v>40711</v>
      </c>
      <c r="D40" s="114" t="s">
        <v>23</v>
      </c>
      <c r="E40" s="33">
        <v>151</v>
      </c>
      <c r="F40" s="33">
        <v>12</v>
      </c>
      <c r="G40" s="754">
        <v>1953368</v>
      </c>
      <c r="H40" s="173">
        <v>218384</v>
      </c>
      <c r="I40" s="101">
        <f>G40/H40</f>
        <v>8.944647959557477</v>
      </c>
      <c r="J40" s="89">
        <v>30</v>
      </c>
      <c r="K40" s="548"/>
    </row>
    <row r="41" spans="1:11" s="90" customFormat="1" ht="12" customHeight="1">
      <c r="A41" s="91">
        <v>31</v>
      </c>
      <c r="B41" s="171" t="s">
        <v>132</v>
      </c>
      <c r="C41" s="32">
        <v>40592</v>
      </c>
      <c r="D41" s="114" t="s">
        <v>23</v>
      </c>
      <c r="E41" s="33">
        <v>27</v>
      </c>
      <c r="F41" s="33">
        <v>30</v>
      </c>
      <c r="G41" s="341">
        <v>1913085</v>
      </c>
      <c r="H41" s="342">
        <v>154705</v>
      </c>
      <c r="I41" s="101">
        <f>G41/H41</f>
        <v>12.366019197828125</v>
      </c>
      <c r="J41" s="99">
        <v>31</v>
      </c>
      <c r="K41" s="548"/>
    </row>
    <row r="42" spans="1:11" s="90" customFormat="1" ht="12" customHeight="1">
      <c r="A42" s="91">
        <v>32</v>
      </c>
      <c r="B42" s="952" t="s">
        <v>435</v>
      </c>
      <c r="C42" s="113">
        <v>40788</v>
      </c>
      <c r="D42" s="588" t="s">
        <v>23</v>
      </c>
      <c r="E42" s="181">
        <v>89</v>
      </c>
      <c r="F42" s="33">
        <v>4</v>
      </c>
      <c r="G42" s="341">
        <v>1876531</v>
      </c>
      <c r="H42" s="342">
        <v>182267</v>
      </c>
      <c r="I42" s="1098">
        <f>G42/H42</f>
        <v>10.295506043332034</v>
      </c>
      <c r="J42" s="89">
        <v>32</v>
      </c>
      <c r="K42" s="548"/>
    </row>
    <row r="43" spans="1:11" s="90" customFormat="1" ht="12" customHeight="1">
      <c r="A43" s="91">
        <v>33</v>
      </c>
      <c r="B43" s="609" t="s">
        <v>32</v>
      </c>
      <c r="C43" s="185">
        <v>40641</v>
      </c>
      <c r="D43" s="580" t="s">
        <v>31</v>
      </c>
      <c r="E43" s="585">
        <v>128</v>
      </c>
      <c r="F43" s="585">
        <v>16</v>
      </c>
      <c r="G43" s="644">
        <f>740297.75+546709.5+343470.5+98979.5+54338.5+38190+7487.5+1828+3682+2538+1902+1842+1707+2347+1130+280</f>
        <v>1846729.25</v>
      </c>
      <c r="H43" s="645">
        <f>69545+52953+34357+10790+6857+5964+1318+450+785+380+463+294+268+587+226+28</f>
        <v>185265</v>
      </c>
      <c r="I43" s="630">
        <f>+G43/H43</f>
        <v>9.968041724016949</v>
      </c>
      <c r="J43" s="99">
        <v>33</v>
      </c>
      <c r="K43" s="548">
        <v>1</v>
      </c>
    </row>
    <row r="44" spans="1:11" s="90" customFormat="1" ht="12" customHeight="1">
      <c r="A44" s="91">
        <v>34</v>
      </c>
      <c r="B44" s="214" t="s">
        <v>34</v>
      </c>
      <c r="C44" s="32">
        <v>40620</v>
      </c>
      <c r="D44" s="594" t="s">
        <v>23</v>
      </c>
      <c r="E44" s="22">
        <v>65</v>
      </c>
      <c r="F44" s="31">
        <v>20</v>
      </c>
      <c r="G44" s="574">
        <v>1754359</v>
      </c>
      <c r="H44" s="173">
        <v>185241</v>
      </c>
      <c r="I44" s="630">
        <f>+G44/H44</f>
        <v>9.47068413580147</v>
      </c>
      <c r="J44" s="99">
        <v>34</v>
      </c>
      <c r="K44" s="548"/>
    </row>
    <row r="45" spans="1:11" s="90" customFormat="1" ht="12" customHeight="1">
      <c r="A45" s="91">
        <v>35</v>
      </c>
      <c r="B45" s="466" t="s">
        <v>129</v>
      </c>
      <c r="C45" s="185">
        <v>40564</v>
      </c>
      <c r="D45" s="114" t="s">
        <v>31</v>
      </c>
      <c r="E45" s="186">
        <v>160</v>
      </c>
      <c r="F45" s="186">
        <v>14</v>
      </c>
      <c r="G45" s="17">
        <f>1102015+435620.5+74279.5+50432+22961.5+6480+10204+220+1188+476+80+190+87+104</f>
        <v>1704337.5</v>
      </c>
      <c r="H45" s="18">
        <f>144071+60233+10598+7830+4045+1284+2234+29+297+67+11+26+12+14</f>
        <v>230751</v>
      </c>
      <c r="I45" s="98">
        <f>+G45/H45</f>
        <v>7.386045997633813</v>
      </c>
      <c r="J45" s="89">
        <v>35</v>
      </c>
      <c r="K45" s="548"/>
    </row>
    <row r="46" spans="1:11" s="90" customFormat="1" ht="12" customHeight="1">
      <c r="A46" s="91">
        <v>36</v>
      </c>
      <c r="B46" s="282" t="s">
        <v>253</v>
      </c>
      <c r="C46" s="113">
        <v>40627</v>
      </c>
      <c r="D46" s="114" t="s">
        <v>10</v>
      </c>
      <c r="E46" s="119">
        <v>73</v>
      </c>
      <c r="F46" s="5">
        <v>11</v>
      </c>
      <c r="G46" s="49">
        <v>1684954</v>
      </c>
      <c r="H46" s="50">
        <v>154099</v>
      </c>
      <c r="I46" s="101">
        <f>G46/H46</f>
        <v>10.934230592022011</v>
      </c>
      <c r="J46" s="99">
        <v>36</v>
      </c>
      <c r="K46" s="548">
        <v>1</v>
      </c>
    </row>
    <row r="47" spans="1:11" s="90" customFormat="1" ht="12" customHeight="1">
      <c r="A47" s="91">
        <v>37</v>
      </c>
      <c r="B47" s="200" t="s">
        <v>181</v>
      </c>
      <c r="C47" s="2">
        <v>40585</v>
      </c>
      <c r="D47" s="19" t="s">
        <v>10</v>
      </c>
      <c r="E47" s="3">
        <v>89</v>
      </c>
      <c r="F47" s="3">
        <v>13</v>
      </c>
      <c r="G47" s="49">
        <v>1439120</v>
      </c>
      <c r="H47" s="50">
        <v>144531</v>
      </c>
      <c r="I47" s="275">
        <f>+G47/H47</f>
        <v>9.957171817810712</v>
      </c>
      <c r="J47" s="89">
        <v>37</v>
      </c>
      <c r="K47" s="548"/>
    </row>
    <row r="48" spans="1:11" s="90" customFormat="1" ht="12" customHeight="1">
      <c r="A48" s="91">
        <v>38</v>
      </c>
      <c r="B48" s="200" t="s">
        <v>248</v>
      </c>
      <c r="C48" s="2">
        <v>40627</v>
      </c>
      <c r="D48" s="19" t="s">
        <v>10</v>
      </c>
      <c r="E48" s="3">
        <v>126</v>
      </c>
      <c r="F48" s="3">
        <v>6</v>
      </c>
      <c r="G48" s="49">
        <v>1419139</v>
      </c>
      <c r="H48" s="50">
        <v>127317</v>
      </c>
      <c r="I48" s="297">
        <f>+G48/H48</f>
        <v>11.146500467337434</v>
      </c>
      <c r="J48" s="99">
        <v>38</v>
      </c>
      <c r="K48" s="548"/>
    </row>
    <row r="49" spans="1:11" s="90" customFormat="1" ht="12" customHeight="1">
      <c r="A49" s="91">
        <v>39</v>
      </c>
      <c r="B49" s="262" t="s">
        <v>126</v>
      </c>
      <c r="C49" s="32">
        <v>40543</v>
      </c>
      <c r="D49" s="588" t="s">
        <v>31</v>
      </c>
      <c r="E49" s="31">
        <v>99</v>
      </c>
      <c r="F49" s="31">
        <v>24</v>
      </c>
      <c r="G49" s="644">
        <f>74157.5+721285.5+410076+112730.5+28262.5+6646+19483.5+940+1245+2674.5+7128+1782+331+245+6545.5+694+1782+1782+1782+1188+306+1188+3340+316+713</f>
        <v>1406623.5</v>
      </c>
      <c r="H49" s="645">
        <f>7361+62279+35611+10987+4077+689+3901+125+178+502+1781+445+78+59+1496+114+446+446+446+297+61+297+668+53+178</f>
        <v>132575</v>
      </c>
      <c r="I49" s="296">
        <f>+G49/H49</f>
        <v>10.610020742975674</v>
      </c>
      <c r="J49" s="89">
        <v>39</v>
      </c>
      <c r="K49" s="548"/>
    </row>
    <row r="50" spans="1:11" s="90" customFormat="1" ht="12" customHeight="1">
      <c r="A50" s="91">
        <v>40</v>
      </c>
      <c r="B50" s="214" t="s">
        <v>182</v>
      </c>
      <c r="C50" s="32">
        <v>40557</v>
      </c>
      <c r="D50" s="594" t="s">
        <v>23</v>
      </c>
      <c r="E50" s="5">
        <v>129</v>
      </c>
      <c r="F50" s="33">
        <v>32</v>
      </c>
      <c r="G50" s="754">
        <v>1387835</v>
      </c>
      <c r="H50" s="173">
        <v>124574</v>
      </c>
      <c r="I50" s="98">
        <f>+G50/H50</f>
        <v>11.140647326087306</v>
      </c>
      <c r="J50" s="99">
        <v>40</v>
      </c>
      <c r="K50" s="548"/>
    </row>
    <row r="51" spans="1:11" s="90" customFormat="1" ht="12" customHeight="1">
      <c r="A51" s="91">
        <v>41</v>
      </c>
      <c r="B51" s="200" t="s">
        <v>358</v>
      </c>
      <c r="C51" s="2">
        <v>40613</v>
      </c>
      <c r="D51" s="19" t="s">
        <v>21</v>
      </c>
      <c r="E51" s="3">
        <v>89</v>
      </c>
      <c r="F51" s="3">
        <v>8</v>
      </c>
      <c r="G51" s="51">
        <f>621196.5+432703+128317.5+127575.5+6914.5+46+54+128</f>
        <v>1316935</v>
      </c>
      <c r="H51" s="1151">
        <f>55015+39897+12333+11559+853+5+10+19</f>
        <v>119691</v>
      </c>
      <c r="I51" s="276">
        <f>IF(G51&lt;&gt;0,G51/H51,"")</f>
        <v>11.002790518919552</v>
      </c>
      <c r="J51" s="99">
        <v>41</v>
      </c>
      <c r="K51" s="548"/>
    </row>
    <row r="52" spans="1:11" s="90" customFormat="1" ht="12" customHeight="1">
      <c r="A52" s="91">
        <v>42</v>
      </c>
      <c r="B52" s="609" t="s">
        <v>183</v>
      </c>
      <c r="C52" s="185">
        <v>40557</v>
      </c>
      <c r="D52" s="580" t="s">
        <v>31</v>
      </c>
      <c r="E52" s="585">
        <v>50</v>
      </c>
      <c r="F52" s="585">
        <v>20</v>
      </c>
      <c r="G52" s="644">
        <f>462199.75+464711.5+220315+61757.25+29707.5+19286.5+8649+8790+1188+2323+1706+5301+3087+570+1164+1417+434+1188+504</f>
        <v>1294298.5</v>
      </c>
      <c r="H52" s="645">
        <f>36851+37511+17353+5020+3902+3186+1212+1112+297+256+244+743+557+80+151+194+70+297+85</f>
        <v>109121</v>
      </c>
      <c r="I52" s="319">
        <f>+G52/H52</f>
        <v>11.86113122130479</v>
      </c>
      <c r="J52" s="89">
        <v>42</v>
      </c>
      <c r="K52" s="548"/>
    </row>
    <row r="53" spans="1:11" s="90" customFormat="1" ht="12" customHeight="1">
      <c r="A53" s="91">
        <v>43</v>
      </c>
      <c r="B53" s="214" t="s">
        <v>255</v>
      </c>
      <c r="C53" s="32">
        <v>40606</v>
      </c>
      <c r="D53" s="594" t="s">
        <v>23</v>
      </c>
      <c r="E53" s="3">
        <v>104</v>
      </c>
      <c r="F53" s="33">
        <v>25</v>
      </c>
      <c r="G53" s="754">
        <v>1283248</v>
      </c>
      <c r="H53" s="173">
        <v>132907</v>
      </c>
      <c r="I53" s="98">
        <f>+G53/H53</f>
        <v>9.655232606258512</v>
      </c>
      <c r="J53" s="99">
        <v>43</v>
      </c>
      <c r="K53" s="548"/>
    </row>
    <row r="54" spans="1:11" s="90" customFormat="1" ht="12" customHeight="1">
      <c r="A54" s="91">
        <v>44</v>
      </c>
      <c r="B54" s="171" t="s">
        <v>350</v>
      </c>
      <c r="C54" s="32">
        <v>40732</v>
      </c>
      <c r="D54" s="114" t="s">
        <v>23</v>
      </c>
      <c r="E54" s="33">
        <v>81</v>
      </c>
      <c r="F54" s="33">
        <v>10</v>
      </c>
      <c r="G54" s="344">
        <v>1277527</v>
      </c>
      <c r="H54" s="342">
        <v>122229</v>
      </c>
      <c r="I54" s="101">
        <f>G54/H54</f>
        <v>10.45191403022196</v>
      </c>
      <c r="J54" s="89">
        <v>44</v>
      </c>
      <c r="K54" s="548">
        <v>1</v>
      </c>
    </row>
    <row r="55" spans="1:11" s="90" customFormat="1" ht="12" customHeight="1">
      <c r="A55" s="91">
        <v>45</v>
      </c>
      <c r="B55" s="967" t="s">
        <v>228</v>
      </c>
      <c r="C55" s="113">
        <v>40606</v>
      </c>
      <c r="D55" s="588" t="s">
        <v>23</v>
      </c>
      <c r="E55" s="181">
        <v>93</v>
      </c>
      <c r="F55" s="33">
        <v>30</v>
      </c>
      <c r="G55" s="341">
        <v>1225458</v>
      </c>
      <c r="H55" s="342">
        <v>110263</v>
      </c>
      <c r="I55" s="276">
        <f>+G55/H55</f>
        <v>11.11395481711907</v>
      </c>
      <c r="J55" s="99">
        <v>45</v>
      </c>
      <c r="K55" s="548">
        <v>1</v>
      </c>
    </row>
    <row r="56" spans="1:11" s="90" customFormat="1" ht="12" customHeight="1">
      <c r="A56" s="91">
        <v>46</v>
      </c>
      <c r="B56" s="602" t="s">
        <v>406</v>
      </c>
      <c r="C56" s="113">
        <v>40767</v>
      </c>
      <c r="D56" s="588" t="s">
        <v>10</v>
      </c>
      <c r="E56" s="119">
        <v>56</v>
      </c>
      <c r="F56" s="3">
        <v>7</v>
      </c>
      <c r="G56" s="49">
        <v>1224807</v>
      </c>
      <c r="H56" s="50">
        <v>106635</v>
      </c>
      <c r="I56" s="276">
        <f>+G56/H56</f>
        <v>11.485975523983683</v>
      </c>
      <c r="J56" s="89">
        <v>46</v>
      </c>
      <c r="K56" s="548">
        <v>1</v>
      </c>
    </row>
    <row r="57" spans="1:11" s="90" customFormat="1" ht="12" customHeight="1">
      <c r="A57" s="91">
        <v>47</v>
      </c>
      <c r="B57" s="558" t="s">
        <v>59</v>
      </c>
      <c r="C57" s="113">
        <v>40676</v>
      </c>
      <c r="D57" s="114" t="s">
        <v>23</v>
      </c>
      <c r="E57" s="33">
        <v>100</v>
      </c>
      <c r="F57" s="33">
        <v>18</v>
      </c>
      <c r="G57" s="344">
        <v>1172257</v>
      </c>
      <c r="H57" s="342">
        <v>127964</v>
      </c>
      <c r="I57" s="101">
        <f>G57/H57</f>
        <v>9.160834297146073</v>
      </c>
      <c r="J57" s="99">
        <v>47</v>
      </c>
      <c r="K57" s="548"/>
    </row>
    <row r="58" spans="1:11" s="90" customFormat="1" ht="12" customHeight="1">
      <c r="A58" s="91">
        <v>48</v>
      </c>
      <c r="B58" s="282" t="s">
        <v>41</v>
      </c>
      <c r="C58" s="113">
        <v>40655</v>
      </c>
      <c r="D58" s="114" t="s">
        <v>10</v>
      </c>
      <c r="E58" s="119">
        <v>70</v>
      </c>
      <c r="F58" s="6">
        <v>7</v>
      </c>
      <c r="G58" s="1152">
        <v>1151198</v>
      </c>
      <c r="H58" s="1153">
        <v>109336</v>
      </c>
      <c r="I58" s="101">
        <f>G58/H58</f>
        <v>10.528993195287919</v>
      </c>
      <c r="J58" s="99">
        <v>48</v>
      </c>
      <c r="K58" s="548"/>
    </row>
    <row r="59" spans="1:11" s="90" customFormat="1" ht="12" customHeight="1">
      <c r="A59" s="91">
        <v>49</v>
      </c>
      <c r="B59" s="282" t="s">
        <v>246</v>
      </c>
      <c r="C59" s="113">
        <v>40620</v>
      </c>
      <c r="D59" s="114" t="s">
        <v>10</v>
      </c>
      <c r="E59" s="115">
        <v>89</v>
      </c>
      <c r="F59" s="554">
        <v>11</v>
      </c>
      <c r="G59" s="852">
        <v>1137795</v>
      </c>
      <c r="H59" s="853">
        <v>113358</v>
      </c>
      <c r="I59" s="319">
        <f>G59/H59</f>
        <v>10.037183083681787</v>
      </c>
      <c r="J59" s="89">
        <v>49</v>
      </c>
      <c r="K59" s="548">
        <v>1</v>
      </c>
    </row>
    <row r="60" spans="1:11" s="90" customFormat="1" ht="12" customHeight="1">
      <c r="A60" s="91">
        <v>50</v>
      </c>
      <c r="B60" s="205" t="s">
        <v>184</v>
      </c>
      <c r="C60" s="2">
        <v>40613</v>
      </c>
      <c r="D60" s="20" t="s">
        <v>139</v>
      </c>
      <c r="E60" s="5">
        <v>105</v>
      </c>
      <c r="F60" s="6">
        <v>10</v>
      </c>
      <c r="G60" s="959">
        <v>895090.5</v>
      </c>
      <c r="H60" s="960">
        <v>101557</v>
      </c>
      <c r="I60" s="275">
        <f>+G60/H60</f>
        <v>8.813676063688373</v>
      </c>
      <c r="J60" s="99">
        <v>50</v>
      </c>
      <c r="K60" s="548"/>
    </row>
    <row r="61" spans="1:11" s="90" customFormat="1" ht="12" customHeight="1">
      <c r="A61" s="91">
        <v>51</v>
      </c>
      <c r="B61" s="603" t="s">
        <v>58</v>
      </c>
      <c r="C61" s="113">
        <v>40676</v>
      </c>
      <c r="D61" s="580" t="s">
        <v>10</v>
      </c>
      <c r="E61" s="588">
        <v>112</v>
      </c>
      <c r="F61" s="552">
        <v>12</v>
      </c>
      <c r="G61" s="852">
        <v>889611</v>
      </c>
      <c r="H61" s="853">
        <v>94485</v>
      </c>
      <c r="I61" s="319">
        <f>G61/H61</f>
        <v>9.415367518653754</v>
      </c>
      <c r="J61" s="89">
        <v>51</v>
      </c>
      <c r="K61" s="548"/>
    </row>
    <row r="62" spans="1:11" s="90" customFormat="1" ht="12" customHeight="1">
      <c r="A62" s="91">
        <v>52</v>
      </c>
      <c r="B62" s="192" t="s">
        <v>35</v>
      </c>
      <c r="C62" s="32">
        <v>40648</v>
      </c>
      <c r="D62" s="588" t="s">
        <v>31</v>
      </c>
      <c r="E62" s="882">
        <v>72</v>
      </c>
      <c r="F62" s="902">
        <v>23</v>
      </c>
      <c r="G62" s="961">
        <f>313705+218661+94172+73484.5+60319.5+15976+18868+7512+25645.5+15093+6591+2599+2683+1937.5+1629+2257+1715+1468+632+686+483+950+882</f>
        <v>867949</v>
      </c>
      <c r="H62" s="962">
        <f>29673+21437+10530+10169+8845+2631+2981+1155+3600+2641+1030+393+512+262+251+329+256+223+101+108+77+153+142</f>
        <v>97499</v>
      </c>
      <c r="I62" s="296">
        <f>+G62/H62</f>
        <v>8.902132329562354</v>
      </c>
      <c r="J62" s="99">
        <v>52</v>
      </c>
      <c r="K62" s="548"/>
    </row>
    <row r="63" spans="1:11" s="90" customFormat="1" ht="12" customHeight="1">
      <c r="A63" s="91">
        <v>53</v>
      </c>
      <c r="B63" s="282" t="s">
        <v>415</v>
      </c>
      <c r="C63" s="631">
        <v>40620</v>
      </c>
      <c r="D63" s="594" t="s">
        <v>23</v>
      </c>
      <c r="E63" s="589">
        <v>51</v>
      </c>
      <c r="F63" s="589">
        <v>22</v>
      </c>
      <c r="G63" s="646">
        <v>856424</v>
      </c>
      <c r="H63" s="869">
        <v>74107</v>
      </c>
      <c r="I63" s="630">
        <f>+G63/H63</f>
        <v>11.556587097035369</v>
      </c>
      <c r="J63" s="89">
        <v>53</v>
      </c>
      <c r="K63" s="548">
        <v>1</v>
      </c>
    </row>
    <row r="64" spans="1:11" s="90" customFormat="1" ht="12" customHeight="1">
      <c r="A64" s="91">
        <v>54</v>
      </c>
      <c r="B64" s="602" t="s">
        <v>18</v>
      </c>
      <c r="C64" s="113">
        <v>40620</v>
      </c>
      <c r="D64" s="594" t="s">
        <v>8</v>
      </c>
      <c r="E64" s="5">
        <v>37</v>
      </c>
      <c r="F64" s="5">
        <v>20</v>
      </c>
      <c r="G64" s="15">
        <v>852143</v>
      </c>
      <c r="H64" s="16">
        <v>76620</v>
      </c>
      <c r="I64" s="101">
        <f>G64/H64</f>
        <v>11.121678412947011</v>
      </c>
      <c r="J64" s="99">
        <v>54</v>
      </c>
      <c r="K64" s="548"/>
    </row>
    <row r="65" spans="1:11" s="90" customFormat="1" ht="12" customHeight="1">
      <c r="A65" s="91">
        <v>55</v>
      </c>
      <c r="B65" s="716" t="s">
        <v>40</v>
      </c>
      <c r="C65" s="32">
        <v>40655</v>
      </c>
      <c r="D65" s="580" t="s">
        <v>31</v>
      </c>
      <c r="E65" s="31">
        <v>156</v>
      </c>
      <c r="F65" s="31">
        <v>16</v>
      </c>
      <c r="G65" s="644">
        <f>633760.5+136320.5+35218.5+12632+4659.5+2946+8058+2678+3172+3399.5+598+564+1471+2243+357+860</f>
        <v>848937.5</v>
      </c>
      <c r="H65" s="645">
        <f>74640+17307+4811+1875+917+522+1372+426+632+730+116+93+159+384+67+172</f>
        <v>104223</v>
      </c>
      <c r="I65" s="319">
        <f>+G65/H65</f>
        <v>8.145394970400007</v>
      </c>
      <c r="J65" s="99">
        <v>55</v>
      </c>
      <c r="K65" s="548">
        <v>1</v>
      </c>
    </row>
    <row r="66" spans="1:11" s="90" customFormat="1" ht="12" customHeight="1">
      <c r="A66" s="91">
        <v>56</v>
      </c>
      <c r="B66" s="952" t="s">
        <v>425</v>
      </c>
      <c r="C66" s="113">
        <v>40781</v>
      </c>
      <c r="D66" s="582" t="s">
        <v>10</v>
      </c>
      <c r="E66" s="119">
        <v>93</v>
      </c>
      <c r="F66" s="3">
        <v>5</v>
      </c>
      <c r="G66" s="49">
        <v>813968</v>
      </c>
      <c r="H66" s="50">
        <v>70956</v>
      </c>
      <c r="I66" s="276">
        <f>+G66/H66</f>
        <v>11.47144709397373</v>
      </c>
      <c r="J66" s="89">
        <v>56</v>
      </c>
      <c r="K66" s="548"/>
    </row>
    <row r="67" spans="1:11" s="90" customFormat="1" ht="12" customHeight="1">
      <c r="A67" s="91">
        <v>57</v>
      </c>
      <c r="B67" s="466" t="s">
        <v>60</v>
      </c>
      <c r="C67" s="185">
        <v>40669</v>
      </c>
      <c r="D67" s="582" t="s">
        <v>31</v>
      </c>
      <c r="E67" s="33">
        <v>58</v>
      </c>
      <c r="F67" s="186">
        <v>19</v>
      </c>
      <c r="G67" s="17">
        <f>283662.5+204713+63694+61522.5+37976+46923.5+23377.5+15917+7067.5+2523.5+6128.5+15179.5+11086.5+9981+4315+1379+1711+405+749</f>
        <v>798311.5</v>
      </c>
      <c r="H67" s="14">
        <f>29595+21640+7444+8447+5671+7156+3524+2414+1006+405+822+1862+1355+1194+582+204+215+57+104</f>
        <v>93697</v>
      </c>
      <c r="I67" s="276">
        <f>+G67/H67</f>
        <v>8.520139385465917</v>
      </c>
      <c r="J67" s="99">
        <v>57</v>
      </c>
      <c r="K67" s="548"/>
    </row>
    <row r="68" spans="1:11" s="90" customFormat="1" ht="12" customHeight="1">
      <c r="A68" s="91">
        <v>58</v>
      </c>
      <c r="B68" s="282" t="s">
        <v>185</v>
      </c>
      <c r="C68" s="113">
        <v>40571</v>
      </c>
      <c r="D68" s="114" t="s">
        <v>138</v>
      </c>
      <c r="E68" s="33">
        <v>20</v>
      </c>
      <c r="F68" s="33">
        <v>20</v>
      </c>
      <c r="G68" s="507">
        <v>789257</v>
      </c>
      <c r="H68" s="508">
        <v>66250</v>
      </c>
      <c r="I68" s="101">
        <f>G68/H68</f>
        <v>11.91331320754717</v>
      </c>
      <c r="J68" s="89">
        <v>58</v>
      </c>
      <c r="K68" s="548"/>
    </row>
    <row r="69" spans="1:11" s="90" customFormat="1" ht="12" customHeight="1">
      <c r="A69" s="91">
        <v>59</v>
      </c>
      <c r="B69" s="282" t="s">
        <v>214</v>
      </c>
      <c r="C69" s="113">
        <v>40690</v>
      </c>
      <c r="D69" s="114" t="s">
        <v>10</v>
      </c>
      <c r="E69" s="3">
        <v>65</v>
      </c>
      <c r="F69" s="3">
        <v>14</v>
      </c>
      <c r="G69" s="49">
        <v>773534</v>
      </c>
      <c r="H69" s="50">
        <v>81358</v>
      </c>
      <c r="I69" s="98">
        <f>+G69/H69</f>
        <v>9.507780427247473</v>
      </c>
      <c r="J69" s="99">
        <v>59</v>
      </c>
      <c r="K69" s="548">
        <v>1</v>
      </c>
    </row>
    <row r="70" spans="1:11" s="90" customFormat="1" ht="12" customHeight="1">
      <c r="A70" s="91">
        <v>60</v>
      </c>
      <c r="B70" s="229" t="s">
        <v>438</v>
      </c>
      <c r="C70" s="2">
        <v>40795</v>
      </c>
      <c r="D70" s="588" t="s">
        <v>10</v>
      </c>
      <c r="E70" s="181">
        <v>70</v>
      </c>
      <c r="F70" s="3">
        <v>3</v>
      </c>
      <c r="G70" s="49">
        <v>712796</v>
      </c>
      <c r="H70" s="50">
        <v>67487</v>
      </c>
      <c r="I70" s="276">
        <f>+G70/H70</f>
        <v>10.561974898869412</v>
      </c>
      <c r="J70" s="89">
        <v>60</v>
      </c>
      <c r="K70" s="548"/>
    </row>
    <row r="71" spans="1:11" s="90" customFormat="1" ht="12" customHeight="1">
      <c r="A71" s="91">
        <v>61</v>
      </c>
      <c r="B71" s="171" t="s">
        <v>186</v>
      </c>
      <c r="C71" s="32">
        <v>40627</v>
      </c>
      <c r="D71" s="251" t="s">
        <v>23</v>
      </c>
      <c r="E71" s="33">
        <v>80</v>
      </c>
      <c r="F71" s="33">
        <v>8</v>
      </c>
      <c r="G71" s="47">
        <v>689625</v>
      </c>
      <c r="H71" s="173">
        <v>71616</v>
      </c>
      <c r="I71" s="281">
        <f>+G71/H71</f>
        <v>9.629482238605899</v>
      </c>
      <c r="J71" s="99">
        <v>61</v>
      </c>
      <c r="K71" s="548"/>
    </row>
    <row r="72" spans="1:11" s="90" customFormat="1" ht="12" customHeight="1">
      <c r="A72" s="91">
        <v>62</v>
      </c>
      <c r="B72" s="282" t="s">
        <v>27</v>
      </c>
      <c r="C72" s="113">
        <v>40634</v>
      </c>
      <c r="D72" s="114" t="s">
        <v>10</v>
      </c>
      <c r="E72" s="115">
        <v>76</v>
      </c>
      <c r="F72" s="115">
        <v>9</v>
      </c>
      <c r="G72" s="331">
        <v>681170</v>
      </c>
      <c r="H72" s="332">
        <v>69882</v>
      </c>
      <c r="I72" s="319">
        <f>G72/H72</f>
        <v>9.747431384333591</v>
      </c>
      <c r="J72" s="99">
        <v>62</v>
      </c>
      <c r="K72" s="548"/>
    </row>
    <row r="73" spans="1:11" s="90" customFormat="1" ht="12" customHeight="1">
      <c r="A73" s="91">
        <v>63</v>
      </c>
      <c r="B73" s="282" t="s">
        <v>76</v>
      </c>
      <c r="C73" s="113">
        <v>40634</v>
      </c>
      <c r="D73" s="114" t="s">
        <v>45</v>
      </c>
      <c r="E73" s="115">
        <v>149</v>
      </c>
      <c r="F73" s="115">
        <v>9</v>
      </c>
      <c r="G73" s="574">
        <v>674482</v>
      </c>
      <c r="H73" s="575">
        <v>96075</v>
      </c>
      <c r="I73" s="319">
        <f>G73/H73</f>
        <v>7.0203695029924535</v>
      </c>
      <c r="J73" s="89">
        <v>63</v>
      </c>
      <c r="K73" s="548"/>
    </row>
    <row r="74" spans="1:11" s="90" customFormat="1" ht="12" customHeight="1">
      <c r="A74" s="91">
        <v>64</v>
      </c>
      <c r="B74" s="430" t="s">
        <v>240</v>
      </c>
      <c r="C74" s="113">
        <v>40718</v>
      </c>
      <c r="D74" s="588" t="s">
        <v>31</v>
      </c>
      <c r="E74" s="181">
        <v>42</v>
      </c>
      <c r="F74" s="186">
        <v>14</v>
      </c>
      <c r="G74" s="17">
        <f>206744+133125+83915.5+50898.5+53053.5+49526+20766+13108.5+7886.5+18395+9625+6653+2181+717</f>
        <v>656594.5</v>
      </c>
      <c r="H74" s="18">
        <f>19325+12664+8208+6197+7341+6951+3245+2073+1102+2616+1516+888+316+98</f>
        <v>72540</v>
      </c>
      <c r="I74" s="1098">
        <f>G74/H74</f>
        <v>9.05148194099807</v>
      </c>
      <c r="J74" s="99">
        <v>64</v>
      </c>
      <c r="K74" s="548">
        <v>1</v>
      </c>
    </row>
    <row r="75" spans="1:11" s="90" customFormat="1" ht="12" customHeight="1">
      <c r="A75" s="91">
        <v>65</v>
      </c>
      <c r="B75" s="716" t="s">
        <v>131</v>
      </c>
      <c r="C75" s="250">
        <v>40599</v>
      </c>
      <c r="D75" s="580" t="s">
        <v>31</v>
      </c>
      <c r="E75" s="31">
        <v>60</v>
      </c>
      <c r="F75" s="31">
        <v>16</v>
      </c>
      <c r="G75" s="644">
        <f>324952+205669.75+36076.25+7149.5+4976+6474+8888+8102.5+7995.5+1904.5+2442.5+3379+326+230+1971.5+455</f>
        <v>620992</v>
      </c>
      <c r="H75" s="18">
        <f>28582+18445+3670+1269+845+865+1858+1230+1292+340+347+689+52+38+447+79</f>
        <v>60048</v>
      </c>
      <c r="I75" s="630">
        <f>+G75/H75</f>
        <v>10.341593391953104</v>
      </c>
      <c r="J75" s="89">
        <v>65</v>
      </c>
      <c r="K75" s="548">
        <v>1</v>
      </c>
    </row>
    <row r="76" spans="1:11" s="90" customFormat="1" ht="12" customHeight="1">
      <c r="A76" s="91">
        <v>66</v>
      </c>
      <c r="B76" s="950" t="s">
        <v>426</v>
      </c>
      <c r="C76" s="32">
        <v>40781</v>
      </c>
      <c r="D76" s="588" t="s">
        <v>23</v>
      </c>
      <c r="E76" s="5">
        <v>74</v>
      </c>
      <c r="F76" s="33">
        <v>5</v>
      </c>
      <c r="G76" s="344">
        <v>601479</v>
      </c>
      <c r="H76" s="342">
        <v>58200</v>
      </c>
      <c r="I76" s="276">
        <f>+G76/H76</f>
        <v>10.334690721649485</v>
      </c>
      <c r="J76" s="99">
        <v>66</v>
      </c>
      <c r="K76" s="548">
        <v>1</v>
      </c>
    </row>
    <row r="77" spans="1:11" s="90" customFormat="1" ht="12" customHeight="1">
      <c r="A77" s="91">
        <v>67</v>
      </c>
      <c r="B77" s="949" t="s">
        <v>450</v>
      </c>
      <c r="C77" s="113">
        <v>40802</v>
      </c>
      <c r="D77" s="588" t="s">
        <v>23</v>
      </c>
      <c r="E77" s="181">
        <v>139</v>
      </c>
      <c r="F77" s="33">
        <v>2</v>
      </c>
      <c r="G77" s="344">
        <v>581422</v>
      </c>
      <c r="H77" s="342">
        <v>58638</v>
      </c>
      <c r="I77" s="1098">
        <f>G77/H77</f>
        <v>9.91544732084996</v>
      </c>
      <c r="J77" s="89">
        <v>67</v>
      </c>
      <c r="K77" s="548">
        <v>1</v>
      </c>
    </row>
    <row r="78" spans="1:11" s="90" customFormat="1" ht="12" customHeight="1">
      <c r="A78" s="91">
        <v>68</v>
      </c>
      <c r="B78" s="202" t="s">
        <v>66</v>
      </c>
      <c r="C78" s="2">
        <v>40682</v>
      </c>
      <c r="D78" s="594" t="s">
        <v>10</v>
      </c>
      <c r="E78" s="22">
        <v>164</v>
      </c>
      <c r="F78" s="22">
        <v>11</v>
      </c>
      <c r="G78" s="331">
        <v>577480</v>
      </c>
      <c r="H78" s="332">
        <v>63466</v>
      </c>
      <c r="I78" s="630">
        <f>+G78/H78</f>
        <v>9.099045158037374</v>
      </c>
      <c r="J78" s="99">
        <v>68</v>
      </c>
      <c r="K78" s="548"/>
    </row>
    <row r="79" spans="1:11" s="90" customFormat="1" ht="12" customHeight="1">
      <c r="A79" s="91">
        <v>69</v>
      </c>
      <c r="B79" s="1161" t="s">
        <v>249</v>
      </c>
      <c r="C79" s="1154">
        <v>40592</v>
      </c>
      <c r="D79" s="561" t="s">
        <v>10</v>
      </c>
      <c r="E79" s="563">
        <v>168</v>
      </c>
      <c r="F79" s="563">
        <v>3</v>
      </c>
      <c r="G79" s="49">
        <v>572572</v>
      </c>
      <c r="H79" s="50">
        <v>51135</v>
      </c>
      <c r="I79" s="275">
        <v>11.197262149212868</v>
      </c>
      <c r="J79" s="99">
        <v>69</v>
      </c>
      <c r="K79" s="548"/>
    </row>
    <row r="80" spans="1:11" s="90" customFormat="1" ht="12" customHeight="1">
      <c r="A80" s="91">
        <v>70</v>
      </c>
      <c r="B80" s="608" t="s">
        <v>230</v>
      </c>
      <c r="C80" s="113">
        <v>40704</v>
      </c>
      <c r="D80" s="580" t="s">
        <v>10</v>
      </c>
      <c r="E80" s="3">
        <v>70</v>
      </c>
      <c r="F80" s="3">
        <v>11</v>
      </c>
      <c r="G80" s="49">
        <v>566191</v>
      </c>
      <c r="H80" s="50">
        <v>58066</v>
      </c>
      <c r="I80" s="98">
        <f>+G80/H80</f>
        <v>9.750818034650226</v>
      </c>
      <c r="J80" s="89">
        <v>70</v>
      </c>
      <c r="K80" s="548"/>
    </row>
    <row r="81" spans="1:11" s="90" customFormat="1" ht="12" customHeight="1">
      <c r="A81" s="91">
        <v>71</v>
      </c>
      <c r="B81" s="558" t="s">
        <v>37</v>
      </c>
      <c r="C81" s="113">
        <v>40648</v>
      </c>
      <c r="D81" s="114" t="s">
        <v>23</v>
      </c>
      <c r="E81" s="33">
        <v>76</v>
      </c>
      <c r="F81" s="33">
        <v>22</v>
      </c>
      <c r="G81" s="344">
        <v>566049</v>
      </c>
      <c r="H81" s="342">
        <v>60437</v>
      </c>
      <c r="I81" s="101">
        <f>G81/H81</f>
        <v>9.365934775055017</v>
      </c>
      <c r="J81" s="99">
        <v>71</v>
      </c>
      <c r="K81" s="548"/>
    </row>
    <row r="82" spans="1:11" s="90" customFormat="1" ht="12" customHeight="1">
      <c r="A82" s="91">
        <v>72</v>
      </c>
      <c r="B82" s="282" t="s">
        <v>36</v>
      </c>
      <c r="C82" s="113">
        <v>40648</v>
      </c>
      <c r="D82" s="114" t="s">
        <v>10</v>
      </c>
      <c r="E82" s="115">
        <v>76</v>
      </c>
      <c r="F82" s="115">
        <v>6</v>
      </c>
      <c r="G82" s="854">
        <v>545267</v>
      </c>
      <c r="H82" s="855">
        <v>56316</v>
      </c>
      <c r="I82" s="121">
        <f>+G82/H82</f>
        <v>9.682275019532637</v>
      </c>
      <c r="J82" s="89">
        <v>72</v>
      </c>
      <c r="K82" s="548"/>
    </row>
    <row r="83" spans="1:11" s="90" customFormat="1" ht="12" customHeight="1">
      <c r="A83" s="91">
        <v>73</v>
      </c>
      <c r="B83" s="229" t="s">
        <v>452</v>
      </c>
      <c r="C83" s="2">
        <v>40802</v>
      </c>
      <c r="D83" s="588" t="s">
        <v>10</v>
      </c>
      <c r="E83" s="5">
        <v>74</v>
      </c>
      <c r="F83" s="3">
        <v>1</v>
      </c>
      <c r="G83" s="49">
        <v>521073</v>
      </c>
      <c r="H83" s="50">
        <v>46693</v>
      </c>
      <c r="I83" s="276">
        <f>+G83/H83</f>
        <v>11.159552823763732</v>
      </c>
      <c r="J83" s="99">
        <v>73</v>
      </c>
      <c r="K83" s="548"/>
    </row>
    <row r="84" spans="1:11" s="90" customFormat="1" ht="12" customHeight="1">
      <c r="A84" s="91">
        <v>74</v>
      </c>
      <c r="B84" s="171" t="s">
        <v>187</v>
      </c>
      <c r="C84" s="32">
        <v>40592</v>
      </c>
      <c r="D84" s="251" t="s">
        <v>23</v>
      </c>
      <c r="E84" s="33">
        <v>80</v>
      </c>
      <c r="F84" s="33">
        <v>8</v>
      </c>
      <c r="G84" s="47">
        <v>520522</v>
      </c>
      <c r="H84" s="173">
        <v>59736</v>
      </c>
      <c r="I84" s="298">
        <f>+G84/H84</f>
        <v>8.713706977367082</v>
      </c>
      <c r="J84" s="89">
        <v>74</v>
      </c>
      <c r="K84" s="548">
        <v>1</v>
      </c>
    </row>
    <row r="85" spans="1:11" s="90" customFormat="1" ht="12" customHeight="1">
      <c r="A85" s="91">
        <v>75</v>
      </c>
      <c r="B85" s="602" t="s">
        <v>382</v>
      </c>
      <c r="C85" s="567">
        <v>40746</v>
      </c>
      <c r="D85" s="588" t="s">
        <v>8</v>
      </c>
      <c r="E85" s="5">
        <v>26</v>
      </c>
      <c r="F85" s="5">
        <v>10</v>
      </c>
      <c r="G85" s="15">
        <v>509309</v>
      </c>
      <c r="H85" s="16">
        <v>48776</v>
      </c>
      <c r="I85" s="1098">
        <f>G85/H85</f>
        <v>10.441795145153353</v>
      </c>
      <c r="J85" s="99">
        <v>75</v>
      </c>
      <c r="K85" s="548">
        <v>1</v>
      </c>
    </row>
    <row r="86" spans="1:11" s="90" customFormat="1" ht="12" customHeight="1">
      <c r="A86" s="91">
        <v>76</v>
      </c>
      <c r="B86" s="282" t="s">
        <v>227</v>
      </c>
      <c r="C86" s="113">
        <v>40564</v>
      </c>
      <c r="D86" s="114" t="s">
        <v>21</v>
      </c>
      <c r="E86" s="3">
        <v>100</v>
      </c>
      <c r="F86" s="3">
        <v>10</v>
      </c>
      <c r="G86" s="51">
        <f>351928.5+109593.5+20592.5+6351+8236+2820+477+622+1188+128</f>
        <v>501936.5</v>
      </c>
      <c r="H86" s="48">
        <f>40887+13714+2624+866+1497+479+81+311+238+23</f>
        <v>60720</v>
      </c>
      <c r="I86" s="98">
        <f>+G86/H86</f>
        <v>8.26641139657444</v>
      </c>
      <c r="J86" s="99">
        <v>76</v>
      </c>
      <c r="K86" s="548"/>
    </row>
    <row r="87" spans="1:11" s="90" customFormat="1" ht="12" customHeight="1">
      <c r="A87" s="91">
        <v>77</v>
      </c>
      <c r="B87" s="466" t="s">
        <v>14</v>
      </c>
      <c r="C87" s="185">
        <v>40592</v>
      </c>
      <c r="D87" s="588" t="s">
        <v>31</v>
      </c>
      <c r="E87" s="186">
        <v>26</v>
      </c>
      <c r="F87" s="186">
        <v>21</v>
      </c>
      <c r="G87" s="17">
        <f>237198+117355.25+39279+7609+10490+5994.5+4177+5529+13722.5+15666+5837+4401.5+5554+1816.5+656+560+364+822+284+390+1425.5</f>
        <v>479130.75</v>
      </c>
      <c r="H87" s="18">
        <f>20106+9312+4270+1420+2469+1087+657+754+2056+2109+1033+786+862+334+111+80+52+126+44+39+356</f>
        <v>48063</v>
      </c>
      <c r="I87" s="276">
        <f>+G87/H87</f>
        <v>9.968806566381625</v>
      </c>
      <c r="J87" s="89">
        <v>77</v>
      </c>
      <c r="K87" s="548"/>
    </row>
    <row r="88" spans="1:11" s="90" customFormat="1" ht="12" customHeight="1">
      <c r="A88" s="91">
        <v>78</v>
      </c>
      <c r="B88" s="602" t="s">
        <v>377</v>
      </c>
      <c r="C88" s="113">
        <v>40669</v>
      </c>
      <c r="D88" s="588" t="s">
        <v>8</v>
      </c>
      <c r="E88" s="5">
        <v>51</v>
      </c>
      <c r="F88" s="5">
        <v>20</v>
      </c>
      <c r="G88" s="15">
        <v>475963</v>
      </c>
      <c r="H88" s="16">
        <v>48784</v>
      </c>
      <c r="I88" s="276">
        <f>+G88/H88</f>
        <v>9.756539029189899</v>
      </c>
      <c r="J88" s="99">
        <v>78</v>
      </c>
      <c r="K88" s="548"/>
    </row>
    <row r="89" spans="1:11" s="90" customFormat="1" ht="12" customHeight="1">
      <c r="A89" s="91">
        <v>79</v>
      </c>
      <c r="B89" s="602" t="s">
        <v>389</v>
      </c>
      <c r="C89" s="113">
        <v>40753</v>
      </c>
      <c r="D89" s="588" t="s">
        <v>31</v>
      </c>
      <c r="E89" s="181">
        <v>58</v>
      </c>
      <c r="F89" s="186">
        <v>9</v>
      </c>
      <c r="G89" s="17">
        <f>159826+108118.5+46649+24455+74855+32945.5+7885+4137+7700.5</f>
        <v>466571.5</v>
      </c>
      <c r="H89" s="18">
        <f>16534+11741+6112+3510+9606+4566+1219+550+1311</f>
        <v>55149</v>
      </c>
      <c r="I89" s="1098">
        <f>+G89/H89</f>
        <v>8.460198734337885</v>
      </c>
      <c r="J89" s="89">
        <v>79</v>
      </c>
      <c r="K89" s="548"/>
    </row>
    <row r="90" spans="1:11" s="90" customFormat="1" ht="12" customHeight="1">
      <c r="A90" s="91">
        <v>80</v>
      </c>
      <c r="B90" s="951" t="s">
        <v>220</v>
      </c>
      <c r="C90" s="32">
        <v>40697</v>
      </c>
      <c r="D90" s="588" t="s">
        <v>31</v>
      </c>
      <c r="E90" s="181">
        <v>71</v>
      </c>
      <c r="F90" s="186">
        <v>17</v>
      </c>
      <c r="G90" s="17">
        <f>204018.5+92011.75+38624.5+27400+22817+12697.5+8373+8455.5+6781+2290+2830+1048+3163+3005+2166+6840+1490</f>
        <v>444010.75</v>
      </c>
      <c r="H90" s="18">
        <f>20915+10991+4900+3855+3433+1986+1329+1415+1032+399+409+237+591+657+312+1653+293</f>
        <v>54407</v>
      </c>
      <c r="I90" s="276">
        <f>+G90/H90</f>
        <v>8.160912198797948</v>
      </c>
      <c r="J90" s="99">
        <v>80</v>
      </c>
      <c r="K90" s="548">
        <v>1</v>
      </c>
    </row>
    <row r="91" spans="1:11" s="90" customFormat="1" ht="12" customHeight="1">
      <c r="A91" s="91">
        <v>81</v>
      </c>
      <c r="B91" s="466" t="s">
        <v>252</v>
      </c>
      <c r="C91" s="185">
        <v>40634</v>
      </c>
      <c r="D91" s="393" t="s">
        <v>135</v>
      </c>
      <c r="E91" s="186">
        <v>36</v>
      </c>
      <c r="F91" s="186">
        <v>11</v>
      </c>
      <c r="G91" s="17">
        <f>246204.5+109370+33780.5+17153+1902+8321+3738+833+560+246+350</f>
        <v>422458</v>
      </c>
      <c r="H91" s="18">
        <f>18876+8155+2662+1743+244+979+452+94+110+39+35</f>
        <v>33389</v>
      </c>
      <c r="I91" s="98">
        <f>+G91/H91</f>
        <v>12.652610141064422</v>
      </c>
      <c r="J91" s="89">
        <v>81</v>
      </c>
      <c r="K91" s="548">
        <v>1</v>
      </c>
    </row>
    <row r="92" spans="1:11" s="90" customFormat="1" ht="12" customHeight="1">
      <c r="A92" s="91">
        <v>82</v>
      </c>
      <c r="B92" s="951" t="s">
        <v>451</v>
      </c>
      <c r="C92" s="32">
        <v>40802</v>
      </c>
      <c r="D92" s="588" t="s">
        <v>31</v>
      </c>
      <c r="E92" s="181">
        <v>76</v>
      </c>
      <c r="F92" s="199">
        <v>2</v>
      </c>
      <c r="G92" s="17">
        <f>264177+157589</f>
        <v>421766</v>
      </c>
      <c r="H92" s="18">
        <f>29068+17742</f>
        <v>46810</v>
      </c>
      <c r="I92" s="276">
        <f>+G92/H92</f>
        <v>9.010168767357403</v>
      </c>
      <c r="J92" s="99">
        <v>82</v>
      </c>
      <c r="K92" s="548"/>
    </row>
    <row r="93" spans="1:11" s="90" customFormat="1" ht="12" customHeight="1">
      <c r="A93" s="91">
        <v>83</v>
      </c>
      <c r="B93" s="466" t="s">
        <v>53</v>
      </c>
      <c r="C93" s="185">
        <v>40669</v>
      </c>
      <c r="D93" s="588" t="s">
        <v>31</v>
      </c>
      <c r="E93" s="33">
        <v>31</v>
      </c>
      <c r="F93" s="199">
        <v>16</v>
      </c>
      <c r="G93" s="17">
        <f>175019+105176.5+33821+39610.5+24959.5+21794.5+6227+4449+362+706+2230+1369.5+1342.5+950.5+240+2366</f>
        <v>420623.5</v>
      </c>
      <c r="H93" s="18">
        <f>19673+11998+4200+5352+3807+3790+1054+773+55+128+469+229+219+157+30+429</f>
        <v>52363</v>
      </c>
      <c r="I93" s="1098">
        <f>G93/H93</f>
        <v>8.03283807268491</v>
      </c>
      <c r="J93" s="99">
        <v>83</v>
      </c>
      <c r="K93" s="548"/>
    </row>
    <row r="94" spans="1:11" s="90" customFormat="1" ht="12" customHeight="1">
      <c r="A94" s="91">
        <v>84</v>
      </c>
      <c r="B94" s="951" t="s">
        <v>407</v>
      </c>
      <c r="C94" s="32">
        <v>40767</v>
      </c>
      <c r="D94" s="588" t="s">
        <v>31</v>
      </c>
      <c r="E94" s="181">
        <v>39</v>
      </c>
      <c r="F94" s="186">
        <v>7</v>
      </c>
      <c r="G94" s="17">
        <f>227782+93706+36180+21819+14718.5+11547.5+9757.5</f>
        <v>415510.5</v>
      </c>
      <c r="H94" s="18">
        <f>21125+9522+4298+2881+1947+1746+1401</f>
        <v>42920</v>
      </c>
      <c r="I94" s="276">
        <f>+G94/H94</f>
        <v>9.681046132339235</v>
      </c>
      <c r="J94" s="89">
        <v>84</v>
      </c>
      <c r="K94" s="548"/>
    </row>
    <row r="95" spans="1:11" s="90" customFormat="1" ht="12" customHeight="1">
      <c r="A95" s="91">
        <v>85</v>
      </c>
      <c r="B95" s="558" t="s">
        <v>221</v>
      </c>
      <c r="C95" s="32">
        <v>40697</v>
      </c>
      <c r="D95" s="114" t="s">
        <v>23</v>
      </c>
      <c r="E95" s="33">
        <v>20</v>
      </c>
      <c r="F95" s="33">
        <v>15</v>
      </c>
      <c r="G95" s="344">
        <v>394659</v>
      </c>
      <c r="H95" s="342">
        <v>41364</v>
      </c>
      <c r="I95" s="101">
        <f>+G95/H95</f>
        <v>9.5411227154047</v>
      </c>
      <c r="J95" s="99">
        <v>85</v>
      </c>
      <c r="K95" s="548">
        <v>1</v>
      </c>
    </row>
    <row r="96" spans="1:11" s="90" customFormat="1" ht="12" customHeight="1">
      <c r="A96" s="91">
        <v>86</v>
      </c>
      <c r="B96" s="466" t="s">
        <v>226</v>
      </c>
      <c r="C96" s="185">
        <v>40704</v>
      </c>
      <c r="D96" s="588" t="s">
        <v>31</v>
      </c>
      <c r="E96" s="33">
        <v>25</v>
      </c>
      <c r="F96" s="186">
        <v>14</v>
      </c>
      <c r="G96" s="17">
        <f>1507.5+116073+64240.5+36865+26116.5+23857.5+27298.75+30562+27213.5+14091+13059.5+5775+887+432+986</f>
        <v>388964.75</v>
      </c>
      <c r="H96" s="18">
        <f>73+10003+5758+3705+3172+2912+3100+4082+3485+1779+1512+765+131+60+151</f>
        <v>40688</v>
      </c>
      <c r="I96" s="276">
        <f>+G96/H96</f>
        <v>9.559692046795124</v>
      </c>
      <c r="J96" s="89">
        <v>86</v>
      </c>
      <c r="K96" s="548"/>
    </row>
    <row r="97" spans="1:11" s="90" customFormat="1" ht="12" customHeight="1">
      <c r="A97" s="91">
        <v>87</v>
      </c>
      <c r="B97" s="466" t="s">
        <v>465</v>
      </c>
      <c r="C97" s="185">
        <v>40809</v>
      </c>
      <c r="D97" s="588" t="s">
        <v>31</v>
      </c>
      <c r="E97" s="33">
        <v>66</v>
      </c>
      <c r="F97" s="186">
        <v>1</v>
      </c>
      <c r="G97" s="17">
        <f>382290</f>
        <v>382290</v>
      </c>
      <c r="H97" s="18">
        <f>34863</f>
        <v>34863</v>
      </c>
      <c r="I97" s="276">
        <f>+G97/H97</f>
        <v>10.965493503140866</v>
      </c>
      <c r="J97" s="99">
        <v>87</v>
      </c>
      <c r="K97" s="548"/>
    </row>
    <row r="98" spans="1:11" s="90" customFormat="1" ht="12" customHeight="1">
      <c r="A98" s="91">
        <v>88</v>
      </c>
      <c r="B98" s="602" t="s">
        <v>427</v>
      </c>
      <c r="C98" s="32">
        <v>40781</v>
      </c>
      <c r="D98" s="588" t="s">
        <v>31</v>
      </c>
      <c r="E98" s="181">
        <v>25</v>
      </c>
      <c r="F98" s="199">
        <v>5</v>
      </c>
      <c r="G98" s="712">
        <f>144733+112570+56967.5+34113.5+30823.5</f>
        <v>379207.5</v>
      </c>
      <c r="H98" s="14">
        <f>11669+10065+5619+3946+3929</f>
        <v>35228</v>
      </c>
      <c r="I98" s="276">
        <f>+G98/H98</f>
        <v>10.764377767684795</v>
      </c>
      <c r="J98" s="89">
        <v>88</v>
      </c>
      <c r="K98" s="548"/>
    </row>
    <row r="99" spans="1:11" s="90" customFormat="1" ht="12" customHeight="1">
      <c r="A99" s="91">
        <v>89</v>
      </c>
      <c r="B99" s="466" t="s">
        <v>51</v>
      </c>
      <c r="C99" s="185">
        <v>40662</v>
      </c>
      <c r="D99" s="588" t="s">
        <v>31</v>
      </c>
      <c r="E99" s="186">
        <v>19</v>
      </c>
      <c r="F99" s="186">
        <v>21</v>
      </c>
      <c r="G99" s="17">
        <f>101742.25+50164.5+51750+9401+13450.5+18562.5+28682+16047.5+15912+8384+5213+12043+3980+9461+6303.5+6271+2673+6139.5+1849.5+1109+1307</f>
        <v>370445.75</v>
      </c>
      <c r="H99" s="18">
        <f>8064+3844+5093+985+1765+2797+3793+2133+2232+1161+795+1735+578+1201+748+718+399+835+292+171+327</f>
        <v>39666</v>
      </c>
      <c r="I99" s="1098">
        <f>G99/H99</f>
        <v>9.339125447486513</v>
      </c>
      <c r="J99" s="99">
        <v>89</v>
      </c>
      <c r="K99" s="548"/>
    </row>
    <row r="100" spans="1:11" s="90" customFormat="1" ht="12" customHeight="1">
      <c r="A100" s="91">
        <v>90</v>
      </c>
      <c r="B100" s="192" t="s">
        <v>464</v>
      </c>
      <c r="C100" s="32">
        <v>40809</v>
      </c>
      <c r="D100" s="588" t="s">
        <v>28</v>
      </c>
      <c r="E100" s="181">
        <v>51</v>
      </c>
      <c r="F100" s="240">
        <v>1</v>
      </c>
      <c r="G100" s="866">
        <f>365324</f>
        <v>365324</v>
      </c>
      <c r="H100" s="342">
        <f>32747</f>
        <v>32747</v>
      </c>
      <c r="I100" s="276">
        <f>+G100/H100</f>
        <v>11.15595321708859</v>
      </c>
      <c r="J100" s="99">
        <v>90</v>
      </c>
      <c r="K100" s="548"/>
    </row>
    <row r="101" spans="1:11" s="90" customFormat="1" ht="12" customHeight="1">
      <c r="A101" s="91">
        <v>91</v>
      </c>
      <c r="B101" s="949" t="s">
        <v>417</v>
      </c>
      <c r="C101" s="567">
        <v>40774</v>
      </c>
      <c r="D101" s="881" t="s">
        <v>62</v>
      </c>
      <c r="E101" s="213">
        <v>25</v>
      </c>
      <c r="F101" s="215">
        <v>6</v>
      </c>
      <c r="G101" s="344">
        <v>361073</v>
      </c>
      <c r="H101" s="867">
        <v>33434</v>
      </c>
      <c r="I101" s="1098">
        <f>+G101/H101</f>
        <v>10.799575282646408</v>
      </c>
      <c r="J101" s="89">
        <v>91</v>
      </c>
      <c r="K101" s="548"/>
    </row>
    <row r="102" spans="1:11" s="90" customFormat="1" ht="12" customHeight="1">
      <c r="A102" s="91">
        <v>92</v>
      </c>
      <c r="B102" s="229" t="s">
        <v>80</v>
      </c>
      <c r="C102" s="113">
        <v>40585</v>
      </c>
      <c r="D102" s="594" t="s">
        <v>8</v>
      </c>
      <c r="E102" s="24">
        <v>41</v>
      </c>
      <c r="F102" s="24">
        <v>15</v>
      </c>
      <c r="G102" s="620">
        <v>348907</v>
      </c>
      <c r="H102" s="16">
        <v>29811</v>
      </c>
      <c r="I102" s="630">
        <f>+G102/H102</f>
        <v>11.703968333836503</v>
      </c>
      <c r="J102" s="99">
        <v>92</v>
      </c>
      <c r="K102" s="548"/>
    </row>
    <row r="103" spans="1:11" s="90" customFormat="1" ht="12" customHeight="1">
      <c r="A103" s="91">
        <v>93</v>
      </c>
      <c r="B103" s="613" t="s">
        <v>188</v>
      </c>
      <c r="C103" s="798">
        <v>40606</v>
      </c>
      <c r="D103" s="564" t="s">
        <v>23</v>
      </c>
      <c r="E103" s="565">
        <v>52</v>
      </c>
      <c r="F103" s="565">
        <v>5</v>
      </c>
      <c r="G103" s="713">
        <v>327940</v>
      </c>
      <c r="H103" s="714">
        <v>26292</v>
      </c>
      <c r="I103" s="275">
        <v>12.472995588011562</v>
      </c>
      <c r="J103" s="89">
        <v>93</v>
      </c>
      <c r="K103" s="548"/>
    </row>
    <row r="104" spans="1:11" s="90" customFormat="1" ht="12" customHeight="1">
      <c r="A104" s="91">
        <v>94</v>
      </c>
      <c r="B104" s="950" t="s">
        <v>445</v>
      </c>
      <c r="C104" s="32">
        <v>40795</v>
      </c>
      <c r="D104" s="588" t="s">
        <v>23</v>
      </c>
      <c r="E104" s="181">
        <v>40</v>
      </c>
      <c r="F104" s="208">
        <v>3</v>
      </c>
      <c r="G104" s="868">
        <v>317989</v>
      </c>
      <c r="H104" s="867">
        <v>27548</v>
      </c>
      <c r="I104" s="1098">
        <f>G104/H104</f>
        <v>11.543088427472048</v>
      </c>
      <c r="J104" s="99">
        <v>94</v>
      </c>
      <c r="K104" s="548"/>
    </row>
    <row r="105" spans="1:11" s="90" customFormat="1" ht="12" customHeight="1">
      <c r="A105" s="91">
        <v>95</v>
      </c>
      <c r="B105" s="610" t="s">
        <v>42</v>
      </c>
      <c r="C105" s="567">
        <v>40655</v>
      </c>
      <c r="D105" s="590" t="s">
        <v>62</v>
      </c>
      <c r="E105" s="589">
        <v>35</v>
      </c>
      <c r="F105" s="597">
        <v>15</v>
      </c>
      <c r="G105" s="908">
        <v>313689.5</v>
      </c>
      <c r="H105" s="869">
        <v>30914</v>
      </c>
      <c r="I105" s="630">
        <f>+G105/H105</f>
        <v>10.14716633240603</v>
      </c>
      <c r="J105" s="89">
        <v>95</v>
      </c>
      <c r="K105" s="548"/>
    </row>
    <row r="106" spans="1:11" s="90" customFormat="1" ht="12" customHeight="1">
      <c r="A106" s="91">
        <v>96</v>
      </c>
      <c r="B106" s="716" t="s">
        <v>17</v>
      </c>
      <c r="C106" s="32">
        <v>40613</v>
      </c>
      <c r="D106" s="580" t="s">
        <v>31</v>
      </c>
      <c r="E106" s="33">
        <v>25</v>
      </c>
      <c r="F106" s="208">
        <v>21</v>
      </c>
      <c r="G106" s="712">
        <f>75934+53479.5+29060+17465+26762+20460.5+20847+12710+19039+8622+2147+3636+459+653+4560+770+4752+402+297+502+464</f>
        <v>303021</v>
      </c>
      <c r="H106" s="14">
        <f>9554+7103+4053+2490+4055+3124+3295+2389+2957+1767+459+626+92+107+609+124+1188+40+48+86+74</f>
        <v>44240</v>
      </c>
      <c r="I106" s="98">
        <f>+G106/H106</f>
        <v>6.849480108499096</v>
      </c>
      <c r="J106" s="99">
        <v>96</v>
      </c>
      <c r="K106" s="548">
        <v>1</v>
      </c>
    </row>
    <row r="107" spans="1:11" s="90" customFormat="1" ht="12" customHeight="1">
      <c r="A107" s="91">
        <v>97</v>
      </c>
      <c r="B107" s="466" t="s">
        <v>33</v>
      </c>
      <c r="C107" s="185">
        <v>40641</v>
      </c>
      <c r="D107" s="114" t="s">
        <v>31</v>
      </c>
      <c r="E107" s="585">
        <v>22</v>
      </c>
      <c r="F107" s="861">
        <v>20</v>
      </c>
      <c r="G107" s="712">
        <f>116634.25+59106.5+23134.5+13753.5+15970+8455.5+1576+1761+10125.5+2018+2376+1505+1606+4951.5+5289.5+5175+120+1367+4606+1218</f>
        <v>280748.75</v>
      </c>
      <c r="H107" s="14">
        <f>8833+4531+2274+1803+2249+1097+201+284+1149+305+594+210+182+582+643+704+20+163+464+300</f>
        <v>26588</v>
      </c>
      <c r="I107" s="101">
        <f>+G107/H107</f>
        <v>10.55922784714909</v>
      </c>
      <c r="J107" s="99">
        <v>97</v>
      </c>
      <c r="K107" s="548"/>
    </row>
    <row r="108" spans="1:11" s="90" customFormat="1" ht="12" customHeight="1">
      <c r="A108" s="91">
        <v>98</v>
      </c>
      <c r="B108" s="192">
        <v>40</v>
      </c>
      <c r="C108" s="567">
        <v>40739</v>
      </c>
      <c r="D108" s="582" t="s">
        <v>31</v>
      </c>
      <c r="E108" s="181">
        <v>17</v>
      </c>
      <c r="F108" s="186">
        <v>11</v>
      </c>
      <c r="G108" s="17">
        <f>100961+78170+39198.5+17146.5+15865+8654.5+7262+3071+1453+1755+2525</f>
        <v>276061.5</v>
      </c>
      <c r="H108" s="18">
        <f>10897+8433+4553+2347+2252+1187+1192+483+247+374+321</f>
        <v>32286</v>
      </c>
      <c r="I108" s="276">
        <f>+G108/H108</f>
        <v>8.550501765471102</v>
      </c>
      <c r="J108" s="89">
        <v>98</v>
      </c>
      <c r="K108" s="548">
        <v>1</v>
      </c>
    </row>
    <row r="109" spans="1:11" s="90" customFormat="1" ht="12" customHeight="1">
      <c r="A109" s="91">
        <v>99</v>
      </c>
      <c r="B109" s="171" t="s">
        <v>189</v>
      </c>
      <c r="C109" s="32">
        <v>40599</v>
      </c>
      <c r="D109" s="251" t="s">
        <v>23</v>
      </c>
      <c r="E109" s="33">
        <v>30</v>
      </c>
      <c r="F109" s="33">
        <v>12</v>
      </c>
      <c r="G109" s="47">
        <v>273347</v>
      </c>
      <c r="H109" s="173">
        <v>22741</v>
      </c>
      <c r="I109" s="281">
        <f>+G109/H109</f>
        <v>12.020007915219207</v>
      </c>
      <c r="J109" s="99">
        <v>99</v>
      </c>
      <c r="K109" s="548"/>
    </row>
    <row r="110" spans="1:11" s="90" customFormat="1" ht="12" customHeight="1">
      <c r="A110" s="91">
        <v>100</v>
      </c>
      <c r="B110" s="967" t="s">
        <v>466</v>
      </c>
      <c r="C110" s="113">
        <v>40809</v>
      </c>
      <c r="D110" s="588" t="s">
        <v>23</v>
      </c>
      <c r="E110" s="181">
        <v>79</v>
      </c>
      <c r="F110" s="33">
        <v>1</v>
      </c>
      <c r="G110" s="344">
        <v>270170</v>
      </c>
      <c r="H110" s="342">
        <v>24964</v>
      </c>
      <c r="I110" s="1098">
        <f>G110/H110</f>
        <v>10.822384233295946</v>
      </c>
      <c r="J110" s="89">
        <v>100</v>
      </c>
      <c r="K110" s="548">
        <v>1</v>
      </c>
    </row>
    <row r="111" spans="1:11" s="90" customFormat="1" ht="12" customHeight="1">
      <c r="A111" s="91">
        <v>101</v>
      </c>
      <c r="B111" s="229" t="s">
        <v>351</v>
      </c>
      <c r="C111" s="2">
        <v>40732</v>
      </c>
      <c r="D111" s="588" t="s">
        <v>21</v>
      </c>
      <c r="E111" s="5">
        <v>23</v>
      </c>
      <c r="F111" s="3">
        <v>12</v>
      </c>
      <c r="G111" s="51">
        <f>63653+42613.5+25162+24678+27035+17664.5+29023+19302.5+8403+4014+3999+3151</f>
        <v>268698.5</v>
      </c>
      <c r="H111" s="48">
        <f>5385+3679+2937+3272+3739+2418+3548+2625+1396+628+585+505</f>
        <v>30717</v>
      </c>
      <c r="I111" s="276">
        <f>+G111/H111</f>
        <v>8.747550216492495</v>
      </c>
      <c r="J111" s="99">
        <v>101</v>
      </c>
      <c r="K111" s="548"/>
    </row>
    <row r="112" spans="1:11" s="90" customFormat="1" ht="12" customHeight="1">
      <c r="A112" s="91">
        <v>102</v>
      </c>
      <c r="B112" s="602" t="s">
        <v>453</v>
      </c>
      <c r="C112" s="113">
        <v>40802</v>
      </c>
      <c r="D112" s="588" t="s">
        <v>8</v>
      </c>
      <c r="E112" s="5">
        <v>70</v>
      </c>
      <c r="F112" s="5">
        <v>2</v>
      </c>
      <c r="G112" s="15">
        <v>263190</v>
      </c>
      <c r="H112" s="16">
        <v>21213</v>
      </c>
      <c r="I112" s="276">
        <f>+G112/H112</f>
        <v>12.407014566539386</v>
      </c>
      <c r="J112" s="89">
        <v>102</v>
      </c>
      <c r="K112" s="548"/>
    </row>
    <row r="113" spans="1:11" s="90" customFormat="1" ht="12" customHeight="1">
      <c r="A113" s="91">
        <v>103</v>
      </c>
      <c r="B113" s="951" t="s">
        <v>431</v>
      </c>
      <c r="C113" s="32">
        <v>40788</v>
      </c>
      <c r="D113" s="588" t="s">
        <v>10</v>
      </c>
      <c r="E113" s="181">
        <v>60</v>
      </c>
      <c r="F113" s="3">
        <v>4</v>
      </c>
      <c r="G113" s="49">
        <v>257981</v>
      </c>
      <c r="H113" s="50">
        <v>26141</v>
      </c>
      <c r="I113" s="276">
        <f>+G113/H113</f>
        <v>9.86882674725527</v>
      </c>
      <c r="J113" s="99">
        <v>103</v>
      </c>
      <c r="K113" s="548"/>
    </row>
    <row r="114" spans="1:11" s="90" customFormat="1" ht="12" customHeight="1">
      <c r="A114" s="91">
        <v>104</v>
      </c>
      <c r="B114" s="430" t="s">
        <v>43</v>
      </c>
      <c r="C114" s="113">
        <v>40641</v>
      </c>
      <c r="D114" s="117" t="s">
        <v>72</v>
      </c>
      <c r="E114" s="119">
        <v>20</v>
      </c>
      <c r="F114" s="181">
        <v>12</v>
      </c>
      <c r="G114" s="15">
        <v>245782</v>
      </c>
      <c r="H114" s="16">
        <v>32811</v>
      </c>
      <c r="I114" s="98">
        <f>+G114/H114</f>
        <v>7.490841486086983</v>
      </c>
      <c r="J114" s="99">
        <v>104</v>
      </c>
      <c r="K114" s="548"/>
    </row>
    <row r="115" spans="1:11" s="90" customFormat="1" ht="12" customHeight="1">
      <c r="A115" s="91">
        <v>105</v>
      </c>
      <c r="B115" s="614" t="s">
        <v>190</v>
      </c>
      <c r="C115" s="2">
        <v>40543</v>
      </c>
      <c r="D115" s="21" t="s">
        <v>72</v>
      </c>
      <c r="E115" s="566" t="s">
        <v>191</v>
      </c>
      <c r="F115" s="566" t="s">
        <v>192</v>
      </c>
      <c r="G115" s="15">
        <v>241335</v>
      </c>
      <c r="H115" s="16">
        <v>20302</v>
      </c>
      <c r="I115" s="275">
        <f>+G115/H115</f>
        <v>11.88725248743966</v>
      </c>
      <c r="J115" s="89">
        <v>105</v>
      </c>
      <c r="K115" s="548"/>
    </row>
    <row r="116" spans="1:11" s="90" customFormat="1" ht="12" customHeight="1">
      <c r="A116" s="91">
        <v>106</v>
      </c>
      <c r="B116" s="229" t="s">
        <v>49</v>
      </c>
      <c r="C116" s="113">
        <v>40662</v>
      </c>
      <c r="D116" s="594" t="s">
        <v>8</v>
      </c>
      <c r="E116" s="24">
        <v>68</v>
      </c>
      <c r="F116" s="24">
        <v>14</v>
      </c>
      <c r="G116" s="620">
        <v>240610</v>
      </c>
      <c r="H116" s="16">
        <v>29256</v>
      </c>
      <c r="I116" s="319">
        <f>G116/H116</f>
        <v>8.224295870932458</v>
      </c>
      <c r="J116" s="99">
        <v>106</v>
      </c>
      <c r="K116" s="548"/>
    </row>
    <row r="117" spans="1:11" s="90" customFormat="1" ht="12" customHeight="1">
      <c r="A117" s="91">
        <v>107</v>
      </c>
      <c r="B117" s="282" t="s">
        <v>362</v>
      </c>
      <c r="C117" s="113">
        <v>40725</v>
      </c>
      <c r="D117" s="588" t="s">
        <v>62</v>
      </c>
      <c r="E117" s="213">
        <v>18</v>
      </c>
      <c r="F117" s="215">
        <v>13</v>
      </c>
      <c r="G117" s="344">
        <v>235823</v>
      </c>
      <c r="H117" s="342">
        <v>25769</v>
      </c>
      <c r="I117" s="276">
        <f>+G117/H117</f>
        <v>9.15142225154255</v>
      </c>
      <c r="J117" s="89">
        <v>107</v>
      </c>
      <c r="K117" s="548"/>
    </row>
    <row r="118" spans="1:11" s="90" customFormat="1" ht="12" customHeight="1">
      <c r="A118" s="91">
        <v>108</v>
      </c>
      <c r="B118" s="459" t="s">
        <v>44</v>
      </c>
      <c r="C118" s="113">
        <v>40655</v>
      </c>
      <c r="D118" s="114" t="s">
        <v>31</v>
      </c>
      <c r="E118" s="33">
        <v>15</v>
      </c>
      <c r="F118" s="33">
        <v>20</v>
      </c>
      <c r="G118" s="17">
        <f>41594+16674.5+20041.5+21789.5+6150+7886+17173.5+27384+16704.5+16122.5+8157+5086+2378+11487+5687.5+2577+3287+518+1706+319</f>
        <v>232722.5</v>
      </c>
      <c r="H118" s="18">
        <f>4913+2342+2355+2524+869+1326+2610+3337+2297+2315+1175+747+414+1699+885+370+451+86+214+44</f>
        <v>30973</v>
      </c>
      <c r="I118" s="101">
        <f>+G118/H118</f>
        <v>7.5137216285151585</v>
      </c>
      <c r="J118" s="99">
        <v>108</v>
      </c>
      <c r="K118" s="548">
        <v>1</v>
      </c>
    </row>
    <row r="119" spans="1:11" s="90" customFormat="1" ht="12" customHeight="1">
      <c r="A119" s="91">
        <v>109</v>
      </c>
      <c r="B119" s="603" t="s">
        <v>215</v>
      </c>
      <c r="C119" s="475">
        <v>40606</v>
      </c>
      <c r="D119" s="580" t="s">
        <v>23</v>
      </c>
      <c r="E119" s="33">
        <v>35</v>
      </c>
      <c r="F119" s="33">
        <v>12</v>
      </c>
      <c r="G119" s="754">
        <v>219977</v>
      </c>
      <c r="H119" s="173">
        <v>22235</v>
      </c>
      <c r="I119" s="98">
        <f>+G119/H119</f>
        <v>9.893276366089498</v>
      </c>
      <c r="J119" s="89">
        <v>109</v>
      </c>
      <c r="K119" s="548">
        <v>1</v>
      </c>
    </row>
    <row r="120" spans="1:11" s="90" customFormat="1" ht="12" customHeight="1">
      <c r="A120" s="91">
        <v>110</v>
      </c>
      <c r="B120" s="398" t="s">
        <v>223</v>
      </c>
      <c r="C120" s="399">
        <v>40697</v>
      </c>
      <c r="D120" s="881" t="s">
        <v>62</v>
      </c>
      <c r="E120" s="213">
        <v>15</v>
      </c>
      <c r="F120" s="215">
        <v>17</v>
      </c>
      <c r="G120" s="344">
        <v>218024.5</v>
      </c>
      <c r="H120" s="342">
        <v>28429</v>
      </c>
      <c r="I120" s="276">
        <f>+G120/H120</f>
        <v>7.669087903197439</v>
      </c>
      <c r="J120" s="99">
        <v>110</v>
      </c>
      <c r="K120" s="548">
        <v>1</v>
      </c>
    </row>
    <row r="121" spans="1:11" s="90" customFormat="1" ht="12" customHeight="1">
      <c r="A121" s="91">
        <v>111</v>
      </c>
      <c r="B121" s="192" t="s">
        <v>241</v>
      </c>
      <c r="C121" s="32">
        <v>40718</v>
      </c>
      <c r="D121" s="588" t="s">
        <v>31</v>
      </c>
      <c r="E121" s="882">
        <v>25</v>
      </c>
      <c r="F121" s="882">
        <v>13</v>
      </c>
      <c r="G121" s="644">
        <f>57373+29138.5+18608.5+18274+18081+33158.5+15047+12993+4041+3825+2818+2748+473</f>
        <v>216578.5</v>
      </c>
      <c r="H121" s="645">
        <f>5353+2775+2460+2094+2184+3706+2068+1709+576+481+366+567+74</f>
        <v>24413</v>
      </c>
      <c r="I121" s="296">
        <f>+G121/H121</f>
        <v>8.871441445131692</v>
      </c>
      <c r="J121" s="99">
        <v>111</v>
      </c>
      <c r="K121" s="548">
        <v>1</v>
      </c>
    </row>
    <row r="122" spans="1:11" s="90" customFormat="1" ht="12" customHeight="1">
      <c r="A122" s="91">
        <v>112</v>
      </c>
      <c r="B122" s="466" t="s">
        <v>357</v>
      </c>
      <c r="C122" s="185">
        <v>40543</v>
      </c>
      <c r="D122" s="114" t="s">
        <v>31</v>
      </c>
      <c r="E122" s="186">
        <v>77</v>
      </c>
      <c r="F122" s="186">
        <v>11</v>
      </c>
      <c r="G122" s="17">
        <f>163528+30551+13366.5+447+2034+736+438+615.5+1401.5+258+42</f>
        <v>213417.5</v>
      </c>
      <c r="H122" s="18">
        <f>16190+3500+1888+71+488+168+61+118+314+42+7</f>
        <v>22847</v>
      </c>
      <c r="I122" s="101">
        <f>+G122/H122</f>
        <v>9.341160765089509</v>
      </c>
      <c r="J122" s="89">
        <v>112</v>
      </c>
      <c r="K122" s="548">
        <v>1</v>
      </c>
    </row>
    <row r="123" spans="1:11" s="90" customFormat="1" ht="12" customHeight="1">
      <c r="A123" s="91">
        <v>113</v>
      </c>
      <c r="B123" s="282" t="s">
        <v>125</v>
      </c>
      <c r="C123" s="113">
        <v>40613</v>
      </c>
      <c r="D123" s="553" t="s">
        <v>62</v>
      </c>
      <c r="E123" s="172">
        <v>25</v>
      </c>
      <c r="F123" s="215">
        <v>17</v>
      </c>
      <c r="G123" s="344">
        <v>209999.5</v>
      </c>
      <c r="H123" s="342">
        <v>28158</v>
      </c>
      <c r="I123" s="101">
        <f>G123/H123</f>
        <v>7.457898288230698</v>
      </c>
      <c r="J123" s="99">
        <v>113</v>
      </c>
      <c r="K123" s="548"/>
    </row>
    <row r="124" spans="1:11" s="90" customFormat="1" ht="12" customHeight="1">
      <c r="A124" s="91">
        <v>114</v>
      </c>
      <c r="B124" s="615" t="s">
        <v>193</v>
      </c>
      <c r="C124" s="562">
        <v>40557</v>
      </c>
      <c r="D124" s="568" t="s">
        <v>8</v>
      </c>
      <c r="E124" s="569">
        <v>66</v>
      </c>
      <c r="F124" s="569">
        <v>8</v>
      </c>
      <c r="G124" s="15">
        <v>207906</v>
      </c>
      <c r="H124" s="16">
        <v>24812</v>
      </c>
      <c r="I124" s="275">
        <v>8.37925197485088</v>
      </c>
      <c r="J124" s="89">
        <v>114</v>
      </c>
      <c r="K124" s="548"/>
    </row>
    <row r="125" spans="1:11" s="90" customFormat="1" ht="12" customHeight="1">
      <c r="A125" s="91">
        <v>115</v>
      </c>
      <c r="B125" s="229" t="s">
        <v>432</v>
      </c>
      <c r="C125" s="2">
        <v>40760</v>
      </c>
      <c r="D125" s="588" t="s">
        <v>21</v>
      </c>
      <c r="E125" s="5">
        <v>50</v>
      </c>
      <c r="F125" s="3">
        <v>8</v>
      </c>
      <c r="G125" s="51">
        <f>67535+40656.5+19844+37179+18125.5+8409+4094.5+9234.5</f>
        <v>205078</v>
      </c>
      <c r="H125" s="48">
        <f>6900+4516+2977+4823+2464+1226+612+1455</f>
        <v>24973</v>
      </c>
      <c r="I125" s="276">
        <f>+G125/H125</f>
        <v>8.21198894806391</v>
      </c>
      <c r="J125" s="99">
        <v>115</v>
      </c>
      <c r="K125" s="548"/>
    </row>
    <row r="126" spans="1:11" s="90" customFormat="1" ht="12" customHeight="1">
      <c r="A126" s="91">
        <v>116</v>
      </c>
      <c r="B126" s="602" t="s">
        <v>374</v>
      </c>
      <c r="C126" s="567">
        <v>40739</v>
      </c>
      <c r="D126" s="588" t="s">
        <v>31</v>
      </c>
      <c r="E126" s="181">
        <v>17</v>
      </c>
      <c r="F126" s="186">
        <v>11</v>
      </c>
      <c r="G126" s="17">
        <f>42541+25929.5+29063+12725.5+17698.5+26553.5+14176.5+9569.5+16711+7438+2494</f>
        <v>204900</v>
      </c>
      <c r="H126" s="18">
        <f>3864+2719+2642+1433+2106+3202+2032+1129+1888+1023+354</f>
        <v>22392</v>
      </c>
      <c r="I126" s="1098">
        <f>G126/H126</f>
        <v>9.15058949624866</v>
      </c>
      <c r="J126" s="89">
        <v>116</v>
      </c>
      <c r="K126" s="548">
        <v>1</v>
      </c>
    </row>
    <row r="127" spans="1:11" s="90" customFormat="1" ht="12" customHeight="1">
      <c r="A127" s="91">
        <v>117</v>
      </c>
      <c r="B127" s="214" t="s">
        <v>395</v>
      </c>
      <c r="C127" s="631">
        <v>40543</v>
      </c>
      <c r="D127" s="580" t="s">
        <v>23</v>
      </c>
      <c r="E127" s="31">
        <v>118</v>
      </c>
      <c r="F127" s="31">
        <v>31</v>
      </c>
      <c r="G127" s="574">
        <v>203048</v>
      </c>
      <c r="H127" s="330">
        <v>22699</v>
      </c>
      <c r="I127" s="319">
        <f>+G127/H127</f>
        <v>8.94523987840874</v>
      </c>
      <c r="J127" s="99">
        <v>117</v>
      </c>
      <c r="K127" s="548">
        <v>1</v>
      </c>
    </row>
    <row r="128" spans="1:11" s="90" customFormat="1" ht="12" customHeight="1">
      <c r="A128" s="91">
        <v>118</v>
      </c>
      <c r="B128" s="229" t="s">
        <v>54</v>
      </c>
      <c r="C128" s="113">
        <v>40669</v>
      </c>
      <c r="D128" s="594" t="s">
        <v>8</v>
      </c>
      <c r="E128" s="24">
        <v>20</v>
      </c>
      <c r="F128" s="24">
        <v>13</v>
      </c>
      <c r="G128" s="620">
        <v>201291</v>
      </c>
      <c r="H128" s="621">
        <v>19555</v>
      </c>
      <c r="I128" s="319">
        <f>+G128/H128</f>
        <v>10.293582204039888</v>
      </c>
      <c r="J128" s="99">
        <v>118</v>
      </c>
      <c r="K128" s="548">
        <v>1</v>
      </c>
    </row>
    <row r="129" spans="1:11" s="90" customFormat="1" ht="12" customHeight="1">
      <c r="A129" s="91">
        <v>119</v>
      </c>
      <c r="B129" s="602" t="s">
        <v>399</v>
      </c>
      <c r="C129" s="113">
        <v>40760</v>
      </c>
      <c r="D129" s="588" t="s">
        <v>8</v>
      </c>
      <c r="E129" s="5">
        <v>15</v>
      </c>
      <c r="F129" s="5">
        <v>8</v>
      </c>
      <c r="G129" s="15">
        <v>196396</v>
      </c>
      <c r="H129" s="16">
        <v>17601</v>
      </c>
      <c r="I129" s="276">
        <f>+G129/H129</f>
        <v>11.15822964604284</v>
      </c>
      <c r="J129" s="89">
        <v>119</v>
      </c>
      <c r="K129" s="548">
        <v>1</v>
      </c>
    </row>
    <row r="130" spans="1:11" s="90" customFormat="1" ht="12" customHeight="1">
      <c r="A130" s="91">
        <v>120</v>
      </c>
      <c r="B130" s="716" t="s">
        <v>130</v>
      </c>
      <c r="C130" s="32">
        <v>40613</v>
      </c>
      <c r="D130" s="580" t="s">
        <v>31</v>
      </c>
      <c r="E130" s="31">
        <v>22</v>
      </c>
      <c r="F130" s="31">
        <v>17</v>
      </c>
      <c r="G130" s="644">
        <f>116753+45641.5+1507+3664+4533+723.5+456.5+2184+2545+520.5+610+1419+1872+2025.5+1249+6798+2626.5</f>
        <v>195128</v>
      </c>
      <c r="H130" s="645">
        <f>8727+3759+162+393+667+140+67+296+333+73+92+210+173+255+140+905+299</f>
        <v>16691</v>
      </c>
      <c r="I130" s="319">
        <f>+G130/H130</f>
        <v>11.690611706907914</v>
      </c>
      <c r="J130" s="99">
        <v>120</v>
      </c>
      <c r="K130" s="548">
        <v>1</v>
      </c>
    </row>
    <row r="131" spans="1:11" s="90" customFormat="1" ht="12" customHeight="1">
      <c r="A131" s="91">
        <v>121</v>
      </c>
      <c r="B131" s="205" t="s">
        <v>68</v>
      </c>
      <c r="C131" s="2">
        <v>40682</v>
      </c>
      <c r="D131" s="588" t="s">
        <v>21</v>
      </c>
      <c r="E131" s="5">
        <v>45</v>
      </c>
      <c r="F131" s="3">
        <v>15</v>
      </c>
      <c r="G131" s="51">
        <f>13185+73231+37777+23268.5+18693.5+7384+9469.5+1890+288+1214+2255+1460+319+820+582+314</f>
        <v>192150.5</v>
      </c>
      <c r="H131" s="48">
        <f>1138+8298+4612+3436+2782+1275+1363+239+41+242+308+191+51+120+81+52</f>
        <v>24229</v>
      </c>
      <c r="I131" s="276">
        <f>+G131/H131</f>
        <v>7.9305996945808745</v>
      </c>
      <c r="J131" s="89">
        <v>121</v>
      </c>
      <c r="K131" s="548">
        <v>1</v>
      </c>
    </row>
    <row r="132" spans="1:11" s="90" customFormat="1" ht="12" customHeight="1">
      <c r="A132" s="91">
        <v>122</v>
      </c>
      <c r="B132" s="602" t="s">
        <v>393</v>
      </c>
      <c r="C132" s="113">
        <v>40655</v>
      </c>
      <c r="D132" s="594" t="s">
        <v>28</v>
      </c>
      <c r="E132" s="31">
        <v>25</v>
      </c>
      <c r="F132" s="31">
        <v>14</v>
      </c>
      <c r="G132" s="574">
        <f>94030+36665.5+19228.5+15274+9884.5+3195.5+2792+1795+3042.5+1500+1095+266+180+156</f>
        <v>189104.5</v>
      </c>
      <c r="H132" s="575">
        <f>8677+3579+2658+2286+1470+489+408+244+413+249+211+52+30+26</f>
        <v>20792</v>
      </c>
      <c r="I132" s="630">
        <f>+G132/H132</f>
        <v>9.095060600230857</v>
      </c>
      <c r="J132" s="99">
        <v>122</v>
      </c>
      <c r="K132" s="548">
        <v>1</v>
      </c>
    </row>
    <row r="133" spans="1:11" s="90" customFormat="1" ht="12" customHeight="1">
      <c r="A133" s="91">
        <v>123</v>
      </c>
      <c r="B133" s="205" t="s">
        <v>194</v>
      </c>
      <c r="C133" s="2">
        <v>40634</v>
      </c>
      <c r="D133" s="20" t="s">
        <v>139</v>
      </c>
      <c r="E133" s="5">
        <v>44</v>
      </c>
      <c r="F133" s="5">
        <v>7</v>
      </c>
      <c r="G133" s="222">
        <v>189001.75</v>
      </c>
      <c r="H133" s="223">
        <v>21097</v>
      </c>
      <c r="I133" s="275">
        <f>+G133/H133</f>
        <v>8.95870265914585</v>
      </c>
      <c r="J133" s="89">
        <v>123</v>
      </c>
      <c r="K133" s="548">
        <v>1</v>
      </c>
    </row>
    <row r="134" spans="1:11" s="90" customFormat="1" ht="12" customHeight="1">
      <c r="A134" s="91">
        <v>124</v>
      </c>
      <c r="B134" s="967" t="s">
        <v>467</v>
      </c>
      <c r="C134" s="113">
        <v>40809</v>
      </c>
      <c r="D134" s="588" t="s">
        <v>23</v>
      </c>
      <c r="E134" s="181">
        <v>53</v>
      </c>
      <c r="F134" s="33">
        <v>1</v>
      </c>
      <c r="G134" s="344">
        <v>187160</v>
      </c>
      <c r="H134" s="342">
        <v>15327</v>
      </c>
      <c r="I134" s="276">
        <f>+G134/H134</f>
        <v>12.211130684413128</v>
      </c>
      <c r="J134" s="99">
        <v>124</v>
      </c>
      <c r="K134" s="548">
        <v>1</v>
      </c>
    </row>
    <row r="135" spans="1:11" s="90" customFormat="1" ht="12" customHeight="1">
      <c r="A135" s="91">
        <v>125</v>
      </c>
      <c r="B135" s="262" t="s">
        <v>67</v>
      </c>
      <c r="C135" s="32">
        <v>40682</v>
      </c>
      <c r="D135" s="114" t="s">
        <v>31</v>
      </c>
      <c r="E135" s="33">
        <v>101</v>
      </c>
      <c r="F135" s="33">
        <v>11</v>
      </c>
      <c r="G135" s="17">
        <f>27003.5+85794+43816.5+12611.5+5021+2538+922+420+6989.5+224+445+1188</f>
        <v>186973</v>
      </c>
      <c r="H135" s="18">
        <f>3081+10215+5836+1972+779+451+155+94+1736+32+81+297</f>
        <v>24729</v>
      </c>
      <c r="I135" s="98">
        <f>+G135/H135</f>
        <v>7.560879938533706</v>
      </c>
      <c r="J135" s="99">
        <v>125</v>
      </c>
      <c r="K135" s="548">
        <v>1</v>
      </c>
    </row>
    <row r="136" spans="1:11" s="90" customFormat="1" ht="12" customHeight="1">
      <c r="A136" s="91">
        <v>126</v>
      </c>
      <c r="B136" s="430" t="s">
        <v>360</v>
      </c>
      <c r="C136" s="113">
        <v>40725</v>
      </c>
      <c r="D136" s="114" t="s">
        <v>72</v>
      </c>
      <c r="E136" s="3">
        <v>32</v>
      </c>
      <c r="F136" s="213">
        <v>11</v>
      </c>
      <c r="G136" s="15">
        <v>184767</v>
      </c>
      <c r="H136" s="16">
        <v>21510</v>
      </c>
      <c r="I136" s="98">
        <f>+G136/H136</f>
        <v>8.589818688981868</v>
      </c>
      <c r="J136" s="89">
        <v>126</v>
      </c>
      <c r="K136" s="548">
        <v>1</v>
      </c>
    </row>
    <row r="137" spans="1:11" s="90" customFormat="1" ht="12" customHeight="1">
      <c r="A137" s="91">
        <v>127</v>
      </c>
      <c r="B137" s="950" t="s">
        <v>352</v>
      </c>
      <c r="C137" s="399">
        <v>40732</v>
      </c>
      <c r="D137" s="881" t="s">
        <v>62</v>
      </c>
      <c r="E137" s="213">
        <v>15</v>
      </c>
      <c r="F137" s="215">
        <v>12</v>
      </c>
      <c r="G137" s="344">
        <v>181562</v>
      </c>
      <c r="H137" s="342">
        <v>22205</v>
      </c>
      <c r="I137" s="276">
        <f>+G137/H137</f>
        <v>8.176626885836523</v>
      </c>
      <c r="J137" s="99">
        <v>127</v>
      </c>
      <c r="K137" s="548"/>
    </row>
    <row r="138" spans="1:11" s="90" customFormat="1" ht="12" customHeight="1">
      <c r="A138" s="91">
        <v>128</v>
      </c>
      <c r="B138" s="229" t="s">
        <v>38</v>
      </c>
      <c r="C138" s="113">
        <v>40648</v>
      </c>
      <c r="D138" s="594" t="s">
        <v>8</v>
      </c>
      <c r="E138" s="5">
        <v>10</v>
      </c>
      <c r="F138" s="5">
        <v>18</v>
      </c>
      <c r="G138" s="15">
        <v>178719</v>
      </c>
      <c r="H138" s="753">
        <v>17042</v>
      </c>
      <c r="I138" s="98">
        <f>+G138/H138</f>
        <v>10.48697335993428</v>
      </c>
      <c r="J138" s="89">
        <v>128</v>
      </c>
      <c r="K138" s="548"/>
    </row>
    <row r="139" spans="1:11" s="90" customFormat="1" ht="12" customHeight="1">
      <c r="A139" s="91">
        <v>129</v>
      </c>
      <c r="B139" s="716" t="s">
        <v>19</v>
      </c>
      <c r="C139" s="32">
        <v>40620</v>
      </c>
      <c r="D139" s="580" t="s">
        <v>31</v>
      </c>
      <c r="E139" s="31">
        <v>18</v>
      </c>
      <c r="F139" s="540">
        <v>11</v>
      </c>
      <c r="G139" s="961">
        <f>39453.5+44225+30459.5+23462+13989+8982.5+6844+2370+4120+2588+1886</f>
        <v>178379.5</v>
      </c>
      <c r="H139" s="962">
        <f>5345+6302+4080+3427+1964+1106+1298+366+730+571+456</f>
        <v>25645</v>
      </c>
      <c r="I139" s="319">
        <f>+G139/H139</f>
        <v>6.95572236303373</v>
      </c>
      <c r="J139" s="99">
        <v>129</v>
      </c>
      <c r="K139" s="548"/>
    </row>
    <row r="140" spans="1:11" s="90" customFormat="1" ht="12" customHeight="1">
      <c r="A140" s="91">
        <v>130</v>
      </c>
      <c r="B140" s="952" t="s">
        <v>436</v>
      </c>
      <c r="C140" s="113">
        <v>40788</v>
      </c>
      <c r="D140" s="588" t="s">
        <v>23</v>
      </c>
      <c r="E140" s="181">
        <v>40</v>
      </c>
      <c r="F140" s="208">
        <v>4</v>
      </c>
      <c r="G140" s="1155">
        <v>173214</v>
      </c>
      <c r="H140" s="867">
        <v>15558</v>
      </c>
      <c r="I140" s="1098">
        <f>G140/H140</f>
        <v>11.133436174315465</v>
      </c>
      <c r="J140" s="89">
        <v>130</v>
      </c>
      <c r="K140" s="548"/>
    </row>
    <row r="141" spans="1:11" s="90" customFormat="1" ht="12" customHeight="1">
      <c r="A141" s="91">
        <v>131</v>
      </c>
      <c r="B141" s="558" t="s">
        <v>55</v>
      </c>
      <c r="C141" s="113">
        <v>40669</v>
      </c>
      <c r="D141" s="114" t="s">
        <v>23</v>
      </c>
      <c r="E141" s="119">
        <v>71</v>
      </c>
      <c r="F141" s="208">
        <v>8</v>
      </c>
      <c r="G141" s="1155">
        <v>168950</v>
      </c>
      <c r="H141" s="867">
        <v>18267</v>
      </c>
      <c r="I141" s="98">
        <f>+G141/H141</f>
        <v>9.248918815350084</v>
      </c>
      <c r="J141" s="99">
        <v>131</v>
      </c>
      <c r="K141" s="548">
        <v>1</v>
      </c>
    </row>
    <row r="142" spans="1:11" s="90" customFormat="1" ht="12" customHeight="1">
      <c r="A142" s="91">
        <v>132</v>
      </c>
      <c r="B142" s="205" t="s">
        <v>383</v>
      </c>
      <c r="C142" s="2">
        <v>40746</v>
      </c>
      <c r="D142" s="588" t="s">
        <v>21</v>
      </c>
      <c r="E142" s="5">
        <v>23</v>
      </c>
      <c r="F142" s="4">
        <v>10</v>
      </c>
      <c r="G142" s="51">
        <f>47685+27229.5+17697.5+18612+19593.5+16691+6089.5+2551.5+2254+4358</f>
        <v>162761.5</v>
      </c>
      <c r="H142" s="48">
        <f>4321+2419+2108+2430+2448+2072+892+397+346+639</f>
        <v>18072</v>
      </c>
      <c r="I142" s="276">
        <f>+G142/H142</f>
        <v>9.006280433820274</v>
      </c>
      <c r="J142" s="99">
        <v>132</v>
      </c>
      <c r="K142" s="548"/>
    </row>
    <row r="143" spans="1:11" s="90" customFormat="1" ht="12" customHeight="1">
      <c r="A143" s="91">
        <v>133</v>
      </c>
      <c r="B143" s="602" t="s">
        <v>216</v>
      </c>
      <c r="C143" s="113">
        <v>40690</v>
      </c>
      <c r="D143" s="594" t="s">
        <v>28</v>
      </c>
      <c r="E143" s="31">
        <v>50</v>
      </c>
      <c r="F143" s="31">
        <v>11</v>
      </c>
      <c r="G143" s="333">
        <f>158493+654+221+564+90+36</f>
        <v>160058</v>
      </c>
      <c r="H143" s="330">
        <f>17460+97+38+91+15+6</f>
        <v>17707</v>
      </c>
      <c r="I143" s="630">
        <f>+G143/H143</f>
        <v>9.03925001411871</v>
      </c>
      <c r="J143" s="89">
        <v>133</v>
      </c>
      <c r="K143" s="548">
        <v>1</v>
      </c>
    </row>
    <row r="144" spans="1:11" s="90" customFormat="1" ht="12" customHeight="1">
      <c r="A144" s="91">
        <v>134</v>
      </c>
      <c r="B144" s="262" t="s">
        <v>39</v>
      </c>
      <c r="C144" s="32">
        <v>40648</v>
      </c>
      <c r="D144" s="114" t="s">
        <v>31</v>
      </c>
      <c r="E144" s="33">
        <v>28</v>
      </c>
      <c r="F144" s="33">
        <v>20</v>
      </c>
      <c r="G144" s="17">
        <f>67573+47761.5+14206.5+4949+3617+1080.5+492+714+1413.5+3743.5+735+1502.5+825+1147+1818+154+295+2263+179+160</f>
        <v>154629</v>
      </c>
      <c r="H144" s="18">
        <f>6695+4901+2068+559+504+215+178+122+205+836+119+235+131+174+400+22+45+527+35+28</f>
        <v>17999</v>
      </c>
      <c r="I144" s="101">
        <f>G144/H144</f>
        <v>8.590977276515362</v>
      </c>
      <c r="J144" s="99">
        <v>134</v>
      </c>
      <c r="K144" s="548"/>
    </row>
    <row r="145" spans="1:11" s="90" customFormat="1" ht="12" customHeight="1">
      <c r="A145" s="91">
        <v>135</v>
      </c>
      <c r="B145" s="949" t="s">
        <v>400</v>
      </c>
      <c r="C145" s="567">
        <v>40760</v>
      </c>
      <c r="D145" s="881" t="s">
        <v>62</v>
      </c>
      <c r="E145" s="213">
        <v>15</v>
      </c>
      <c r="F145" s="215">
        <v>8</v>
      </c>
      <c r="G145" s="344">
        <v>154377</v>
      </c>
      <c r="H145" s="342">
        <v>20014</v>
      </c>
      <c r="I145" s="1098">
        <f>+G145/H145</f>
        <v>7.713450584590786</v>
      </c>
      <c r="J145" s="89">
        <v>135</v>
      </c>
      <c r="K145" s="548"/>
    </row>
    <row r="146" spans="1:11" s="90" customFormat="1" ht="12" customHeight="1">
      <c r="A146" s="91">
        <v>136</v>
      </c>
      <c r="B146" s="282" t="s">
        <v>56</v>
      </c>
      <c r="C146" s="475">
        <v>40655</v>
      </c>
      <c r="D146" s="114" t="s">
        <v>28</v>
      </c>
      <c r="E146" s="33">
        <v>67</v>
      </c>
      <c r="F146" s="33">
        <v>11</v>
      </c>
      <c r="G146" s="963">
        <f>67248.5+45099.5+15076+5484+3476+6884.5+3289+1008+1347+56+29</f>
        <v>148997.5</v>
      </c>
      <c r="H146" s="1080">
        <f>9201+6328+2377+887+535+1078+734+154+231+8+4</f>
        <v>21537</v>
      </c>
      <c r="I146" s="98">
        <f>+G146/H146</f>
        <v>6.9182105214282394</v>
      </c>
      <c r="J146" s="99">
        <v>136</v>
      </c>
      <c r="K146" s="548"/>
    </row>
    <row r="147" spans="1:11" s="90" customFormat="1" ht="12" customHeight="1">
      <c r="A147" s="91">
        <v>137</v>
      </c>
      <c r="B147" s="205" t="s">
        <v>195</v>
      </c>
      <c r="C147" s="2">
        <v>40592</v>
      </c>
      <c r="D147" s="21" t="s">
        <v>8</v>
      </c>
      <c r="E147" s="5">
        <v>68</v>
      </c>
      <c r="F147" s="5">
        <v>6</v>
      </c>
      <c r="G147" s="15">
        <v>148435</v>
      </c>
      <c r="H147" s="16">
        <v>15321</v>
      </c>
      <c r="I147" s="276">
        <f>+G147/H147</f>
        <v>9.688336270478429</v>
      </c>
      <c r="J147" s="89">
        <v>137</v>
      </c>
      <c r="K147" s="548"/>
    </row>
    <row r="148" spans="1:11" s="90" customFormat="1" ht="12" customHeight="1">
      <c r="A148" s="91">
        <v>138</v>
      </c>
      <c r="B148" s="205" t="s">
        <v>408</v>
      </c>
      <c r="C148" s="113">
        <v>40767</v>
      </c>
      <c r="D148" s="588" t="s">
        <v>8</v>
      </c>
      <c r="E148" s="5">
        <v>35</v>
      </c>
      <c r="F148" s="5">
        <v>7</v>
      </c>
      <c r="G148" s="15">
        <v>143299</v>
      </c>
      <c r="H148" s="16">
        <v>15551</v>
      </c>
      <c r="I148" s="1098">
        <f>G148/H148</f>
        <v>9.214777184746962</v>
      </c>
      <c r="J148" s="99">
        <v>138</v>
      </c>
      <c r="K148" s="548">
        <v>1</v>
      </c>
    </row>
    <row r="149" spans="1:11" s="90" customFormat="1" ht="12" customHeight="1">
      <c r="A149" s="91">
        <v>139</v>
      </c>
      <c r="B149" s="466" t="s">
        <v>196</v>
      </c>
      <c r="C149" s="185">
        <v>40662</v>
      </c>
      <c r="D149" s="114" t="s">
        <v>31</v>
      </c>
      <c r="E149" s="181">
        <v>8</v>
      </c>
      <c r="F149" s="181">
        <v>5</v>
      </c>
      <c r="G149" s="17">
        <f>67674.75+46830+18110+1476+5524</f>
        <v>139614.75</v>
      </c>
      <c r="H149" s="18">
        <f>4668+3128+1120+94+406</f>
        <v>9416</v>
      </c>
      <c r="I149" s="98">
        <f>+G149/H149</f>
        <v>14.827394859813085</v>
      </c>
      <c r="J149" s="99">
        <v>139</v>
      </c>
      <c r="K149" s="548">
        <v>1</v>
      </c>
    </row>
    <row r="150" spans="1:11" s="90" customFormat="1" ht="12" customHeight="1">
      <c r="A150" s="91">
        <v>140</v>
      </c>
      <c r="B150" s="466" t="s">
        <v>63</v>
      </c>
      <c r="C150" s="185">
        <v>40676</v>
      </c>
      <c r="D150" s="114" t="s">
        <v>31</v>
      </c>
      <c r="E150" s="585">
        <v>10</v>
      </c>
      <c r="F150" s="857">
        <v>18</v>
      </c>
      <c r="G150" s="17">
        <f>25538+8567.5+9964.5+12234+14938.5+9476+11986.5+8134.5+5758+8917.5+7919+5060.5+2172+2744.5+2803.5+532+234+96</f>
        <v>137076.5</v>
      </c>
      <c r="H150" s="18">
        <f>2653+1137+1115+1743+2142+1338+1216+1069+896+1180+1242+698+379+388+425+83+39+16</f>
        <v>17759</v>
      </c>
      <c r="I150" s="101">
        <f>+G150/H150</f>
        <v>7.718706008221184</v>
      </c>
      <c r="J150" s="89">
        <v>140</v>
      </c>
      <c r="K150" s="548"/>
    </row>
    <row r="151" spans="1:11" s="90" customFormat="1" ht="12" customHeight="1">
      <c r="A151" s="91">
        <v>141</v>
      </c>
      <c r="B151" s="611" t="s">
        <v>197</v>
      </c>
      <c r="C151" s="562">
        <v>40634</v>
      </c>
      <c r="D151" s="561" t="s">
        <v>198</v>
      </c>
      <c r="E151" s="563">
        <v>1</v>
      </c>
      <c r="F151" s="563">
        <v>6</v>
      </c>
      <c r="G151" s="291">
        <v>128300</v>
      </c>
      <c r="H151" s="292">
        <v>14008</v>
      </c>
      <c r="I151" s="275">
        <f>+G151/H151</f>
        <v>9.159051970302684</v>
      </c>
      <c r="J151" s="99">
        <v>141</v>
      </c>
      <c r="K151" s="548"/>
    </row>
    <row r="152" spans="1:11" s="90" customFormat="1" ht="12" customHeight="1">
      <c r="A152" s="91">
        <v>142</v>
      </c>
      <c r="B152" s="951" t="s">
        <v>418</v>
      </c>
      <c r="C152" s="32">
        <v>40774</v>
      </c>
      <c r="D152" s="588" t="s">
        <v>31</v>
      </c>
      <c r="E152" s="181">
        <v>25</v>
      </c>
      <c r="F152" s="186">
        <v>6</v>
      </c>
      <c r="G152" s="17">
        <f>71665+23168+6045+9867+5511.5+7115.5</f>
        <v>123372</v>
      </c>
      <c r="H152" s="18">
        <f>5766+2127+747+1564+727+1254</f>
        <v>12185</v>
      </c>
      <c r="I152" s="276">
        <f>+G152/H152</f>
        <v>10.124907673368897</v>
      </c>
      <c r="J152" s="89">
        <v>142</v>
      </c>
      <c r="K152" s="548">
        <v>1</v>
      </c>
    </row>
    <row r="153" spans="1:11" s="90" customFormat="1" ht="12" customHeight="1">
      <c r="A153" s="91">
        <v>143</v>
      </c>
      <c r="B153" s="952" t="s">
        <v>391</v>
      </c>
      <c r="C153" s="113">
        <v>40753</v>
      </c>
      <c r="D153" s="588" t="s">
        <v>72</v>
      </c>
      <c r="E153" s="181">
        <v>10</v>
      </c>
      <c r="F153" s="213">
        <v>9</v>
      </c>
      <c r="G153" s="754">
        <v>122859</v>
      </c>
      <c r="H153" s="173">
        <v>14950</v>
      </c>
      <c r="I153" s="98">
        <f>+G153/H153</f>
        <v>8.217993311036789</v>
      </c>
      <c r="J153" s="99">
        <v>143</v>
      </c>
      <c r="K153" s="548"/>
    </row>
    <row r="154" spans="1:11" s="90" customFormat="1" ht="12" customHeight="1">
      <c r="A154" s="91">
        <v>144</v>
      </c>
      <c r="B154" s="1143" t="s">
        <v>359</v>
      </c>
      <c r="C154" s="461">
        <v>40704</v>
      </c>
      <c r="D154" s="588" t="s">
        <v>28</v>
      </c>
      <c r="E154" s="5">
        <v>25</v>
      </c>
      <c r="F154" s="240">
        <v>16</v>
      </c>
      <c r="G154" s="866">
        <f>43219+22056.5+14006+11048+8484+3910+2043+1766+1438.5+2339+1978+2019+1227+324+188+152</f>
        <v>116198</v>
      </c>
      <c r="H154" s="342">
        <f>5354+2999+1948+1502+1234+633+338+284+205+242+255+266+163+48+28+22</f>
        <v>15521</v>
      </c>
      <c r="I154" s="276">
        <f>+G154/H154</f>
        <v>7.4865021583660845</v>
      </c>
      <c r="J154" s="89">
        <v>144</v>
      </c>
      <c r="K154" s="548"/>
    </row>
    <row r="155" spans="1:11" s="90" customFormat="1" ht="12" customHeight="1">
      <c r="A155" s="91">
        <v>145</v>
      </c>
      <c r="B155" s="602" t="s">
        <v>375</v>
      </c>
      <c r="C155" s="567">
        <v>40739</v>
      </c>
      <c r="D155" s="588" t="s">
        <v>62</v>
      </c>
      <c r="E155" s="119">
        <v>15</v>
      </c>
      <c r="F155" s="215">
        <v>11</v>
      </c>
      <c r="G155" s="344">
        <v>115939.5</v>
      </c>
      <c r="H155" s="342">
        <v>12785</v>
      </c>
      <c r="I155" s="276">
        <f>+G155/H155</f>
        <v>9.068400469299961</v>
      </c>
      <c r="J155" s="99">
        <v>145</v>
      </c>
      <c r="K155" s="548"/>
    </row>
    <row r="156" spans="1:11" s="90" customFormat="1" ht="12" customHeight="1">
      <c r="A156" s="91">
        <v>146</v>
      </c>
      <c r="B156" s="602" t="s">
        <v>69</v>
      </c>
      <c r="C156" s="567">
        <v>40683</v>
      </c>
      <c r="D156" s="588" t="s">
        <v>62</v>
      </c>
      <c r="E156" s="119">
        <v>33</v>
      </c>
      <c r="F156" s="215">
        <v>14</v>
      </c>
      <c r="G156" s="344">
        <v>114311.75</v>
      </c>
      <c r="H156" s="342">
        <v>14051</v>
      </c>
      <c r="I156" s="276">
        <f>+G156/H156</f>
        <v>8.135488577325457</v>
      </c>
      <c r="J156" s="99">
        <v>146</v>
      </c>
      <c r="K156" s="548"/>
    </row>
    <row r="157" spans="1:11" s="90" customFormat="1" ht="12" customHeight="1">
      <c r="A157" s="91">
        <v>147</v>
      </c>
      <c r="B157" s="610" t="s">
        <v>61</v>
      </c>
      <c r="C157" s="567">
        <v>40676</v>
      </c>
      <c r="D157" s="590" t="s">
        <v>62</v>
      </c>
      <c r="E157" s="172">
        <v>15</v>
      </c>
      <c r="F157" s="172">
        <v>15</v>
      </c>
      <c r="G157" s="754">
        <v>111384.75</v>
      </c>
      <c r="H157" s="173">
        <v>10340</v>
      </c>
      <c r="I157" s="98">
        <f>+G157/H157</f>
        <v>10.772219535783366</v>
      </c>
      <c r="J157" s="89">
        <v>147</v>
      </c>
      <c r="K157" s="548">
        <v>1</v>
      </c>
    </row>
    <row r="158" spans="1:11" s="90" customFormat="1" ht="12" customHeight="1">
      <c r="A158" s="91">
        <v>148</v>
      </c>
      <c r="B158" s="171" t="s">
        <v>235</v>
      </c>
      <c r="C158" s="399">
        <v>40711</v>
      </c>
      <c r="D158" s="553" t="s">
        <v>62</v>
      </c>
      <c r="E158" s="172">
        <v>10</v>
      </c>
      <c r="F158" s="215">
        <v>13</v>
      </c>
      <c r="G158" s="344">
        <v>107985.5</v>
      </c>
      <c r="H158" s="342">
        <v>12346</v>
      </c>
      <c r="I158" s="101">
        <f>+G158/H158</f>
        <v>8.7465980884497</v>
      </c>
      <c r="J158" s="99">
        <v>148</v>
      </c>
      <c r="K158" s="548"/>
    </row>
    <row r="159" spans="1:11" s="90" customFormat="1" ht="12" customHeight="1">
      <c r="A159" s="91">
        <v>149</v>
      </c>
      <c r="B159" s="171" t="s">
        <v>199</v>
      </c>
      <c r="C159" s="399">
        <v>40557</v>
      </c>
      <c r="D159" s="403" t="s">
        <v>62</v>
      </c>
      <c r="E159" s="172">
        <v>7</v>
      </c>
      <c r="F159" s="172">
        <v>13</v>
      </c>
      <c r="G159" s="754">
        <v>106233</v>
      </c>
      <c r="H159" s="173">
        <v>8418</v>
      </c>
      <c r="I159" s="336">
        <f>G159/H159</f>
        <v>12.619743406985032</v>
      </c>
      <c r="J159" s="89">
        <v>149</v>
      </c>
      <c r="K159" s="548"/>
    </row>
    <row r="160" spans="1:11" s="90" customFormat="1" ht="12" customHeight="1">
      <c r="A160" s="91">
        <v>150</v>
      </c>
      <c r="B160" s="602" t="s">
        <v>71</v>
      </c>
      <c r="C160" s="113">
        <v>40683</v>
      </c>
      <c r="D160" s="588" t="s">
        <v>72</v>
      </c>
      <c r="E160" s="588">
        <v>10</v>
      </c>
      <c r="F160" s="618">
        <v>12</v>
      </c>
      <c r="G160" s="620">
        <v>103579</v>
      </c>
      <c r="H160" s="621">
        <v>12626</v>
      </c>
      <c r="I160" s="319">
        <f>G160/H160</f>
        <v>8.203627435450658</v>
      </c>
      <c r="J160" s="99">
        <v>150</v>
      </c>
      <c r="K160" s="548"/>
    </row>
    <row r="161" spans="1:11" s="90" customFormat="1" ht="12" customHeight="1">
      <c r="A161" s="91">
        <v>151</v>
      </c>
      <c r="B161" s="716" t="s">
        <v>127</v>
      </c>
      <c r="C161" s="32">
        <v>40627</v>
      </c>
      <c r="D161" s="580" t="s">
        <v>31</v>
      </c>
      <c r="E161" s="33">
        <v>28</v>
      </c>
      <c r="F161" s="33">
        <v>19</v>
      </c>
      <c r="G161" s="17">
        <f>43236.5+18123.5+2183+2517+14418.5+7091+2412+1549+490+210+952+2955+475+189+1225.5+4251.5+245+646+111</f>
        <v>103280.5</v>
      </c>
      <c r="H161" s="18">
        <f>4478+2475+287+545+1573+1026+361+242+70+30+145+654+78+27+178+568+31+97+19</f>
        <v>12884</v>
      </c>
      <c r="I161" s="98">
        <f>+G161/H161</f>
        <v>8.016182862465072</v>
      </c>
      <c r="J161" s="89">
        <v>151</v>
      </c>
      <c r="K161" s="548">
        <v>1</v>
      </c>
    </row>
    <row r="162" spans="1:11" s="90" customFormat="1" ht="12" customHeight="1">
      <c r="A162" s="91">
        <v>152</v>
      </c>
      <c r="B162" s="387" t="s">
        <v>200</v>
      </c>
      <c r="C162" s="2">
        <v>40543</v>
      </c>
      <c r="D162" s="114" t="s">
        <v>21</v>
      </c>
      <c r="E162" s="3">
        <v>20</v>
      </c>
      <c r="F162" s="3">
        <v>14</v>
      </c>
      <c r="G162" s="51">
        <f>66843.5+17122+2473.5+3354+459+3105+2586+96+1107+715+177+672.5+455+1188</f>
        <v>100353.5</v>
      </c>
      <c r="H162" s="48">
        <f>6779+1684+271+528+66+413+401+16+171+108+29+104+65+238</f>
        <v>10873</v>
      </c>
      <c r="I162" s="98">
        <f>+G162/H162</f>
        <v>9.229605444679482</v>
      </c>
      <c r="J162" s="99">
        <v>152</v>
      </c>
      <c r="K162" s="548"/>
    </row>
    <row r="163" spans="1:11" s="90" customFormat="1" ht="12" customHeight="1">
      <c r="A163" s="91">
        <v>153</v>
      </c>
      <c r="B163" s="602" t="s">
        <v>257</v>
      </c>
      <c r="C163" s="113">
        <v>40725</v>
      </c>
      <c r="D163" s="588" t="s">
        <v>31</v>
      </c>
      <c r="E163" s="181">
        <v>6</v>
      </c>
      <c r="F163" s="186">
        <v>13</v>
      </c>
      <c r="G163" s="17">
        <f>16465+9500+5645+13030+10398+11692+7410.5+2355+7761+5462+3973.5+3146+3115.5</f>
        <v>99953.5</v>
      </c>
      <c r="H163" s="18">
        <f>1904+1204+844+1431+1183+1312+852+328+971+757+559+444+457</f>
        <v>12246</v>
      </c>
      <c r="I163" s="1098">
        <f>G163/H163</f>
        <v>8.162134574554957</v>
      </c>
      <c r="J163" s="99">
        <v>153</v>
      </c>
      <c r="K163" s="548"/>
    </row>
    <row r="164" spans="1:11" s="90" customFormat="1" ht="12" customHeight="1">
      <c r="A164" s="91">
        <v>154</v>
      </c>
      <c r="B164" s="282" t="s">
        <v>202</v>
      </c>
      <c r="C164" s="113">
        <v>40620</v>
      </c>
      <c r="D164" s="114" t="s">
        <v>138</v>
      </c>
      <c r="E164" s="33">
        <v>15</v>
      </c>
      <c r="F164" s="33">
        <v>13</v>
      </c>
      <c r="G164" s="507">
        <v>96748</v>
      </c>
      <c r="H164" s="818">
        <v>7890</v>
      </c>
      <c r="I164" s="101">
        <f>G164/H164</f>
        <v>12.26210392902408</v>
      </c>
      <c r="J164" s="89">
        <v>154</v>
      </c>
      <c r="K164" s="548"/>
    </row>
    <row r="165" spans="1:11" s="90" customFormat="1" ht="12" customHeight="1">
      <c r="A165" s="91">
        <v>155</v>
      </c>
      <c r="B165" s="466" t="s">
        <v>234</v>
      </c>
      <c r="C165" s="185">
        <v>40711</v>
      </c>
      <c r="D165" s="114" t="s">
        <v>31</v>
      </c>
      <c r="E165" s="585">
        <v>35</v>
      </c>
      <c r="F165" s="861">
        <v>12</v>
      </c>
      <c r="G165" s="712">
        <f>42716+18359+6954+4671+7219+4213.5+7453.5+115+391+1782+1095.5+151</f>
        <v>95120.5</v>
      </c>
      <c r="H165" s="14">
        <f>3820+1772+995+686+1245+656+919+17+55+446+120+21</f>
        <v>10752</v>
      </c>
      <c r="I165" s="101">
        <f>+G165/H165</f>
        <v>8.846772693452381</v>
      </c>
      <c r="J165" s="99">
        <v>155</v>
      </c>
      <c r="K165" s="548"/>
    </row>
    <row r="166" spans="1:11" s="90" customFormat="1" ht="12" customHeight="1">
      <c r="A166" s="91">
        <v>156</v>
      </c>
      <c r="B166" s="282" t="s">
        <v>361</v>
      </c>
      <c r="C166" s="32">
        <v>40655</v>
      </c>
      <c r="D166" s="580" t="s">
        <v>79</v>
      </c>
      <c r="E166" s="33">
        <v>10</v>
      </c>
      <c r="F166" s="6">
        <v>11</v>
      </c>
      <c r="G166" s="799">
        <v>93867.5</v>
      </c>
      <c r="H166" s="753">
        <v>8731</v>
      </c>
      <c r="I166" s="101">
        <f>+G166/H166</f>
        <v>10.751059443362731</v>
      </c>
      <c r="J166" s="89">
        <v>156</v>
      </c>
      <c r="K166" s="548">
        <v>1</v>
      </c>
    </row>
    <row r="167" spans="1:11" s="90" customFormat="1" ht="12" customHeight="1">
      <c r="A167" s="91">
        <v>157</v>
      </c>
      <c r="B167" s="612" t="s">
        <v>201</v>
      </c>
      <c r="C167" s="185">
        <v>40564</v>
      </c>
      <c r="D167" s="114" t="s">
        <v>31</v>
      </c>
      <c r="E167" s="186">
        <v>13</v>
      </c>
      <c r="F167" s="199">
        <v>10</v>
      </c>
      <c r="G167" s="712">
        <f>64028+21223+629+205+489+141+1188+2376+335+485</f>
        <v>91099</v>
      </c>
      <c r="H167" s="14">
        <f>5321+1577+38+24+63+17+297+594+36+47</f>
        <v>8014</v>
      </c>
      <c r="I167" s="101">
        <f>G167/H167</f>
        <v>11.36748190666334</v>
      </c>
      <c r="J167" s="99">
        <v>157</v>
      </c>
      <c r="K167" s="548"/>
    </row>
    <row r="168" spans="1:11" s="90" customFormat="1" ht="12" customHeight="1">
      <c r="A168" s="91">
        <v>158</v>
      </c>
      <c r="B168" s="949" t="s">
        <v>419</v>
      </c>
      <c r="C168" s="399">
        <v>40774</v>
      </c>
      <c r="D168" s="881" t="s">
        <v>62</v>
      </c>
      <c r="E168" s="213">
        <v>7</v>
      </c>
      <c r="F168" s="856">
        <v>6</v>
      </c>
      <c r="G168" s="868">
        <v>90372.5</v>
      </c>
      <c r="H168" s="867">
        <v>10515</v>
      </c>
      <c r="I168" s="1098">
        <f>+G168/H168</f>
        <v>8.594626723728007</v>
      </c>
      <c r="J168" s="89">
        <v>158</v>
      </c>
      <c r="K168" s="548"/>
    </row>
    <row r="169" spans="1:11" s="90" customFormat="1" ht="12" customHeight="1">
      <c r="A169" s="91">
        <v>159</v>
      </c>
      <c r="B169" s="1162" t="s">
        <v>384</v>
      </c>
      <c r="C169" s="185">
        <v>40746</v>
      </c>
      <c r="D169" s="588" t="s">
        <v>31</v>
      </c>
      <c r="E169" s="33">
        <v>8</v>
      </c>
      <c r="F169" s="186">
        <v>9</v>
      </c>
      <c r="G169" s="712">
        <f>34995.5+29767+4050+6340+3008.5+4152+1152+3132.5+792</f>
        <v>87389.5</v>
      </c>
      <c r="H169" s="14">
        <f>2476+2114+377+695+481+799+155+438+105</f>
        <v>7640</v>
      </c>
      <c r="I169" s="1098">
        <f>G169/H169</f>
        <v>11.438416230366492</v>
      </c>
      <c r="J169" s="99">
        <v>159</v>
      </c>
      <c r="K169" s="548"/>
    </row>
    <row r="170" spans="1:11" s="90" customFormat="1" ht="12" customHeight="1">
      <c r="A170" s="91">
        <v>160</v>
      </c>
      <c r="B170" s="694" t="s">
        <v>381</v>
      </c>
      <c r="C170" s="1081">
        <v>40690</v>
      </c>
      <c r="D170" s="590" t="s">
        <v>62</v>
      </c>
      <c r="E170" s="589">
        <v>17</v>
      </c>
      <c r="F170" s="589">
        <v>12</v>
      </c>
      <c r="G170" s="908">
        <v>87318.5</v>
      </c>
      <c r="H170" s="869">
        <v>10837</v>
      </c>
      <c r="I170" s="319">
        <f>+G170/H170</f>
        <v>8.057442096521177</v>
      </c>
      <c r="J170" s="99">
        <v>160</v>
      </c>
      <c r="K170" s="548"/>
    </row>
    <row r="171" spans="1:11" s="90" customFormat="1" ht="12" customHeight="1">
      <c r="A171" s="91">
        <v>161</v>
      </c>
      <c r="B171" s="192" t="s">
        <v>390</v>
      </c>
      <c r="C171" s="32">
        <v>40753</v>
      </c>
      <c r="D171" s="588" t="s">
        <v>31</v>
      </c>
      <c r="E171" s="181">
        <v>13</v>
      </c>
      <c r="F171" s="186">
        <v>9</v>
      </c>
      <c r="G171" s="17">
        <f>37355+12427+7492+8213.5+4676+5757+7050+1356+2892.5</f>
        <v>87219</v>
      </c>
      <c r="H171" s="18">
        <f>3112+1234+925+858+645+791+1079+205+381</f>
        <v>9230</v>
      </c>
      <c r="I171" s="276">
        <f>+G171/H171</f>
        <v>9.449512459371615</v>
      </c>
      <c r="J171" s="89">
        <v>161</v>
      </c>
      <c r="K171" s="548"/>
    </row>
    <row r="172" spans="1:11" s="90" customFormat="1" ht="12" customHeight="1">
      <c r="A172" s="91">
        <v>162</v>
      </c>
      <c r="B172" s="282" t="s">
        <v>363</v>
      </c>
      <c r="C172" s="250">
        <v>40690</v>
      </c>
      <c r="D172" s="580" t="s">
        <v>31</v>
      </c>
      <c r="E172" s="31">
        <v>11</v>
      </c>
      <c r="F172" s="31">
        <v>14</v>
      </c>
      <c r="G172" s="644">
        <f>21135+10001+7203+6368+7720+4884+7428.5+4294.5+2616+4268+595+267+2541.5+151</f>
        <v>79472.5</v>
      </c>
      <c r="H172" s="18">
        <f>2229+1334+989+996+1479+737+886+576+402+612+88+44+346+21</f>
        <v>10739</v>
      </c>
      <c r="I172" s="630">
        <f>+G172/H172</f>
        <v>7.400363162305615</v>
      </c>
      <c r="J172" s="99">
        <v>162</v>
      </c>
      <c r="K172" s="548"/>
    </row>
    <row r="173" spans="1:11" s="90" customFormat="1" ht="12" customHeight="1">
      <c r="A173" s="91">
        <v>163</v>
      </c>
      <c r="B173" s="710" t="s">
        <v>74</v>
      </c>
      <c r="C173" s="32">
        <v>40655</v>
      </c>
      <c r="D173" s="580" t="s">
        <v>75</v>
      </c>
      <c r="E173" s="33">
        <v>5</v>
      </c>
      <c r="F173" s="33">
        <v>17</v>
      </c>
      <c r="G173" s="17">
        <v>78703</v>
      </c>
      <c r="H173" s="18">
        <v>12334</v>
      </c>
      <c r="I173" s="98">
        <f>+G173/H173</f>
        <v>6.380979406518566</v>
      </c>
      <c r="J173" s="89">
        <v>163</v>
      </c>
      <c r="K173" s="548"/>
    </row>
    <row r="174" spans="1:11" s="90" customFormat="1" ht="12" customHeight="1">
      <c r="A174" s="91">
        <v>164</v>
      </c>
      <c r="B174" s="610" t="s">
        <v>70</v>
      </c>
      <c r="C174" s="567">
        <v>40683</v>
      </c>
      <c r="D174" s="590" t="s">
        <v>62</v>
      </c>
      <c r="E174" s="589">
        <v>15</v>
      </c>
      <c r="F174" s="589">
        <v>13</v>
      </c>
      <c r="G174" s="333">
        <v>77988.25</v>
      </c>
      <c r="H174" s="330">
        <v>7327</v>
      </c>
      <c r="I174" s="319">
        <f>+G174/H174</f>
        <v>10.643953869250717</v>
      </c>
      <c r="J174" s="99">
        <v>164</v>
      </c>
      <c r="K174" s="548"/>
    </row>
    <row r="175" spans="1:11" s="90" customFormat="1" ht="12" customHeight="1">
      <c r="A175" s="91">
        <v>165</v>
      </c>
      <c r="B175" s="716" t="s">
        <v>128</v>
      </c>
      <c r="C175" s="32">
        <v>40606</v>
      </c>
      <c r="D175" s="580" t="s">
        <v>31</v>
      </c>
      <c r="E175" s="33">
        <v>6</v>
      </c>
      <c r="F175" s="33">
        <v>21</v>
      </c>
      <c r="G175" s="17">
        <f>23509.5+4775.5+1638+419+8818.5+506+3133+2970+2646+2538+107+2062+2879.5+1195+1956+1584+3301+2206+2177+3195+872</f>
        <v>72488</v>
      </c>
      <c r="H175" s="18">
        <f>1642+339+312+83+823+52+341+742+437+351+14+315+704+136+274+191+392+306+326+475+132</f>
        <v>8387</v>
      </c>
      <c r="I175" s="101">
        <f>G175/H175</f>
        <v>8.642899725766066</v>
      </c>
      <c r="J175" s="89">
        <v>165</v>
      </c>
      <c r="K175" s="548"/>
    </row>
    <row r="176" spans="1:11" s="90" customFormat="1" ht="12" customHeight="1">
      <c r="A176" s="91">
        <v>166</v>
      </c>
      <c r="B176" s="262" t="s">
        <v>73</v>
      </c>
      <c r="C176" s="32">
        <v>40683</v>
      </c>
      <c r="D176" s="114" t="s">
        <v>31</v>
      </c>
      <c r="E176" s="33">
        <v>6</v>
      </c>
      <c r="F176" s="33">
        <v>16</v>
      </c>
      <c r="G176" s="17">
        <f>16905.5+10044+3710+2342+9911.5+7248+6024+1678+1960+374+2139+2655.5+2562+447+1328+1270</f>
        <v>70598.5</v>
      </c>
      <c r="H176" s="18">
        <f>1241+811+837+224+905+1125+738+283+277+57+267+346+338+61+166+189</f>
        <v>7865</v>
      </c>
      <c r="I176" s="98">
        <f>+G176/H176</f>
        <v>8.97628734901462</v>
      </c>
      <c r="J176" s="99">
        <v>166</v>
      </c>
      <c r="K176" s="548"/>
    </row>
    <row r="177" spans="1:11" s="90" customFormat="1" ht="12" customHeight="1">
      <c r="A177" s="91">
        <v>167</v>
      </c>
      <c r="B177" s="263" t="s">
        <v>203</v>
      </c>
      <c r="C177" s="32">
        <v>40543</v>
      </c>
      <c r="D177" s="30" t="s">
        <v>45</v>
      </c>
      <c r="E177" s="33">
        <v>37</v>
      </c>
      <c r="F177" s="33">
        <v>11</v>
      </c>
      <c r="G177" s="47">
        <v>70550.5</v>
      </c>
      <c r="H177" s="48">
        <v>10066</v>
      </c>
      <c r="I177" s="298">
        <f>G177/H177</f>
        <v>7.008791972978343</v>
      </c>
      <c r="J177" s="99">
        <v>167</v>
      </c>
      <c r="K177" s="548"/>
    </row>
    <row r="178" spans="1:11" s="90" customFormat="1" ht="12" customHeight="1">
      <c r="A178" s="91">
        <v>168</v>
      </c>
      <c r="B178" s="616" t="s">
        <v>204</v>
      </c>
      <c r="C178" s="405">
        <v>40543</v>
      </c>
      <c r="D178" s="551" t="s">
        <v>62</v>
      </c>
      <c r="E178" s="215">
        <v>2</v>
      </c>
      <c r="F178" s="213">
        <v>13</v>
      </c>
      <c r="G178" s="344">
        <v>69613.5</v>
      </c>
      <c r="H178" s="342">
        <v>5640</v>
      </c>
      <c r="I178" s="101">
        <f>G178/H178</f>
        <v>12.34281914893617</v>
      </c>
      <c r="J178" s="89">
        <v>168</v>
      </c>
      <c r="K178" s="548"/>
    </row>
    <row r="179" spans="1:11" s="90" customFormat="1" ht="12" customHeight="1">
      <c r="A179" s="91">
        <v>169</v>
      </c>
      <c r="B179" s="608" t="s">
        <v>222</v>
      </c>
      <c r="C179" s="113">
        <v>40697</v>
      </c>
      <c r="D179" s="580" t="s">
        <v>45</v>
      </c>
      <c r="E179" s="22">
        <v>49</v>
      </c>
      <c r="F179" s="22">
        <v>7</v>
      </c>
      <c r="G179" s="574">
        <v>63967</v>
      </c>
      <c r="H179" s="575">
        <v>8542</v>
      </c>
      <c r="I179" s="630">
        <f>+G179/H179</f>
        <v>7.488527276984313</v>
      </c>
      <c r="J179" s="99">
        <v>169</v>
      </c>
      <c r="K179" s="548"/>
    </row>
    <row r="180" spans="1:11" s="90" customFormat="1" ht="12" customHeight="1">
      <c r="A180" s="91">
        <v>170</v>
      </c>
      <c r="B180" s="282" t="s">
        <v>46</v>
      </c>
      <c r="C180" s="113">
        <v>40655</v>
      </c>
      <c r="D180" s="114" t="s">
        <v>45</v>
      </c>
      <c r="E180" s="3">
        <v>26</v>
      </c>
      <c r="F180" s="539">
        <v>8</v>
      </c>
      <c r="G180" s="47">
        <v>60604</v>
      </c>
      <c r="H180" s="48">
        <v>9497</v>
      </c>
      <c r="I180" s="101">
        <f>G180/H180</f>
        <v>6.381383594819416</v>
      </c>
      <c r="J180" s="89">
        <v>170</v>
      </c>
      <c r="K180" s="548"/>
    </row>
    <row r="181" spans="1:11" s="90" customFormat="1" ht="12" customHeight="1">
      <c r="A181" s="91">
        <v>171</v>
      </c>
      <c r="B181" s="617" t="s">
        <v>205</v>
      </c>
      <c r="C181" s="394">
        <v>40585</v>
      </c>
      <c r="D181" s="571" t="s">
        <v>23</v>
      </c>
      <c r="E181" s="572">
        <v>13</v>
      </c>
      <c r="F181" s="1156">
        <v>2</v>
      </c>
      <c r="G181" s="1157">
        <v>60408</v>
      </c>
      <c r="H181" s="1158">
        <v>4591</v>
      </c>
      <c r="I181" s="275">
        <v>13.157917664996733</v>
      </c>
      <c r="J181" s="99">
        <v>171</v>
      </c>
      <c r="K181" s="548"/>
    </row>
    <row r="182" spans="1:11" s="90" customFormat="1" ht="12" customHeight="1">
      <c r="A182" s="91">
        <v>172</v>
      </c>
      <c r="B182" s="951" t="s">
        <v>404</v>
      </c>
      <c r="C182" s="32">
        <v>40760</v>
      </c>
      <c r="D182" s="588" t="s">
        <v>31</v>
      </c>
      <c r="E182" s="181">
        <v>8</v>
      </c>
      <c r="F182" s="186">
        <v>8</v>
      </c>
      <c r="G182" s="17">
        <f>23216+11984.5+4614+3340+789+2639+10549.5+2435</f>
        <v>59567</v>
      </c>
      <c r="H182" s="18">
        <f>1703+1053+544+464+111+478+932+312</f>
        <v>5597</v>
      </c>
      <c r="I182" s="1098">
        <f>G182/H182</f>
        <v>10.642665713775237</v>
      </c>
      <c r="J182" s="89">
        <v>172</v>
      </c>
      <c r="K182" s="548"/>
    </row>
    <row r="183" spans="1:11" s="90" customFormat="1" ht="12" customHeight="1">
      <c r="A183" s="91">
        <v>173</v>
      </c>
      <c r="B183" s="262" t="s">
        <v>209</v>
      </c>
      <c r="C183" s="32">
        <v>40662</v>
      </c>
      <c r="D183" s="114" t="s">
        <v>31</v>
      </c>
      <c r="E183" s="33">
        <v>10</v>
      </c>
      <c r="F183" s="33">
        <v>18</v>
      </c>
      <c r="G183" s="17">
        <f>12741+4425+5437.5+2837.5+1398+7610.5+2745+1373+5773+1526+509+395+2116+2833+2018+170+252+192</f>
        <v>54351.5</v>
      </c>
      <c r="H183" s="18">
        <f>1277+498+629+407+231+902+351+177+635+249+80+61+242+355+254+24+42+32</f>
        <v>6446</v>
      </c>
      <c r="I183" s="98">
        <f>+G183/H183</f>
        <v>8.431818181818182</v>
      </c>
      <c r="J183" s="99">
        <v>173</v>
      </c>
      <c r="K183" s="548"/>
    </row>
    <row r="184" spans="1:11" s="90" customFormat="1" ht="12" customHeight="1">
      <c r="A184" s="91">
        <v>174</v>
      </c>
      <c r="B184" s="465" t="s">
        <v>365</v>
      </c>
      <c r="C184" s="113">
        <v>40725</v>
      </c>
      <c r="D184" s="881" t="s">
        <v>62</v>
      </c>
      <c r="E184" s="213">
        <v>3</v>
      </c>
      <c r="F184" s="215">
        <v>13</v>
      </c>
      <c r="G184" s="344">
        <v>51416</v>
      </c>
      <c r="H184" s="342">
        <v>5817</v>
      </c>
      <c r="I184" s="276">
        <f>+G184/H184</f>
        <v>8.838920405707409</v>
      </c>
      <c r="J184" s="99">
        <v>174</v>
      </c>
      <c r="K184" s="548"/>
    </row>
    <row r="185" spans="1:11" s="90" customFormat="1" ht="12" customHeight="1">
      <c r="A185" s="91">
        <v>175</v>
      </c>
      <c r="B185" s="466" t="s">
        <v>231</v>
      </c>
      <c r="C185" s="185">
        <v>40704</v>
      </c>
      <c r="D185" s="114" t="s">
        <v>31</v>
      </c>
      <c r="E185" s="585">
        <v>5</v>
      </c>
      <c r="F185" s="857">
        <v>14</v>
      </c>
      <c r="G185" s="17">
        <f>20401.5+5027+2422+1135.5+4917+1138.5+597+1238.5+1934+2721.5+1965.5+798+172+1307</f>
        <v>45775</v>
      </c>
      <c r="H185" s="18">
        <f>1380+485+214+81+460+135+75+159+185+328+268+93+24+328</f>
        <v>4215</v>
      </c>
      <c r="I185" s="101">
        <f>G185/H185</f>
        <v>10.860023724792407</v>
      </c>
      <c r="J185" s="89">
        <v>175</v>
      </c>
      <c r="K185" s="548"/>
    </row>
    <row r="186" spans="1:11" s="90" customFormat="1" ht="12" customHeight="1">
      <c r="A186" s="91">
        <v>176</v>
      </c>
      <c r="B186" s="609" t="s">
        <v>64</v>
      </c>
      <c r="C186" s="185">
        <v>40676</v>
      </c>
      <c r="D186" s="580" t="s">
        <v>31</v>
      </c>
      <c r="E186" s="585">
        <v>10</v>
      </c>
      <c r="F186" s="585">
        <v>14</v>
      </c>
      <c r="G186" s="644">
        <f>19776.5+5289.5+3941.5+4149+6030.5+491+2263+886+669+235+576+182+578+116</f>
        <v>45183</v>
      </c>
      <c r="H186" s="645">
        <f>2214+710+772+646+1024+103+434+139+105+46+100+16+62+13</f>
        <v>6384</v>
      </c>
      <c r="I186" s="630">
        <f>+G186/H186</f>
        <v>7.077537593984962</v>
      </c>
      <c r="J186" s="99">
        <v>176</v>
      </c>
      <c r="K186" s="548"/>
    </row>
    <row r="187" spans="1:11" s="90" customFormat="1" ht="12" customHeight="1">
      <c r="A187" s="91">
        <v>177</v>
      </c>
      <c r="B187" s="967" t="s">
        <v>247</v>
      </c>
      <c r="C187" s="399">
        <v>40718</v>
      </c>
      <c r="D187" s="588" t="s">
        <v>138</v>
      </c>
      <c r="E187" s="618">
        <v>4</v>
      </c>
      <c r="F187" s="618">
        <v>14</v>
      </c>
      <c r="G187" s="1159">
        <v>44572</v>
      </c>
      <c r="H187" s="1160">
        <v>4163</v>
      </c>
      <c r="I187" s="276">
        <f>+G187/H187</f>
        <v>10.70670189766995</v>
      </c>
      <c r="J187" s="89">
        <v>177</v>
      </c>
      <c r="K187" s="548"/>
    </row>
    <row r="188" spans="1:11" s="90" customFormat="1" ht="12" customHeight="1">
      <c r="A188" s="91">
        <v>178</v>
      </c>
      <c r="B188" s="611" t="s">
        <v>206</v>
      </c>
      <c r="C188" s="562">
        <v>40634</v>
      </c>
      <c r="D188" s="561" t="s">
        <v>207</v>
      </c>
      <c r="E188" s="563">
        <v>10</v>
      </c>
      <c r="F188" s="563">
        <v>5</v>
      </c>
      <c r="G188" s="291">
        <v>42084</v>
      </c>
      <c r="H188" s="292">
        <v>6690</v>
      </c>
      <c r="I188" s="275">
        <f>+G188/H188</f>
        <v>6.290582959641256</v>
      </c>
      <c r="J188" s="99">
        <v>178</v>
      </c>
      <c r="K188" s="548"/>
    </row>
    <row r="189" spans="1:11" s="90" customFormat="1" ht="12" customHeight="1">
      <c r="A189" s="91">
        <v>179</v>
      </c>
      <c r="B189" s="466" t="s">
        <v>29</v>
      </c>
      <c r="C189" s="185">
        <v>40634</v>
      </c>
      <c r="D189" s="114" t="s">
        <v>31</v>
      </c>
      <c r="E189" s="186">
        <v>15</v>
      </c>
      <c r="F189" s="186">
        <v>12</v>
      </c>
      <c r="G189" s="17">
        <f>24857+8396+642+3588+1398.5+758+731+306+150+623+266</f>
        <v>41715.5</v>
      </c>
      <c r="H189" s="18">
        <f>1900+772+80+693+212+86+92+46+22+124+39</f>
        <v>4066</v>
      </c>
      <c r="I189" s="98">
        <f>+G189/H189</f>
        <v>10.259591736350222</v>
      </c>
      <c r="J189" s="89">
        <v>179</v>
      </c>
      <c r="K189" s="548"/>
    </row>
    <row r="190" spans="1:11" s="90" customFormat="1" ht="12" customHeight="1">
      <c r="A190" s="91">
        <v>180</v>
      </c>
      <c r="B190" s="192">
        <v>3</v>
      </c>
      <c r="C190" s="32">
        <v>40746</v>
      </c>
      <c r="D190" s="588" t="s">
        <v>31</v>
      </c>
      <c r="E190" s="181">
        <v>5</v>
      </c>
      <c r="F190" s="186">
        <v>10</v>
      </c>
      <c r="G190" s="17">
        <f>15287.5+10909.5+3453.5+1267.5+1495+5972+1476+196+990</f>
        <v>41047</v>
      </c>
      <c r="H190" s="18">
        <f>1370+1093+336+155+192+663+166+28+134</f>
        <v>4137</v>
      </c>
      <c r="I190" s="276">
        <f>+G190/H190</f>
        <v>9.921924099589074</v>
      </c>
      <c r="J190" s="99">
        <v>180</v>
      </c>
      <c r="K190" s="548"/>
    </row>
    <row r="191" spans="1:11" s="90" customFormat="1" ht="12" customHeight="1">
      <c r="A191" s="91">
        <v>181</v>
      </c>
      <c r="B191" s="205" t="s">
        <v>57</v>
      </c>
      <c r="C191" s="2">
        <v>40669</v>
      </c>
      <c r="D191" s="588" t="s">
        <v>21</v>
      </c>
      <c r="E191" s="5">
        <v>9</v>
      </c>
      <c r="F191" s="3">
        <v>17</v>
      </c>
      <c r="G191" s="51">
        <f>10611.5+6246+3879+1660+2650+3829+1318+645+1041+24+977.5+84+1681+166+203+141+1090</f>
        <v>36246</v>
      </c>
      <c r="H191" s="48">
        <f>1405+909+512+224+387+611+221+87+151+4+128+14+189+28+32+22+139</f>
        <v>5063</v>
      </c>
      <c r="I191" s="276">
        <f>+G191/H191</f>
        <v>7.158996642306932</v>
      </c>
      <c r="J191" s="99">
        <v>181</v>
      </c>
      <c r="K191" s="548">
        <v>1</v>
      </c>
    </row>
    <row r="192" spans="1:11" s="90" customFormat="1" ht="12" customHeight="1">
      <c r="A192" s="91">
        <v>182</v>
      </c>
      <c r="B192" s="949" t="s">
        <v>454</v>
      </c>
      <c r="C192" s="1081">
        <v>40802</v>
      </c>
      <c r="D192" s="881" t="s">
        <v>62</v>
      </c>
      <c r="E192" s="213">
        <v>8</v>
      </c>
      <c r="F192" s="215">
        <v>2</v>
      </c>
      <c r="G192" s="344">
        <v>35183.5</v>
      </c>
      <c r="H192" s="342">
        <v>2986</v>
      </c>
      <c r="I192" s="276">
        <f>+G192/H192</f>
        <v>11.782819825853986</v>
      </c>
      <c r="J192" s="89">
        <v>182</v>
      </c>
      <c r="K192" s="548">
        <v>1</v>
      </c>
    </row>
    <row r="193" spans="1:11" s="90" customFormat="1" ht="12" customHeight="1">
      <c r="A193" s="91">
        <v>183</v>
      </c>
      <c r="B193" s="967" t="s">
        <v>376</v>
      </c>
      <c r="C193" s="567">
        <v>40739</v>
      </c>
      <c r="D193" s="881" t="s">
        <v>62</v>
      </c>
      <c r="E193" s="213">
        <v>3</v>
      </c>
      <c r="F193" s="215">
        <v>11</v>
      </c>
      <c r="G193" s="344">
        <v>34896</v>
      </c>
      <c r="H193" s="342">
        <v>3790</v>
      </c>
      <c r="I193" s="1098">
        <f>+G193/H193</f>
        <v>9.207387862796834</v>
      </c>
      <c r="J193" s="99">
        <v>183</v>
      </c>
      <c r="K193" s="548"/>
    </row>
    <row r="194" spans="1:11" s="90" customFormat="1" ht="12" customHeight="1">
      <c r="A194" s="91">
        <v>184</v>
      </c>
      <c r="B194" s="610" t="s">
        <v>50</v>
      </c>
      <c r="C194" s="399">
        <v>40662</v>
      </c>
      <c r="D194" s="590" t="s">
        <v>62</v>
      </c>
      <c r="E194" s="589">
        <v>4</v>
      </c>
      <c r="F194" s="589">
        <v>14</v>
      </c>
      <c r="G194" s="333">
        <v>33759.75</v>
      </c>
      <c r="H194" s="330">
        <v>4201</v>
      </c>
      <c r="I194" s="319">
        <f>+G194/H194</f>
        <v>8.036122351820994</v>
      </c>
      <c r="J194" s="89">
        <v>184</v>
      </c>
      <c r="K194" s="548"/>
    </row>
    <row r="195" spans="1:11" s="90" customFormat="1" ht="12" customHeight="1">
      <c r="A195" s="91">
        <v>185</v>
      </c>
      <c r="B195" s="817" t="s">
        <v>251</v>
      </c>
      <c r="C195" s="394">
        <v>40606</v>
      </c>
      <c r="D195" s="571" t="s">
        <v>28</v>
      </c>
      <c r="E195" s="572">
        <v>30</v>
      </c>
      <c r="F195" s="572">
        <v>4</v>
      </c>
      <c r="G195" s="293">
        <v>32873.5</v>
      </c>
      <c r="H195" s="290">
        <v>5254</v>
      </c>
      <c r="I195" s="275">
        <v>6.25685192234488</v>
      </c>
      <c r="J195" s="99">
        <v>185</v>
      </c>
      <c r="K195" s="548"/>
    </row>
    <row r="196" spans="1:11" s="90" customFormat="1" ht="12" customHeight="1">
      <c r="A196" s="91">
        <v>186</v>
      </c>
      <c r="B196" s="465" t="s">
        <v>364</v>
      </c>
      <c r="C196" s="567">
        <v>40627</v>
      </c>
      <c r="D196" s="590" t="s">
        <v>62</v>
      </c>
      <c r="E196" s="172">
        <v>2</v>
      </c>
      <c r="F196" s="172">
        <v>22</v>
      </c>
      <c r="G196" s="754">
        <v>31985</v>
      </c>
      <c r="H196" s="173">
        <v>4417</v>
      </c>
      <c r="I196" s="101">
        <f>+G196/H196</f>
        <v>7.24134027620557</v>
      </c>
      <c r="J196" s="89">
        <v>186</v>
      </c>
      <c r="K196" s="548"/>
    </row>
    <row r="197" spans="1:11" s="90" customFormat="1" ht="12" customHeight="1">
      <c r="A197" s="91">
        <v>187</v>
      </c>
      <c r="B197" s="404" t="s">
        <v>370</v>
      </c>
      <c r="C197" s="1081">
        <v>40739</v>
      </c>
      <c r="D197" s="553" t="s">
        <v>62</v>
      </c>
      <c r="E197" s="172">
        <v>3</v>
      </c>
      <c r="F197" s="215">
        <v>9</v>
      </c>
      <c r="G197" s="344">
        <v>31918</v>
      </c>
      <c r="H197" s="342">
        <v>3159</v>
      </c>
      <c r="I197" s="101">
        <f>+G197/H197</f>
        <v>10.103830326052549</v>
      </c>
      <c r="J197" s="99">
        <v>187</v>
      </c>
      <c r="K197" s="548"/>
    </row>
    <row r="198" spans="1:11" s="90" customFormat="1" ht="12" customHeight="1">
      <c r="A198" s="91">
        <v>188</v>
      </c>
      <c r="B198" s="398" t="s">
        <v>224</v>
      </c>
      <c r="C198" s="399">
        <v>40697</v>
      </c>
      <c r="D198" s="881" t="s">
        <v>62</v>
      </c>
      <c r="E198" s="618">
        <v>2</v>
      </c>
      <c r="F198" s="618">
        <v>16</v>
      </c>
      <c r="G198" s="333">
        <v>29899</v>
      </c>
      <c r="H198" s="330">
        <v>3306</v>
      </c>
      <c r="I198" s="885">
        <f>+G198/H198</f>
        <v>9.043859649122806</v>
      </c>
      <c r="J198" s="99">
        <v>188</v>
      </c>
      <c r="K198" s="548"/>
    </row>
    <row r="199" spans="1:11" s="90" customFormat="1" ht="12" customHeight="1">
      <c r="A199" s="91">
        <v>189</v>
      </c>
      <c r="B199" s="282" t="s">
        <v>366</v>
      </c>
      <c r="C199" s="113">
        <v>40718</v>
      </c>
      <c r="D199" s="881" t="s">
        <v>62</v>
      </c>
      <c r="E199" s="618">
        <v>5</v>
      </c>
      <c r="F199" s="618">
        <v>13</v>
      </c>
      <c r="G199" s="333">
        <v>29028.25</v>
      </c>
      <c r="H199" s="330">
        <v>2964</v>
      </c>
      <c r="I199" s="885">
        <f>G199/H199</f>
        <v>9.79360661268556</v>
      </c>
      <c r="J199" s="89">
        <v>189</v>
      </c>
      <c r="K199" s="548"/>
    </row>
    <row r="200" spans="1:11" s="90" customFormat="1" ht="12" customHeight="1">
      <c r="A200" s="91">
        <v>190</v>
      </c>
      <c r="B200" s="949" t="s">
        <v>437</v>
      </c>
      <c r="C200" s="567">
        <v>40746</v>
      </c>
      <c r="D200" s="881" t="s">
        <v>62</v>
      </c>
      <c r="E200" s="213">
        <v>35</v>
      </c>
      <c r="F200" s="215">
        <v>10</v>
      </c>
      <c r="G200" s="344">
        <v>28874</v>
      </c>
      <c r="H200" s="342">
        <v>3313</v>
      </c>
      <c r="I200" s="1098">
        <f>G200/H200</f>
        <v>8.715363718683973</v>
      </c>
      <c r="J200" s="99">
        <v>190</v>
      </c>
      <c r="K200" s="548"/>
    </row>
    <row r="201" spans="1:11" s="90" customFormat="1" ht="12" customHeight="1">
      <c r="A201" s="91">
        <v>191</v>
      </c>
      <c r="B201" s="282" t="s">
        <v>239</v>
      </c>
      <c r="C201" s="113">
        <v>40711</v>
      </c>
      <c r="D201" s="553" t="s">
        <v>62</v>
      </c>
      <c r="E201" s="172">
        <v>4</v>
      </c>
      <c r="F201" s="215">
        <v>11</v>
      </c>
      <c r="G201" s="344">
        <v>28636</v>
      </c>
      <c r="H201" s="342">
        <v>2758</v>
      </c>
      <c r="I201" s="101">
        <f>G201/H201</f>
        <v>10.38288614938361</v>
      </c>
      <c r="J201" s="89">
        <v>191</v>
      </c>
      <c r="K201" s="548"/>
    </row>
    <row r="202" spans="1:11" s="90" customFormat="1" ht="12" customHeight="1">
      <c r="A202" s="91">
        <v>192</v>
      </c>
      <c r="B202" s="967" t="s">
        <v>428</v>
      </c>
      <c r="C202" s="567">
        <v>40781</v>
      </c>
      <c r="D202" s="881" t="s">
        <v>62</v>
      </c>
      <c r="E202" s="213">
        <v>10</v>
      </c>
      <c r="F202" s="215">
        <v>5</v>
      </c>
      <c r="G202" s="344">
        <v>28232</v>
      </c>
      <c r="H202" s="342">
        <v>3482</v>
      </c>
      <c r="I202" s="276">
        <f>+G202/H202</f>
        <v>8.107983917288914</v>
      </c>
      <c r="J202" s="99">
        <v>192</v>
      </c>
      <c r="K202" s="548"/>
    </row>
    <row r="203" spans="1:11" s="90" customFormat="1" ht="12" customHeight="1">
      <c r="A203" s="91">
        <v>193</v>
      </c>
      <c r="B203" s="205" t="s">
        <v>469</v>
      </c>
      <c r="C203" s="113">
        <v>40732</v>
      </c>
      <c r="D203" s="588" t="s">
        <v>8</v>
      </c>
      <c r="E203" s="5">
        <v>1</v>
      </c>
      <c r="F203" s="5">
        <v>5</v>
      </c>
      <c r="G203" s="15">
        <v>26855</v>
      </c>
      <c r="H203" s="16">
        <v>2368</v>
      </c>
      <c r="I203" s="1098">
        <f>G203/H203</f>
        <v>11.34079391891892</v>
      </c>
      <c r="J203" s="89">
        <v>193</v>
      </c>
      <c r="K203" s="548"/>
    </row>
    <row r="204" spans="1:11" s="90" customFormat="1" ht="12" customHeight="1">
      <c r="A204" s="91">
        <v>194</v>
      </c>
      <c r="B204" s="200" t="s">
        <v>217</v>
      </c>
      <c r="C204" s="2">
        <v>40690</v>
      </c>
      <c r="D204" s="114" t="s">
        <v>21</v>
      </c>
      <c r="E204" s="3">
        <v>5</v>
      </c>
      <c r="F204" s="3">
        <v>16</v>
      </c>
      <c r="G204" s="51">
        <f>10523.5+2274+1975+2483+1830+1012+648.5+1263+1016+808+150+132+42+145+1499.5+30</f>
        <v>25831.5</v>
      </c>
      <c r="H204" s="48">
        <f>1295+340+276+411+209+137+95+167+160+122+24+22+6+21+210+5</f>
        <v>3500</v>
      </c>
      <c r="I204" s="98">
        <f>+G204/H204</f>
        <v>7.380428571428571</v>
      </c>
      <c r="J204" s="99">
        <v>194</v>
      </c>
      <c r="K204" s="548"/>
    </row>
    <row r="205" spans="1:11" s="90" customFormat="1" ht="12" customHeight="1">
      <c r="A205" s="91">
        <v>195</v>
      </c>
      <c r="B205" s="192" t="s">
        <v>258</v>
      </c>
      <c r="C205" s="32">
        <v>40725</v>
      </c>
      <c r="D205" s="588" t="s">
        <v>31</v>
      </c>
      <c r="E205" s="882">
        <v>5</v>
      </c>
      <c r="F205" s="882">
        <v>12</v>
      </c>
      <c r="G205" s="644">
        <f>10816+3994+1279+2322+578+830+1180+2743+123+84+986+423</f>
        <v>25358</v>
      </c>
      <c r="H205" s="645">
        <f>727+361+121+270+90+111+287+293+22+14+147+66</f>
        <v>2509</v>
      </c>
      <c r="I205" s="885">
        <f>+G205/H205</f>
        <v>10.106815464328418</v>
      </c>
      <c r="J205" s="99">
        <v>195</v>
      </c>
      <c r="K205" s="548"/>
    </row>
    <row r="206" spans="1:11" s="90" customFormat="1" ht="12" customHeight="1">
      <c r="A206" s="91">
        <v>196</v>
      </c>
      <c r="B206" s="262" t="s">
        <v>211</v>
      </c>
      <c r="C206" s="32">
        <v>40662</v>
      </c>
      <c r="D206" s="114" t="s">
        <v>31</v>
      </c>
      <c r="E206" s="33">
        <v>10</v>
      </c>
      <c r="F206" s="33">
        <v>12</v>
      </c>
      <c r="G206" s="17">
        <f>12563.75+2983.5+2680+354+641+412+470+299+1405.5+1335+741+1188</f>
        <v>25072.75</v>
      </c>
      <c r="H206" s="18">
        <f>1693+350+279+68+81+51+66+35+228+169+92+297</f>
        <v>3409</v>
      </c>
      <c r="I206" s="98">
        <f>+G206/H206</f>
        <v>7.354869463185685</v>
      </c>
      <c r="J206" s="89">
        <v>196</v>
      </c>
      <c r="K206" s="548"/>
    </row>
    <row r="207" spans="1:11" s="90" customFormat="1" ht="12" customHeight="1">
      <c r="A207" s="91">
        <v>197</v>
      </c>
      <c r="B207" s="205" t="s">
        <v>232</v>
      </c>
      <c r="C207" s="113">
        <v>40704</v>
      </c>
      <c r="D207" s="118" t="s">
        <v>45</v>
      </c>
      <c r="E207" s="5">
        <v>35</v>
      </c>
      <c r="F207" s="33">
        <v>9</v>
      </c>
      <c r="G207" s="47">
        <v>23980.5</v>
      </c>
      <c r="H207" s="48">
        <v>3224</v>
      </c>
      <c r="I207" s="98">
        <f>+G207/H207</f>
        <v>7.438120347394541</v>
      </c>
      <c r="J207" s="99">
        <v>197</v>
      </c>
      <c r="K207" s="548">
        <v>1</v>
      </c>
    </row>
    <row r="208" spans="1:11" s="90" customFormat="1" ht="12" customHeight="1">
      <c r="A208" s="91">
        <v>198</v>
      </c>
      <c r="B208" s="466" t="s">
        <v>210</v>
      </c>
      <c r="C208" s="185">
        <v>40550</v>
      </c>
      <c r="D208" s="114" t="s">
        <v>31</v>
      </c>
      <c r="E208" s="186">
        <v>2</v>
      </c>
      <c r="F208" s="199">
        <v>11</v>
      </c>
      <c r="G208" s="712">
        <f>8356+3109+3208+1189+694+1140+96+624+1782+356.5+2856.5</f>
        <v>23411</v>
      </c>
      <c r="H208" s="14">
        <f>789+330+327+132+146+315+11+68+446+89+680</f>
        <v>3333</v>
      </c>
      <c r="I208" s="98">
        <f>+G208/H208</f>
        <v>7.024002400240024</v>
      </c>
      <c r="J208" s="89">
        <v>198</v>
      </c>
      <c r="K208" s="548">
        <v>1</v>
      </c>
    </row>
    <row r="209" spans="1:11" s="90" customFormat="1" ht="12" customHeight="1">
      <c r="A209" s="91">
        <v>199</v>
      </c>
      <c r="B209" s="205" t="s">
        <v>242</v>
      </c>
      <c r="C209" s="2">
        <v>40718</v>
      </c>
      <c r="D209" s="588" t="s">
        <v>21</v>
      </c>
      <c r="E209" s="24">
        <v>1</v>
      </c>
      <c r="F209" s="24">
        <v>12</v>
      </c>
      <c r="G209" s="619">
        <f>8627+3793+343+630+280+932+287+805+1470.5+3148.5+582+743</f>
        <v>21641</v>
      </c>
      <c r="H209" s="575">
        <f>544+238+67+126+42+81+41+54+102+230+82+100</f>
        <v>1707</v>
      </c>
      <c r="I209" s="296">
        <f>+G209/H209</f>
        <v>12.677797305213826</v>
      </c>
      <c r="J209" s="89">
        <v>199</v>
      </c>
      <c r="K209" s="548"/>
    </row>
    <row r="210" spans="1:11" s="90" customFormat="1" ht="12" customHeight="1">
      <c r="A210" s="91">
        <v>200</v>
      </c>
      <c r="B210" s="192" t="s">
        <v>213</v>
      </c>
      <c r="C210" s="32">
        <v>40592</v>
      </c>
      <c r="D210" s="588" t="s">
        <v>457</v>
      </c>
      <c r="E210" s="882">
        <v>6</v>
      </c>
      <c r="F210" s="882">
        <v>14</v>
      </c>
      <c r="G210" s="574">
        <v>21245.5</v>
      </c>
      <c r="H210" s="575">
        <v>3070</v>
      </c>
      <c r="I210" s="296">
        <f>+G210/H210</f>
        <v>6.920358306188925</v>
      </c>
      <c r="J210" s="99">
        <v>200</v>
      </c>
      <c r="K210" s="548"/>
    </row>
    <row r="211" spans="1:11" s="90" customFormat="1" ht="12" customHeight="1">
      <c r="A211" s="91">
        <v>201</v>
      </c>
      <c r="B211" s="609" t="s">
        <v>225</v>
      </c>
      <c r="C211" s="185">
        <v>40697</v>
      </c>
      <c r="D211" s="580" t="s">
        <v>31</v>
      </c>
      <c r="E211" s="585">
        <v>6</v>
      </c>
      <c r="F211" s="585">
        <v>9</v>
      </c>
      <c r="G211" s="644">
        <f>7308.5+4183+1649+2054+1803+655+1433+1497+84</f>
        <v>20666.5</v>
      </c>
      <c r="H211" s="645">
        <f>676+456+178+256+234+96+216+221+14</f>
        <v>2347</v>
      </c>
      <c r="I211" s="319">
        <f>+G211/H211</f>
        <v>8.805496378355347</v>
      </c>
      <c r="J211" s="99">
        <v>201</v>
      </c>
      <c r="K211" s="548"/>
    </row>
    <row r="212" spans="1:11" s="90" customFormat="1" ht="12" customHeight="1">
      <c r="A212" s="91">
        <v>202</v>
      </c>
      <c r="B212" s="282" t="s">
        <v>236</v>
      </c>
      <c r="C212" s="113">
        <v>40711</v>
      </c>
      <c r="D212" s="114" t="s">
        <v>21</v>
      </c>
      <c r="E212" s="3">
        <v>12</v>
      </c>
      <c r="F212" s="3">
        <v>4</v>
      </c>
      <c r="G212" s="51">
        <f>11028.25+3970.5+941+78</f>
        <v>16017.75</v>
      </c>
      <c r="H212" s="48">
        <f>879+413+152+13</f>
        <v>1457</v>
      </c>
      <c r="I212" s="101">
        <f>G212/H212</f>
        <v>10.993651338366506</v>
      </c>
      <c r="J212" s="89">
        <v>202</v>
      </c>
      <c r="K212" s="548"/>
    </row>
    <row r="213" spans="1:11" s="90" customFormat="1" ht="12" customHeight="1">
      <c r="A213" s="91">
        <v>203</v>
      </c>
      <c r="B213" s="967" t="s">
        <v>392</v>
      </c>
      <c r="C213" s="399">
        <v>40753</v>
      </c>
      <c r="D213" s="588" t="s">
        <v>62</v>
      </c>
      <c r="E213" s="618">
        <v>3</v>
      </c>
      <c r="F213" s="618">
        <v>6</v>
      </c>
      <c r="G213" s="333">
        <v>14819.5</v>
      </c>
      <c r="H213" s="330">
        <v>1299</v>
      </c>
      <c r="I213" s="885">
        <f>+G213/H213</f>
        <v>11.408391070053888</v>
      </c>
      <c r="J213" s="89">
        <v>203</v>
      </c>
      <c r="K213" s="548"/>
    </row>
    <row r="214" spans="1:11" s="90" customFormat="1" ht="12" customHeight="1">
      <c r="A214" s="91">
        <v>204</v>
      </c>
      <c r="B214" s="465" t="s">
        <v>212</v>
      </c>
      <c r="C214" s="405">
        <v>40564</v>
      </c>
      <c r="D214" s="553" t="s">
        <v>62</v>
      </c>
      <c r="E214" s="215">
        <v>1</v>
      </c>
      <c r="F214" s="215">
        <v>9</v>
      </c>
      <c r="G214" s="333">
        <v>14581</v>
      </c>
      <c r="H214" s="330">
        <v>1892</v>
      </c>
      <c r="I214" s="319">
        <f>G214/H214</f>
        <v>7.706659619450317</v>
      </c>
      <c r="J214" s="89">
        <v>204</v>
      </c>
      <c r="K214" s="548"/>
    </row>
    <row r="215" spans="1:11" s="90" customFormat="1" ht="12" customHeight="1">
      <c r="A215" s="91">
        <v>205</v>
      </c>
      <c r="B215" s="617" t="s">
        <v>367</v>
      </c>
      <c r="C215" s="715">
        <v>40564</v>
      </c>
      <c r="D215" s="570" t="s">
        <v>62</v>
      </c>
      <c r="E215" s="573">
        <v>3</v>
      </c>
      <c r="F215" s="573">
        <v>5</v>
      </c>
      <c r="G215" s="295">
        <v>12546.5</v>
      </c>
      <c r="H215" s="294">
        <v>891</v>
      </c>
      <c r="I215" s="275">
        <v>14.081369248035914</v>
      </c>
      <c r="J215" s="89">
        <v>205</v>
      </c>
      <c r="K215" s="548"/>
    </row>
    <row r="216" spans="1:11" s="90" customFormat="1" ht="12" customHeight="1">
      <c r="A216" s="91">
        <v>206</v>
      </c>
      <c r="B216" s="466" t="s">
        <v>368</v>
      </c>
      <c r="C216" s="32">
        <v>40676</v>
      </c>
      <c r="D216" s="580" t="s">
        <v>31</v>
      </c>
      <c r="E216" s="31">
        <v>3</v>
      </c>
      <c r="F216" s="31">
        <v>8</v>
      </c>
      <c r="G216" s="961">
        <f>6347+909.5+628+750+577.5+2136+808+121.5</f>
        <v>12277.5</v>
      </c>
      <c r="H216" s="14">
        <f>404+81+65+79+78+218+117+9</f>
        <v>1051</v>
      </c>
      <c r="I216" s="630">
        <f>+G216/H216</f>
        <v>11.681731684110371</v>
      </c>
      <c r="J216" s="99">
        <v>206</v>
      </c>
      <c r="K216" s="548"/>
    </row>
    <row r="217" spans="1:11" s="90" customFormat="1" ht="12" customHeight="1">
      <c r="A217" s="91">
        <v>207</v>
      </c>
      <c r="B217" s="466" t="s">
        <v>433</v>
      </c>
      <c r="C217" s="185">
        <v>40753</v>
      </c>
      <c r="D217" s="588" t="s">
        <v>31</v>
      </c>
      <c r="E217" s="186">
        <v>1</v>
      </c>
      <c r="F217" s="186">
        <v>7</v>
      </c>
      <c r="G217" s="17">
        <f>8466+542+128+932+1064+258+188</f>
        <v>11578</v>
      </c>
      <c r="H217" s="18">
        <f>472+64+13+122+133+38+26</f>
        <v>868</v>
      </c>
      <c r="I217" s="276">
        <f>+G217/H217</f>
        <v>13.338709677419354</v>
      </c>
      <c r="J217" s="89">
        <v>207</v>
      </c>
      <c r="K217" s="548"/>
    </row>
    <row r="218" spans="1:11" s="90" customFormat="1" ht="12" customHeight="1">
      <c r="A218" s="91">
        <v>208</v>
      </c>
      <c r="B218" s="459" t="s">
        <v>369</v>
      </c>
      <c r="C218" s="185">
        <v>40606</v>
      </c>
      <c r="D218" s="580" t="s">
        <v>31</v>
      </c>
      <c r="E218" s="585">
        <v>3</v>
      </c>
      <c r="F218" s="585">
        <v>12</v>
      </c>
      <c r="G218" s="644">
        <f>3944+1062+155+222+677+559+950+399+2357.5+328+280+302</f>
        <v>11235.5</v>
      </c>
      <c r="H218" s="645">
        <f>424+116+24+26+92+116+142+57+222+50+33+48</f>
        <v>1350</v>
      </c>
      <c r="I218" s="630">
        <f>+G218/H218</f>
        <v>8.322592592592592</v>
      </c>
      <c r="J218" s="89">
        <v>208</v>
      </c>
      <c r="K218" s="548"/>
    </row>
    <row r="219" spans="1:11" s="90" customFormat="1" ht="12" customHeight="1">
      <c r="A219" s="91">
        <v>209</v>
      </c>
      <c r="B219" s="716" t="s">
        <v>385</v>
      </c>
      <c r="C219" s="567">
        <v>40746</v>
      </c>
      <c r="D219" s="580" t="s">
        <v>31</v>
      </c>
      <c r="E219" s="33">
        <v>1</v>
      </c>
      <c r="F219" s="33">
        <v>5</v>
      </c>
      <c r="G219" s="17">
        <f>5298+3611+922.5+907+181</f>
        <v>10919.5</v>
      </c>
      <c r="H219" s="18">
        <f>334+225+67+122+18</f>
        <v>766</v>
      </c>
      <c r="I219" s="101">
        <f>G219/H219</f>
        <v>14.255221932114882</v>
      </c>
      <c r="J219" s="89">
        <v>209</v>
      </c>
      <c r="K219" s="548"/>
    </row>
    <row r="220" spans="1:11" s="90" customFormat="1" ht="12" customHeight="1">
      <c r="A220" s="91">
        <v>210</v>
      </c>
      <c r="B220" s="282" t="s">
        <v>77</v>
      </c>
      <c r="C220" s="113">
        <v>40655</v>
      </c>
      <c r="D220" s="114" t="s">
        <v>78</v>
      </c>
      <c r="E220" s="115">
        <v>1</v>
      </c>
      <c r="F220" s="115">
        <v>5</v>
      </c>
      <c r="G220" s="335">
        <v>10083</v>
      </c>
      <c r="H220" s="385">
        <v>1564</v>
      </c>
      <c r="I220" s="319">
        <f>G220/H220</f>
        <v>6.44693094629156</v>
      </c>
      <c r="J220" s="89">
        <v>210</v>
      </c>
      <c r="K220" s="548"/>
    </row>
    <row r="221" spans="1:11" s="90" customFormat="1" ht="12" customHeight="1">
      <c r="A221" s="91">
        <v>211</v>
      </c>
      <c r="B221" s="192" t="s">
        <v>354</v>
      </c>
      <c r="C221" s="32">
        <v>40732</v>
      </c>
      <c r="D221" s="588" t="s">
        <v>31</v>
      </c>
      <c r="E221" s="882">
        <v>2</v>
      </c>
      <c r="F221" s="882">
        <v>9</v>
      </c>
      <c r="G221" s="644">
        <f>3347.5+953+825.5+1396+514.5+284+430+191+106</f>
        <v>8047.5</v>
      </c>
      <c r="H221" s="645">
        <f>237+71+61+165+189+45+47+19+15</f>
        <v>849</v>
      </c>
      <c r="I221" s="885">
        <f>G221/H221</f>
        <v>9.478798586572438</v>
      </c>
      <c r="J221" s="99">
        <v>211</v>
      </c>
      <c r="K221" s="548"/>
    </row>
    <row r="222" spans="1:11" s="90" customFormat="1" ht="12" customHeight="1">
      <c r="A222" s="91">
        <v>212</v>
      </c>
      <c r="B222" s="200" t="s">
        <v>47</v>
      </c>
      <c r="C222" s="2">
        <v>40627</v>
      </c>
      <c r="D222" s="114" t="s">
        <v>21</v>
      </c>
      <c r="E222" s="3">
        <v>2</v>
      </c>
      <c r="F222" s="3">
        <v>17</v>
      </c>
      <c r="G222" s="51">
        <f>2223.5+279.5+324+90+90+114+120+14+1140+705+219+150+81+162+822+296+254</f>
        <v>7084</v>
      </c>
      <c r="H222" s="48">
        <f>155+19+39+15+15+20+20+2+154+141+30+25+12+23+78+31+25</f>
        <v>804</v>
      </c>
      <c r="I222" s="98">
        <f>+G222/H222</f>
        <v>8.810945273631841</v>
      </c>
      <c r="J222" s="89">
        <v>212</v>
      </c>
      <c r="K222" s="548"/>
    </row>
    <row r="223" spans="1:11" s="90" customFormat="1" ht="12" customHeight="1">
      <c r="A223" s="91">
        <v>213</v>
      </c>
      <c r="B223" s="192" t="s">
        <v>447</v>
      </c>
      <c r="C223" s="32">
        <v>40795</v>
      </c>
      <c r="D223" s="588" t="s">
        <v>31</v>
      </c>
      <c r="E223" s="181">
        <v>3</v>
      </c>
      <c r="F223" s="186">
        <v>3</v>
      </c>
      <c r="G223" s="17">
        <f>4125+2511+398</f>
        <v>7034</v>
      </c>
      <c r="H223" s="18">
        <f>422+287+52</f>
        <v>761</v>
      </c>
      <c r="I223" s="1098">
        <f>G223/H223</f>
        <v>9.243101182654403</v>
      </c>
      <c r="J223" s="89">
        <v>213</v>
      </c>
      <c r="K223" s="548"/>
    </row>
    <row r="224" spans="1:11" s="90" customFormat="1" ht="12" customHeight="1">
      <c r="A224" s="91">
        <v>214</v>
      </c>
      <c r="B224" s="262" t="s">
        <v>237</v>
      </c>
      <c r="C224" s="32">
        <v>40711</v>
      </c>
      <c r="D224" s="114" t="s">
        <v>31</v>
      </c>
      <c r="E224" s="31">
        <v>1</v>
      </c>
      <c r="F224" s="585">
        <v>8</v>
      </c>
      <c r="G224" s="17">
        <f>2079+2156+600+711+244+159+324.5+129</f>
        <v>6402.5</v>
      </c>
      <c r="H224" s="18">
        <f>143+271+75+67+107+28+43+25</f>
        <v>759</v>
      </c>
      <c r="I224" s="101">
        <f>+G224/H224</f>
        <v>8.435441370223979</v>
      </c>
      <c r="J224" s="89">
        <v>214</v>
      </c>
      <c r="K224" s="548"/>
    </row>
    <row r="225" spans="1:11" s="90" customFormat="1" ht="12" customHeight="1">
      <c r="A225" s="91">
        <v>215</v>
      </c>
      <c r="B225" s="171" t="s">
        <v>254</v>
      </c>
      <c r="C225" s="32">
        <v>40669</v>
      </c>
      <c r="D225" s="251" t="s">
        <v>23</v>
      </c>
      <c r="E225" s="208">
        <v>2</v>
      </c>
      <c r="F225" s="33">
        <v>1</v>
      </c>
      <c r="G225" s="47">
        <v>4244</v>
      </c>
      <c r="H225" s="173">
        <v>341</v>
      </c>
      <c r="I225" s="281">
        <f>+G225/H225</f>
        <v>12.44574780058651</v>
      </c>
      <c r="J225" s="89">
        <v>215</v>
      </c>
      <c r="K225" s="548"/>
    </row>
    <row r="226" spans="1:11" s="90" customFormat="1" ht="12" customHeight="1">
      <c r="A226" s="91">
        <v>216</v>
      </c>
      <c r="B226" s="608" t="s">
        <v>238</v>
      </c>
      <c r="C226" s="113">
        <v>40711</v>
      </c>
      <c r="D226" s="580" t="s">
        <v>45</v>
      </c>
      <c r="E226" s="31">
        <v>4</v>
      </c>
      <c r="F226" s="31">
        <v>5</v>
      </c>
      <c r="G226" s="574">
        <v>2675.5</v>
      </c>
      <c r="H226" s="575">
        <v>384</v>
      </c>
      <c r="I226" s="630">
        <f>+G226/H226</f>
        <v>6.967447916666667</v>
      </c>
      <c r="J226" s="99">
        <v>216</v>
      </c>
      <c r="K226" s="548"/>
    </row>
    <row r="227" spans="1:11" s="90" customFormat="1" ht="12" customHeight="1" thickBot="1">
      <c r="A227" s="91">
        <v>217</v>
      </c>
      <c r="B227" s="1163" t="s">
        <v>208</v>
      </c>
      <c r="C227" s="1164">
        <v>40557</v>
      </c>
      <c r="D227" s="679" t="s">
        <v>138</v>
      </c>
      <c r="E227" s="1165">
        <v>12</v>
      </c>
      <c r="F227" s="1165">
        <v>9</v>
      </c>
      <c r="G227" s="1166">
        <v>20551</v>
      </c>
      <c r="H227" s="1167">
        <v>2866</v>
      </c>
      <c r="I227" s="1168">
        <f>+G227/H227</f>
        <v>7.170621074668528</v>
      </c>
      <c r="J227" s="89">
        <v>217</v>
      </c>
      <c r="K227" s="548"/>
    </row>
    <row r="228" spans="1:11" s="90" customFormat="1" ht="15.75" thickBot="1">
      <c r="A228" s="129"/>
      <c r="C228" s="131"/>
      <c r="E228" s="130"/>
      <c r="F228" s="130"/>
      <c r="G228" s="132"/>
      <c r="H228" s="141"/>
      <c r="I228" s="136"/>
      <c r="K228" s="548"/>
    </row>
    <row r="229" spans="1:11" s="142" customFormat="1" ht="15.75" customHeight="1">
      <c r="A229" s="994" t="s">
        <v>84</v>
      </c>
      <c r="B229" s="995"/>
      <c r="C229" s="995"/>
      <c r="D229" s="995"/>
      <c r="E229" s="995"/>
      <c r="F229" s="995"/>
      <c r="G229" s="995"/>
      <c r="H229" s="995"/>
      <c r="I229" s="995"/>
      <c r="J229" s="996"/>
      <c r="K229" s="549"/>
    </row>
    <row r="230" spans="1:11" s="142" customFormat="1" ht="15.75" customHeight="1">
      <c r="A230" s="997"/>
      <c r="B230" s="998"/>
      <c r="C230" s="998"/>
      <c r="D230" s="998"/>
      <c r="E230" s="998"/>
      <c r="F230" s="998"/>
      <c r="G230" s="998"/>
      <c r="H230" s="998"/>
      <c r="I230" s="998"/>
      <c r="J230" s="999"/>
      <c r="K230" s="549"/>
    </row>
    <row r="231" spans="1:11" s="142" customFormat="1" ht="15.75" customHeight="1">
      <c r="A231" s="997"/>
      <c r="B231" s="998"/>
      <c r="C231" s="998"/>
      <c r="D231" s="998"/>
      <c r="E231" s="998"/>
      <c r="F231" s="998"/>
      <c r="G231" s="998"/>
      <c r="H231" s="998"/>
      <c r="I231" s="998"/>
      <c r="J231" s="999"/>
      <c r="K231" s="549"/>
    </row>
    <row r="232" spans="1:11" s="142" customFormat="1" ht="15.75" customHeight="1">
      <c r="A232" s="997"/>
      <c r="B232" s="998"/>
      <c r="C232" s="998"/>
      <c r="D232" s="998"/>
      <c r="E232" s="998"/>
      <c r="F232" s="998"/>
      <c r="G232" s="998"/>
      <c r="H232" s="998"/>
      <c r="I232" s="998"/>
      <c r="J232" s="999"/>
      <c r="K232" s="549"/>
    </row>
    <row r="233" spans="1:11" s="142" customFormat="1" ht="15.75" customHeight="1">
      <c r="A233" s="997"/>
      <c r="B233" s="998"/>
      <c r="C233" s="998"/>
      <c r="D233" s="998"/>
      <c r="E233" s="998"/>
      <c r="F233" s="998"/>
      <c r="G233" s="998"/>
      <c r="H233" s="998"/>
      <c r="I233" s="998"/>
      <c r="J233" s="999"/>
      <c r="K233" s="549"/>
    </row>
    <row r="234" spans="1:11" s="142" customFormat="1" ht="15.75" customHeight="1" thickBot="1">
      <c r="A234" s="1000"/>
      <c r="B234" s="1001"/>
      <c r="C234" s="1001"/>
      <c r="D234" s="1001"/>
      <c r="E234" s="1001"/>
      <c r="F234" s="1001"/>
      <c r="G234" s="1001"/>
      <c r="H234" s="1001"/>
      <c r="I234" s="1001"/>
      <c r="J234" s="1002"/>
      <c r="K234" s="549"/>
    </row>
  </sheetData>
  <mergeCells count="10">
    <mergeCell ref="B6:E6"/>
    <mergeCell ref="G6:J6"/>
    <mergeCell ref="G7:H7"/>
    <mergeCell ref="A229:J234"/>
    <mergeCell ref="A4:C4"/>
    <mergeCell ref="A5:C5"/>
    <mergeCell ref="G5:J5"/>
    <mergeCell ref="A1:J1"/>
    <mergeCell ref="A2:J2"/>
    <mergeCell ref="A3:J3"/>
  </mergeCells>
  <hyperlinks>
    <hyperlink ref="A3" r:id="rId1" display="http://www.antraktsinema.com"/>
  </hyperlinks>
  <printOptions/>
  <pageMargins left="0.75" right="0.75" top="1" bottom="1" header="0.5" footer="0.5"/>
  <pageSetup horizontalDpi="200" verticalDpi="200" orientation="portrait" paperSize="9" r:id="rId3"/>
  <ignoredErrors>
    <ignoredError sqref="G131:H131 G168 I46:I105 I131 I140:I166 I204 I167:I174 H168 G56:H61 G72:H73" formula="1"/>
    <ignoredError sqref="G15:H45 G185:H203 H139 G175:H184 I207:I211 G205:H226 G139:G166 G135:H138" unlockedFormula="1"/>
    <ignoredError sqref="G46:H55 G167 I106:I116 H140:H166 I175:I203 I205:I206 I212:I226 G169:H174 H167 G117:H130 G74:H105 I117:I130 G106:H116 G62:H71" formula="1" unlockedFormula="1"/>
    <ignoredError sqref="E115:F121" numberStoredAsText="1"/>
  </ignoredErrors>
  <drawing r:id="rId2"/>
</worksheet>
</file>

<file path=xl/worksheets/sheet3.xml><?xml version="1.0" encoding="utf-8"?>
<worksheet xmlns="http://schemas.openxmlformats.org/spreadsheetml/2006/main" xmlns:r="http://schemas.openxmlformats.org/officeDocument/2006/relationships">
  <dimension ref="A1:Q539"/>
  <sheetViews>
    <sheetView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9.140625" defaultRowHeight="12.75"/>
  <cols>
    <col min="1" max="1" width="4.421875" style="143" bestFit="1" customWidth="1"/>
    <col min="2" max="2" width="52.7109375" style="146" bestFit="1" customWidth="1"/>
    <col min="3" max="3" width="7.8515625" style="147" bestFit="1" customWidth="1"/>
    <col min="4" max="4" width="19.7109375" style="147" bestFit="1" customWidth="1"/>
    <col min="5" max="5" width="5.8515625" style="147" bestFit="1" customWidth="1"/>
    <col min="6" max="6" width="8.7109375" style="148" customWidth="1"/>
    <col min="7" max="7" width="8.7109375" style="149" customWidth="1"/>
    <col min="8" max="9" width="11.8515625" style="157" customWidth="1"/>
    <col min="10" max="10" width="9.7109375" style="158" customWidth="1"/>
    <col min="11" max="11" width="9.7109375" style="159" customWidth="1"/>
    <col min="12" max="12" width="12.28125" style="146" bestFit="1" customWidth="1"/>
    <col min="13" max="13" width="8.8515625" style="146" bestFit="1" customWidth="1"/>
    <col min="14" max="14" width="9.140625" style="146" customWidth="1"/>
    <col min="15" max="15" width="4.421875" style="146" bestFit="1" customWidth="1"/>
    <col min="16" max="20" width="6.8515625" style="146" customWidth="1"/>
    <col min="21" max="16384" width="4.421875" style="146" customWidth="1"/>
  </cols>
  <sheetData>
    <row r="1" spans="1:15" s="53" customFormat="1" ht="34.5">
      <c r="A1" s="1023" t="s">
        <v>171</v>
      </c>
      <c r="B1" s="1024"/>
      <c r="C1" s="1024"/>
      <c r="D1" s="1024"/>
      <c r="E1" s="1024"/>
      <c r="F1" s="1024"/>
      <c r="G1" s="1024"/>
      <c r="H1" s="980"/>
      <c r="I1" s="980"/>
      <c r="J1" s="980"/>
      <c r="K1" s="980"/>
      <c r="L1" s="980"/>
      <c r="M1" s="980"/>
      <c r="N1" s="980"/>
      <c r="O1" s="980"/>
    </row>
    <row r="2" spans="1:15" s="53" customFormat="1" ht="18.75">
      <c r="A2" s="1014" t="s">
        <v>175</v>
      </c>
      <c r="B2" s="1025"/>
      <c r="C2" s="1025"/>
      <c r="D2" s="1025"/>
      <c r="E2" s="1025"/>
      <c r="F2" s="1025"/>
      <c r="G2" s="1025"/>
      <c r="H2" s="161"/>
      <c r="I2" s="161"/>
      <c r="J2" s="161"/>
      <c r="K2" s="161"/>
      <c r="L2" s="161"/>
      <c r="M2" s="161"/>
      <c r="N2" s="161"/>
      <c r="O2" s="161"/>
    </row>
    <row r="3" spans="1:15" s="53" customFormat="1" ht="27" thickBot="1">
      <c r="A3" s="987" t="s">
        <v>133</v>
      </c>
      <c r="B3" s="988"/>
      <c r="C3" s="988"/>
      <c r="D3" s="988"/>
      <c r="E3" s="988"/>
      <c r="F3" s="988"/>
      <c r="G3" s="988"/>
      <c r="H3" s="162"/>
      <c r="I3" s="163"/>
      <c r="J3" s="166"/>
      <c r="K3" s="162"/>
      <c r="L3" s="163"/>
      <c r="M3" s="164"/>
      <c r="N3" s="165"/>
      <c r="O3" s="166"/>
    </row>
    <row r="4" spans="1:15" s="53" customFormat="1" ht="32.25">
      <c r="A4" s="1026" t="s">
        <v>461</v>
      </c>
      <c r="B4" s="990"/>
      <c r="C4" s="990"/>
      <c r="D4" s="56"/>
      <c r="E4" s="56"/>
      <c r="F4" s="56"/>
      <c r="G4" s="56"/>
      <c r="H4" s="1020"/>
      <c r="I4" s="1021"/>
      <c r="J4" s="1021"/>
      <c r="K4" s="169"/>
      <c r="L4" s="169"/>
      <c r="M4" s="170"/>
      <c r="N4" s="169"/>
      <c r="O4" s="169"/>
    </row>
    <row r="5" spans="1:15" s="53" customFormat="1" ht="33" thickBot="1">
      <c r="A5" s="1009" t="s">
        <v>460</v>
      </c>
      <c r="B5" s="979"/>
      <c r="C5" s="979"/>
      <c r="D5" s="57"/>
      <c r="E5" s="57"/>
      <c r="F5" s="57"/>
      <c r="G5" s="57"/>
      <c r="H5" s="1022"/>
      <c r="I5" s="1010"/>
      <c r="J5" s="1010"/>
      <c r="K5" s="1010"/>
      <c r="L5" s="1010"/>
      <c r="M5" s="1010"/>
      <c r="N5" s="1010"/>
      <c r="O5" s="1010"/>
    </row>
    <row r="6" spans="1:15" s="60" customFormat="1" ht="15.75" customHeight="1" thickBot="1">
      <c r="A6" s="58"/>
      <c r="B6" s="1017" t="s">
        <v>116</v>
      </c>
      <c r="C6" s="1017"/>
      <c r="D6" s="1017"/>
      <c r="E6" s="1017"/>
      <c r="F6" s="1017" t="s">
        <v>115</v>
      </c>
      <c r="G6" s="1017"/>
      <c r="H6" s="1017" t="s">
        <v>218</v>
      </c>
      <c r="I6" s="1017"/>
      <c r="J6" s="1017" t="s">
        <v>122</v>
      </c>
      <c r="K6" s="1017"/>
      <c r="L6" s="1017" t="s">
        <v>114</v>
      </c>
      <c r="M6" s="1017"/>
      <c r="N6" s="1017"/>
      <c r="O6" s="1017"/>
    </row>
    <row r="7" spans="1:15" s="64" customFormat="1" ht="12.75" customHeight="1">
      <c r="A7" s="61"/>
      <c r="B7" s="1"/>
      <c r="C7" s="63" t="s">
        <v>85</v>
      </c>
      <c r="D7" s="1"/>
      <c r="E7" s="1" t="s">
        <v>88</v>
      </c>
      <c r="F7" s="1" t="s">
        <v>88</v>
      </c>
      <c r="G7" s="1" t="s">
        <v>90</v>
      </c>
      <c r="H7" s="1027"/>
      <c r="I7" s="1027"/>
      <c r="J7" s="1018" t="s">
        <v>123</v>
      </c>
      <c r="K7" s="1018"/>
      <c r="L7" s="1018"/>
      <c r="M7" s="1018"/>
      <c r="N7" s="62" t="s">
        <v>100</v>
      </c>
      <c r="O7" s="62"/>
    </row>
    <row r="8" spans="1:15" s="64" customFormat="1" ht="13.5" thickBot="1">
      <c r="A8" s="65"/>
      <c r="B8" s="67" t="s">
        <v>9</v>
      </c>
      <c r="C8" s="68" t="s">
        <v>86</v>
      </c>
      <c r="D8" s="69" t="s">
        <v>1</v>
      </c>
      <c r="E8" s="69" t="s">
        <v>87</v>
      </c>
      <c r="F8" s="69" t="s">
        <v>89</v>
      </c>
      <c r="G8" s="69" t="s">
        <v>85</v>
      </c>
      <c r="H8" s="70" t="s">
        <v>7</v>
      </c>
      <c r="I8" s="70" t="s">
        <v>6</v>
      </c>
      <c r="J8" s="71" t="s">
        <v>6</v>
      </c>
      <c r="K8" s="72" t="s">
        <v>101</v>
      </c>
      <c r="L8" s="66" t="s">
        <v>7</v>
      </c>
      <c r="M8" s="66" t="s">
        <v>6</v>
      </c>
      <c r="N8" s="66" t="s">
        <v>101</v>
      </c>
      <c r="O8" s="66"/>
    </row>
    <row r="9" spans="1:15" s="78" customFormat="1" ht="12.75" customHeight="1">
      <c r="A9" s="73"/>
      <c r="B9" s="73"/>
      <c r="C9" s="74" t="s">
        <v>92</v>
      </c>
      <c r="D9" s="73"/>
      <c r="E9" s="73" t="s">
        <v>95</v>
      </c>
      <c r="F9" s="73" t="s">
        <v>97</v>
      </c>
      <c r="G9" s="73" t="s">
        <v>98</v>
      </c>
      <c r="H9" s="76"/>
      <c r="I9" s="76"/>
      <c r="J9" s="1019" t="s">
        <v>124</v>
      </c>
      <c r="K9" s="1019"/>
      <c r="L9" s="77"/>
      <c r="M9" s="77"/>
      <c r="N9" s="75" t="s">
        <v>106</v>
      </c>
      <c r="O9" s="75"/>
    </row>
    <row r="10" spans="1:15" s="78" customFormat="1" ht="13.5" thickBot="1">
      <c r="A10" s="79"/>
      <c r="B10" s="283" t="s">
        <v>91</v>
      </c>
      <c r="C10" s="284" t="s">
        <v>93</v>
      </c>
      <c r="D10" s="285" t="s">
        <v>94</v>
      </c>
      <c r="E10" s="285" t="s">
        <v>96</v>
      </c>
      <c r="F10" s="285" t="s">
        <v>96</v>
      </c>
      <c r="G10" s="285" t="s">
        <v>99</v>
      </c>
      <c r="H10" s="286" t="s">
        <v>108</v>
      </c>
      <c r="I10" s="286" t="s">
        <v>105</v>
      </c>
      <c r="J10" s="287" t="s">
        <v>105</v>
      </c>
      <c r="K10" s="288" t="s">
        <v>107</v>
      </c>
      <c r="L10" s="289" t="s">
        <v>105</v>
      </c>
      <c r="M10" s="289" t="s">
        <v>107</v>
      </c>
      <c r="N10" s="289" t="s">
        <v>107</v>
      </c>
      <c r="O10" s="79"/>
    </row>
    <row r="11" spans="1:15" s="90" customFormat="1" ht="12" customHeight="1">
      <c r="A11" s="86">
        <v>1</v>
      </c>
      <c r="B11" s="930">
        <v>9</v>
      </c>
      <c r="C11" s="933">
        <v>40284</v>
      </c>
      <c r="D11" s="935" t="s">
        <v>31</v>
      </c>
      <c r="E11" s="598">
        <v>1</v>
      </c>
      <c r="F11" s="598">
        <v>1</v>
      </c>
      <c r="G11" s="598">
        <v>14</v>
      </c>
      <c r="H11" s="924">
        <v>1307</v>
      </c>
      <c r="I11" s="925">
        <v>327</v>
      </c>
      <c r="J11" s="628">
        <f>I11/F11</f>
        <v>327</v>
      </c>
      <c r="K11" s="874">
        <f>H11/I11</f>
        <v>3.996941896024465</v>
      </c>
      <c r="L11" s="926">
        <f>19938+4162+2098+2376+845+1608+833.5+361+161+101+2019.5+2019.5+2019.5+2138.5+1307</f>
        <v>41987.5</v>
      </c>
      <c r="M11" s="927">
        <f>2614+350+241+594+102+138+113+48+26+20+505+505+505+535+327</f>
        <v>6623</v>
      </c>
      <c r="N11" s="946">
        <f>+L11/M11</f>
        <v>6.339649705571493</v>
      </c>
      <c r="O11" s="89">
        <v>1</v>
      </c>
    </row>
    <row r="12" spans="1:15" s="90" customFormat="1" ht="12" customHeight="1">
      <c r="A12" s="91">
        <v>2</v>
      </c>
      <c r="B12" s="430">
        <v>120</v>
      </c>
      <c r="C12" s="658">
        <v>39493</v>
      </c>
      <c r="D12" s="594" t="s">
        <v>28</v>
      </c>
      <c r="E12" s="31">
        <v>179</v>
      </c>
      <c r="F12" s="589">
        <v>1</v>
      </c>
      <c r="G12" s="589">
        <v>48</v>
      </c>
      <c r="H12" s="731">
        <v>2402</v>
      </c>
      <c r="I12" s="703">
        <v>480</v>
      </c>
      <c r="J12" s="245">
        <f>I12/F12</f>
        <v>480</v>
      </c>
      <c r="K12" s="318">
        <f>H12/I12</f>
        <v>5.004166666666666</v>
      </c>
      <c r="L12" s="626">
        <f>5039812.5+1919+2402</f>
        <v>5044133.5</v>
      </c>
      <c r="M12" s="449">
        <f>1038442+320+480</f>
        <v>1039242</v>
      </c>
      <c r="N12" s="329">
        <f>+L12/M12</f>
        <v>4.8536659411378675</v>
      </c>
      <c r="O12" s="99">
        <v>2</v>
      </c>
    </row>
    <row r="13" spans="1:15" s="90" customFormat="1" ht="12" customHeight="1">
      <c r="A13" s="91">
        <v>3</v>
      </c>
      <c r="B13" s="200">
        <v>120</v>
      </c>
      <c r="C13" s="2">
        <v>39675</v>
      </c>
      <c r="D13" s="114" t="s">
        <v>28</v>
      </c>
      <c r="E13" s="3">
        <v>179</v>
      </c>
      <c r="F13" s="215">
        <v>1</v>
      </c>
      <c r="G13" s="215">
        <v>49</v>
      </c>
      <c r="H13" s="700">
        <v>2402</v>
      </c>
      <c r="I13" s="382">
        <v>480</v>
      </c>
      <c r="J13" s="97">
        <f>I13/F13</f>
        <v>480</v>
      </c>
      <c r="K13" s="96">
        <f>H13/I13</f>
        <v>5.004166666666666</v>
      </c>
      <c r="L13" s="654">
        <f>5039812.5+1919+2402+2402</f>
        <v>5046535.5</v>
      </c>
      <c r="M13" s="216">
        <f>1038442+320+480+480</f>
        <v>1039722</v>
      </c>
      <c r="N13" s="122">
        <f>+L13/M13</f>
        <v>4.853735421583846</v>
      </c>
      <c r="O13" s="99">
        <v>3</v>
      </c>
    </row>
    <row r="14" spans="1:15" s="90" customFormat="1" ht="12" customHeight="1">
      <c r="A14" s="91">
        <v>4</v>
      </c>
      <c r="B14" s="171">
        <v>120</v>
      </c>
      <c r="C14" s="399">
        <v>39493</v>
      </c>
      <c r="D14" s="30" t="s">
        <v>28</v>
      </c>
      <c r="E14" s="172">
        <v>179</v>
      </c>
      <c r="F14" s="172">
        <v>1</v>
      </c>
      <c r="G14" s="172">
        <v>47</v>
      </c>
      <c r="H14" s="516">
        <v>1919</v>
      </c>
      <c r="I14" s="517">
        <v>320</v>
      </c>
      <c r="J14" s="108">
        <f>(I14/F14)</f>
        <v>320</v>
      </c>
      <c r="K14" s="174">
        <f>H14/I14</f>
        <v>5.996875</v>
      </c>
      <c r="L14" s="175">
        <f>5039812.5+1919</f>
        <v>5041731.5</v>
      </c>
      <c r="M14" s="39">
        <f>1038442+320</f>
        <v>1038762</v>
      </c>
      <c r="N14" s="176">
        <f>L14/M14</f>
        <v>4.853596396479656</v>
      </c>
      <c r="O14" s="99">
        <v>4</v>
      </c>
    </row>
    <row r="15" spans="1:15" s="90" customFormat="1" ht="12" customHeight="1">
      <c r="A15" s="91">
        <v>5</v>
      </c>
      <c r="B15" s="194" t="s">
        <v>264</v>
      </c>
      <c r="C15" s="250">
        <v>40095</v>
      </c>
      <c r="D15" s="934" t="s">
        <v>31</v>
      </c>
      <c r="E15" s="196">
        <v>22</v>
      </c>
      <c r="F15" s="196">
        <v>1</v>
      </c>
      <c r="G15" s="196">
        <v>20</v>
      </c>
      <c r="H15" s="504">
        <v>952</v>
      </c>
      <c r="I15" s="501">
        <v>238</v>
      </c>
      <c r="J15" s="106">
        <f>(I15/F15)</f>
        <v>238</v>
      </c>
      <c r="K15" s="197">
        <f>H15/I15</f>
        <v>4</v>
      </c>
      <c r="L15" s="43">
        <f>158809.5+140713.25+103696.25+38523+19360+17458+1188+196+2484+3158+1780+2933+1780+2461+6600.5+2668.5+440+441+476+952</f>
        <v>506118</v>
      </c>
      <c r="M15" s="9">
        <f>14214+13110+10683+4685+3074+2645+297+16+571+596+445+584+445+466+837+295+44+65+72+238</f>
        <v>53382</v>
      </c>
      <c r="N15" s="198">
        <f>L15/M15</f>
        <v>9.481061031808474</v>
      </c>
      <c r="O15" s="99">
        <v>5</v>
      </c>
    </row>
    <row r="16" spans="1:15" s="90" customFormat="1" ht="12" customHeight="1">
      <c r="A16" s="91">
        <v>6</v>
      </c>
      <c r="B16" s="265" t="s">
        <v>265</v>
      </c>
      <c r="C16" s="250">
        <v>40417</v>
      </c>
      <c r="D16" s="195" t="s">
        <v>31</v>
      </c>
      <c r="E16" s="208">
        <v>25</v>
      </c>
      <c r="F16" s="208">
        <v>1</v>
      </c>
      <c r="G16" s="208">
        <v>15</v>
      </c>
      <c r="H16" s="510">
        <v>807</v>
      </c>
      <c r="I16" s="501">
        <v>102</v>
      </c>
      <c r="J16" s="106">
        <f>(I16/F16)</f>
        <v>102</v>
      </c>
      <c r="K16" s="266">
        <f>H16/I16</f>
        <v>7.911764705882353</v>
      </c>
      <c r="L16" s="391">
        <f>87475.5+57473+42134+23624+14854.5+21662+13363.5+5246+6057+2099+300.5+763+292.5+496.5+807</f>
        <v>276648</v>
      </c>
      <c r="M16" s="9">
        <f>7817+5228+5394+3109+2109+2845+2026+770+762+416+44+111+45+73+102</f>
        <v>30851</v>
      </c>
      <c r="N16" s="198">
        <f>L16/M16</f>
        <v>8.96722958737156</v>
      </c>
      <c r="O16" s="99">
        <v>6</v>
      </c>
    </row>
    <row r="17" spans="1:15" s="90" customFormat="1" ht="12" customHeight="1">
      <c r="A17" s="91">
        <v>7</v>
      </c>
      <c r="B17" s="180" t="s">
        <v>266</v>
      </c>
      <c r="C17" s="32">
        <v>40172</v>
      </c>
      <c r="D17" s="30" t="s">
        <v>31</v>
      </c>
      <c r="E17" s="33">
        <v>60</v>
      </c>
      <c r="F17" s="33">
        <v>3</v>
      </c>
      <c r="G17" s="33">
        <v>32</v>
      </c>
      <c r="H17" s="339">
        <v>5074</v>
      </c>
      <c r="I17" s="340">
        <v>1267</v>
      </c>
      <c r="J17" s="108">
        <f>(I17/F17)</f>
        <v>422.3333333333333</v>
      </c>
      <c r="K17" s="174">
        <f>H17/I17</f>
        <v>4.004735595895817</v>
      </c>
      <c r="L17" s="12">
        <f>421775.5+397095.5+287050+215248.5+189819.5+180729.5+86816.5+23840+19148+14942.5+8798.5+9599+13618.5+4298+4028+3310+8547+6712.5+1803+1172+973+2291+380.5+3015+1103.5+65+2061.5+1262+1020+2232+2970+5074</f>
        <v>1920799.5</v>
      </c>
      <c r="M17" s="13">
        <f>43739+40732+31780+27356+25902+24895+12153+4496+3179+3069+1650+2236+3335+954+829+540+1945+1297+429+261+173+594+53+613+200+10+480+240+102+533+743+1267</f>
        <v>235785</v>
      </c>
      <c r="N17" s="176">
        <f>L17/M17</f>
        <v>8.146402442903492</v>
      </c>
      <c r="O17" s="99">
        <v>7</v>
      </c>
    </row>
    <row r="18" spans="1:15" s="90" customFormat="1" ht="12" customHeight="1">
      <c r="A18" s="91">
        <v>8</v>
      </c>
      <c r="B18" s="180" t="s">
        <v>266</v>
      </c>
      <c r="C18" s="32">
        <v>40172</v>
      </c>
      <c r="D18" s="178" t="s">
        <v>31</v>
      </c>
      <c r="E18" s="181">
        <v>60</v>
      </c>
      <c r="F18" s="181">
        <v>2</v>
      </c>
      <c r="G18" s="181">
        <v>33</v>
      </c>
      <c r="H18" s="339">
        <v>2970</v>
      </c>
      <c r="I18" s="340">
        <v>742</v>
      </c>
      <c r="J18" s="108">
        <f>(I18/F18)</f>
        <v>371</v>
      </c>
      <c r="K18" s="174">
        <f>H18/I18</f>
        <v>4.002695417789758</v>
      </c>
      <c r="L18" s="12">
        <f>421775.5+397095.5+287050+215248.5+189819.5+180729.5+86816.5+23840+19148+14942.5+8798.5+9599+13618.5+4298+4028+3310+8547+6712.5+1803+1172+973+2291+380.5+3015+1103.5+65+2061.5+1262+1020+2232+2970+5074+2970</f>
        <v>1923769.5</v>
      </c>
      <c r="M18" s="13">
        <f>43739+40732+31780+27356+25902+24895+12153+4496+3179+3069+1650+2236+3335+954+829+540+1945+1297+429+261+173+594+53+613+200+10+480+240+102+533+743+1267+742</f>
        <v>236527</v>
      </c>
      <c r="N18" s="176">
        <f>L18/M18</f>
        <v>8.133403374667585</v>
      </c>
      <c r="O18" s="99">
        <v>8</v>
      </c>
    </row>
    <row r="19" spans="1:15" s="90" customFormat="1" ht="12" customHeight="1">
      <c r="A19" s="91">
        <v>9</v>
      </c>
      <c r="B19" s="180" t="s">
        <v>266</v>
      </c>
      <c r="C19" s="32">
        <v>40172</v>
      </c>
      <c r="D19" s="178" t="s">
        <v>31</v>
      </c>
      <c r="E19" s="181">
        <v>60</v>
      </c>
      <c r="F19" s="181">
        <v>1</v>
      </c>
      <c r="G19" s="181">
        <v>34</v>
      </c>
      <c r="H19" s="509">
        <v>1188</v>
      </c>
      <c r="I19" s="523">
        <v>297</v>
      </c>
      <c r="J19" s="182">
        <f>(I19/F19)</f>
        <v>297</v>
      </c>
      <c r="K19" s="179">
        <f>H19/I19</f>
        <v>4</v>
      </c>
      <c r="L19" s="26">
        <f>421775.5+397095.5+287050+215248.5+189819.5+180729.5+86816.5+23840+19148+14942.5+8798.5+9599+13618.5+4298+4028+3310+8547+6712.5+1803+1172+973+2291+380.5+3015+1103.5+65+2061.5+1262+1020+2232+2970+5074+2970+1188</f>
        <v>1924957.5</v>
      </c>
      <c r="M19" s="27">
        <f>43739+40732+31780+27356+25902+24895+12153+4496+3179+3069+1650+2236+3335+954+829+540+1945+1297+429+261+173+594+53+613+200+10+480+240+102+533+743+1267+742+297</f>
        <v>236824</v>
      </c>
      <c r="N19" s="176">
        <f>L19/M19</f>
        <v>8.128219690571902</v>
      </c>
      <c r="O19" s="99">
        <v>9</v>
      </c>
    </row>
    <row r="20" spans="1:15" s="90" customFormat="1" ht="12" customHeight="1">
      <c r="A20" s="91">
        <v>10</v>
      </c>
      <c r="B20" s="180" t="s">
        <v>266</v>
      </c>
      <c r="C20" s="32">
        <v>40172</v>
      </c>
      <c r="D20" s="393" t="s">
        <v>31</v>
      </c>
      <c r="E20" s="33">
        <v>60</v>
      </c>
      <c r="F20" s="33">
        <v>1</v>
      </c>
      <c r="G20" s="33">
        <v>35</v>
      </c>
      <c r="H20" s="339">
        <v>250</v>
      </c>
      <c r="I20" s="340">
        <v>28</v>
      </c>
      <c r="J20" s="108">
        <f>(I20/F20)</f>
        <v>28</v>
      </c>
      <c r="K20" s="174">
        <f>H20/I20</f>
        <v>8.928571428571429</v>
      </c>
      <c r="L20" s="12">
        <f>421775.5+397095.5+287050+215248.5+189819.5+180729.5+86816.5+23840+19148+14942.5+8798.5+9599+13618.5+4298+4028+3310+8547+6712.5+1803+1172+973+2291+380.5+3015+1103.5+65+2061.5+1262+1020+2232+2970+5074+2970+1188+250</f>
        <v>1925207.5</v>
      </c>
      <c r="M20" s="13">
        <f>43739+40732+31780+27356+25902+24895+12153+4496+3179+3069+1650+2236+3335+954+829+540+1945+1297+429+261+173+594+53+613+200+10+480+240+102+533+743+1267+742+297+28</f>
        <v>236852</v>
      </c>
      <c r="N20" s="176">
        <f>L20/M20</f>
        <v>8.128314305980105</v>
      </c>
      <c r="O20" s="99">
        <v>10</v>
      </c>
    </row>
    <row r="21" spans="1:15" s="90" customFormat="1" ht="12" customHeight="1">
      <c r="A21" s="91">
        <v>11</v>
      </c>
      <c r="B21" s="180" t="s">
        <v>266</v>
      </c>
      <c r="C21" s="394">
        <v>40172</v>
      </c>
      <c r="D21" s="395" t="s">
        <v>31</v>
      </c>
      <c r="E21" s="396">
        <v>60</v>
      </c>
      <c r="F21" s="396">
        <v>1</v>
      </c>
      <c r="G21" s="396">
        <v>36</v>
      </c>
      <c r="H21" s="339">
        <v>200</v>
      </c>
      <c r="I21" s="340">
        <v>20</v>
      </c>
      <c r="J21" s="105">
        <v>20</v>
      </c>
      <c r="K21" s="183">
        <v>10</v>
      </c>
      <c r="L21" s="12">
        <v>1925407.5</v>
      </c>
      <c r="M21" s="13">
        <v>236872</v>
      </c>
      <c r="N21" s="176">
        <v>8.12847233949137</v>
      </c>
      <c r="O21" s="99">
        <v>11</v>
      </c>
    </row>
    <row r="22" spans="1:15" s="90" customFormat="1" ht="12" customHeight="1">
      <c r="A22" s="91">
        <v>12</v>
      </c>
      <c r="B22" s="180" t="s">
        <v>266</v>
      </c>
      <c r="C22" s="32">
        <v>40172</v>
      </c>
      <c r="D22" s="30" t="s">
        <v>31</v>
      </c>
      <c r="E22" s="33">
        <v>60</v>
      </c>
      <c r="F22" s="33">
        <v>1</v>
      </c>
      <c r="G22" s="33">
        <v>37</v>
      </c>
      <c r="H22" s="339">
        <v>70</v>
      </c>
      <c r="I22" s="340">
        <v>7</v>
      </c>
      <c r="J22" s="108">
        <f>(I22/F22)</f>
        <v>7</v>
      </c>
      <c r="K22" s="174">
        <f>H22/I22</f>
        <v>10</v>
      </c>
      <c r="L22" s="12">
        <f>421775.5+397095.5+287050+215248.5+189819.5+180729.5+86816.5+23840+19148+14942.5+8798.5+9599+13618.5+4298+4028+3310+8547+6712.5+1803+1172+973+2291+380.5+3015+1103.5+65+2061.5+1262+1020+2232+2970+5074+2970+1188+250+200+70</f>
        <v>1925477.5</v>
      </c>
      <c r="M22" s="13">
        <f>43739+40732+31780+27356+25902+24895+12153+4496+3179+3069+1650+2236+3335+954+829+540+1945+1297+429+261+173+594+53+613+200+10+480+240+102+533+743+1267+742+297+28+20+7</f>
        <v>236879</v>
      </c>
      <c r="N22" s="176">
        <f>L22/M22</f>
        <v>8.128527644915758</v>
      </c>
      <c r="O22" s="99">
        <v>12</v>
      </c>
    </row>
    <row r="23" spans="1:15" s="90" customFormat="1" ht="12" customHeight="1">
      <c r="A23" s="91">
        <v>13</v>
      </c>
      <c r="B23" s="184" t="s">
        <v>267</v>
      </c>
      <c r="C23" s="185">
        <v>40228</v>
      </c>
      <c r="D23" s="178" t="s">
        <v>31</v>
      </c>
      <c r="E23" s="186">
        <v>17</v>
      </c>
      <c r="F23" s="186">
        <v>1</v>
      </c>
      <c r="G23" s="186">
        <v>33</v>
      </c>
      <c r="H23" s="506">
        <v>1188</v>
      </c>
      <c r="I23" s="512">
        <v>297</v>
      </c>
      <c r="J23" s="187">
        <f>(I23/F23)</f>
        <v>297</v>
      </c>
      <c r="K23" s="188">
        <f>H23/I23</f>
        <v>4</v>
      </c>
      <c r="L23" s="189">
        <f>289107+1009.5+669+336+323+699+1238+121+1782+1782+1188</f>
        <v>298254.5</v>
      </c>
      <c r="M23" s="190">
        <f>30560+127+85+56+54+123+217+22+445+445+297</f>
        <v>32431</v>
      </c>
      <c r="N23" s="191">
        <f>L23/M23</f>
        <v>9.196586599241467</v>
      </c>
      <c r="O23" s="99">
        <v>13</v>
      </c>
    </row>
    <row r="24" spans="1:15" s="90" customFormat="1" ht="12" customHeight="1">
      <c r="A24" s="91">
        <v>14</v>
      </c>
      <c r="B24" s="192" t="s">
        <v>142</v>
      </c>
      <c r="C24" s="32">
        <v>40123</v>
      </c>
      <c r="D24" s="178" t="s">
        <v>135</v>
      </c>
      <c r="E24" s="181">
        <v>144</v>
      </c>
      <c r="F24" s="181">
        <v>3</v>
      </c>
      <c r="G24" s="181">
        <v>23</v>
      </c>
      <c r="H24" s="339">
        <v>6416</v>
      </c>
      <c r="I24" s="340">
        <v>1604</v>
      </c>
      <c r="J24" s="108">
        <f>(I24/F24)</f>
        <v>534.6666666666666</v>
      </c>
      <c r="K24" s="193">
        <f>H24/I24</f>
        <v>4</v>
      </c>
      <c r="L24" s="12">
        <f>909778+593215.5+203934.5+91391+32233.5+29451.5+14597.5+12123.5+12906+13616+5350+7885.5+2130+3662+3564+2376+1780+1424+2848+1620+109+5940+6416</f>
        <v>1958351.5</v>
      </c>
      <c r="M24" s="13">
        <f>103944+67300+25860+13426+5611+5689+2739+1975+2803+2381+1177+1755+350+881+891+594+445+356+712+393+20+1485+1604</f>
        <v>242391</v>
      </c>
      <c r="N24" s="176">
        <f>L24/M24</f>
        <v>8.079307812583801</v>
      </c>
      <c r="O24" s="99">
        <v>14</v>
      </c>
    </row>
    <row r="25" spans="1:15" s="90" customFormat="1" ht="12" customHeight="1">
      <c r="A25" s="91">
        <v>15</v>
      </c>
      <c r="B25" s="262" t="s">
        <v>136</v>
      </c>
      <c r="C25" s="32">
        <v>40459</v>
      </c>
      <c r="D25" s="114" t="s">
        <v>31</v>
      </c>
      <c r="E25" s="33">
        <v>142</v>
      </c>
      <c r="F25" s="33">
        <v>1</v>
      </c>
      <c r="G25" s="33">
        <v>27</v>
      </c>
      <c r="H25" s="339">
        <v>4276.5</v>
      </c>
      <c r="I25" s="340">
        <v>1069</v>
      </c>
      <c r="J25" s="97">
        <f>I25/F25</f>
        <v>1069</v>
      </c>
      <c r="K25" s="96">
        <f>H25/I25</f>
        <v>4.000467726847521</v>
      </c>
      <c r="L25" s="12">
        <f>569713+434829.5+295345.5+223420+26108+12415.5+5998+1904+1368+799+648+306+1782+594+1782+1425.5+3089+151+1188+1188+2376+1188+1425.5+1188+3207.5+77+4276.5</f>
        <v>1597792.5</v>
      </c>
      <c r="M25" s="13">
        <f>61050+47827+36467+29781+4601+2405+1000+284+287+123+103+51+445+113+446+267+708+24+297+287+594+297+356+297+801+13+1069</f>
        <v>189993</v>
      </c>
      <c r="N25" s="124">
        <f>+L25/M25</f>
        <v>8.409744043201592</v>
      </c>
      <c r="O25" s="99">
        <v>15</v>
      </c>
    </row>
    <row r="26" spans="1:15" s="90" customFormat="1" ht="12" customHeight="1">
      <c r="A26" s="91">
        <v>16</v>
      </c>
      <c r="B26" s="716" t="s">
        <v>136</v>
      </c>
      <c r="C26" s="671">
        <v>40459</v>
      </c>
      <c r="D26" s="580" t="s">
        <v>31</v>
      </c>
      <c r="E26" s="33">
        <v>142</v>
      </c>
      <c r="F26" s="33">
        <v>2</v>
      </c>
      <c r="G26" s="33">
        <v>25</v>
      </c>
      <c r="H26" s="339">
        <v>3207.5</v>
      </c>
      <c r="I26" s="340">
        <v>801</v>
      </c>
      <c r="J26" s="97">
        <f>I26/F26</f>
        <v>400.5</v>
      </c>
      <c r="K26" s="96">
        <f>H26/I26</f>
        <v>4.004369538077404</v>
      </c>
      <c r="L26" s="12">
        <f>569713+434829.5+295345.5+223420+26108+12415.5+5998+1904+1368+799+648+306+1782+594+1782+1425.5+3089+151+1188+1188+2376+1188+1425.5+1188+3207.5</f>
        <v>1593439</v>
      </c>
      <c r="M26" s="13">
        <f>61050+47827+36467+29781+4601+2405+1000+284+287+123+103+51+445+113+446+267+708+24+297+287+594+297+356+297+801</f>
        <v>188911</v>
      </c>
      <c r="N26" s="122">
        <f>+L26/M26</f>
        <v>8.43486615390316</v>
      </c>
      <c r="O26" s="99">
        <v>16</v>
      </c>
    </row>
    <row r="27" spans="1:15" s="90" customFormat="1" ht="12" customHeight="1">
      <c r="A27" s="91">
        <v>17</v>
      </c>
      <c r="B27" s="600" t="s">
        <v>136</v>
      </c>
      <c r="C27" s="425">
        <v>40459</v>
      </c>
      <c r="D27" s="114" t="s">
        <v>31</v>
      </c>
      <c r="E27" s="427">
        <v>142</v>
      </c>
      <c r="F27" s="186">
        <v>1</v>
      </c>
      <c r="G27" s="427">
        <v>21</v>
      </c>
      <c r="H27" s="339">
        <v>2376</v>
      </c>
      <c r="I27" s="340">
        <v>594</v>
      </c>
      <c r="J27" s="97">
        <f>I27/F27</f>
        <v>594</v>
      </c>
      <c r="K27" s="96">
        <f>H27/I27</f>
        <v>4</v>
      </c>
      <c r="L27" s="12">
        <f>569713+434829.5+295345.5+223420+26108+12415.5+5998+1904+1368+799+648+306+1782+594+1782+1425.5+3089+151+1188+1188+2376</f>
        <v>1586430</v>
      </c>
      <c r="M27" s="13">
        <f>61050+47827+36467+29781+4601+2405+1000+284+287+123+103+51+445+113+446+267+708+24+297+287+594</f>
        <v>187160</v>
      </c>
      <c r="N27" s="124">
        <f>L27/M27</f>
        <v>8.4763304124813</v>
      </c>
      <c r="O27" s="99">
        <v>17</v>
      </c>
    </row>
    <row r="28" spans="1:15" s="90" customFormat="1" ht="12" customHeight="1">
      <c r="A28" s="91">
        <v>18</v>
      </c>
      <c r="B28" s="693" t="s">
        <v>136</v>
      </c>
      <c r="C28" s="667">
        <v>40459</v>
      </c>
      <c r="D28" s="580" t="s">
        <v>31</v>
      </c>
      <c r="E28" s="668">
        <v>142</v>
      </c>
      <c r="F28" s="31">
        <v>1</v>
      </c>
      <c r="G28" s="668">
        <v>23</v>
      </c>
      <c r="H28" s="509">
        <v>1425.5</v>
      </c>
      <c r="I28" s="523">
        <v>356</v>
      </c>
      <c r="J28" s="245">
        <f>I28/F28</f>
        <v>356</v>
      </c>
      <c r="K28" s="318">
        <f>H28/I28</f>
        <v>4.004213483146067</v>
      </c>
      <c r="L28" s="26">
        <f>569713+434829.5+295345.5+223420+26108+12415.5+5998+1904+1368+799+648+306+1782+594+1782+1425.5+3089+151+1188+1188+2376+1188+1425.5</f>
        <v>1589043.5</v>
      </c>
      <c r="M28" s="27">
        <f>61050+47827+36467+29781+4601+2405+1000+284+287+123+103+51+445+113+446+267+708+24+297+287+594+297+356</f>
        <v>187813</v>
      </c>
      <c r="N28" s="429">
        <f>+L28/M28</f>
        <v>8.46077481324509</v>
      </c>
      <c r="O28" s="99">
        <v>18</v>
      </c>
    </row>
    <row r="29" spans="1:15" s="90" customFormat="1" ht="12" customHeight="1">
      <c r="A29" s="91">
        <v>19</v>
      </c>
      <c r="B29" s="609" t="s">
        <v>136</v>
      </c>
      <c r="C29" s="185">
        <v>40459</v>
      </c>
      <c r="D29" s="580" t="s">
        <v>31</v>
      </c>
      <c r="E29" s="585">
        <v>142</v>
      </c>
      <c r="F29" s="585">
        <v>1</v>
      </c>
      <c r="G29" s="585">
        <v>22</v>
      </c>
      <c r="H29" s="509">
        <v>1188</v>
      </c>
      <c r="I29" s="523">
        <v>297</v>
      </c>
      <c r="J29" s="245">
        <f>I29/F29</f>
        <v>297</v>
      </c>
      <c r="K29" s="318">
        <f>H29/I29</f>
        <v>4</v>
      </c>
      <c r="L29" s="26">
        <f>569713+434829.5+295345.5+223420+26108+12415.5+5998+1904+1368+799+648+306+1782+594+1782+1425.5+3089+151+1188+1188+2376+1188</f>
        <v>1587618</v>
      </c>
      <c r="M29" s="27">
        <f>61050+47827+36467+29781+4601+2405+1000+284+287+123+103+51+445+113+446+267+708+24+297+287+594+297</f>
        <v>187457</v>
      </c>
      <c r="N29" s="429">
        <f>+L29/M29</f>
        <v>8.469238278645236</v>
      </c>
      <c r="O29" s="99">
        <v>19</v>
      </c>
    </row>
    <row r="30" spans="1:15" s="90" customFormat="1" ht="12" customHeight="1">
      <c r="A30" s="91">
        <v>20</v>
      </c>
      <c r="B30" s="180" t="s">
        <v>136</v>
      </c>
      <c r="C30" s="32">
        <v>40459</v>
      </c>
      <c r="D30" s="30" t="s">
        <v>31</v>
      </c>
      <c r="E30" s="33">
        <v>142</v>
      </c>
      <c r="F30" s="33">
        <v>1</v>
      </c>
      <c r="G30" s="33">
        <v>19</v>
      </c>
      <c r="H30" s="339">
        <v>1188</v>
      </c>
      <c r="I30" s="340">
        <v>297</v>
      </c>
      <c r="J30" s="108">
        <f>(I30/F30)</f>
        <v>297</v>
      </c>
      <c r="K30" s="174">
        <f>H30/I30</f>
        <v>4</v>
      </c>
      <c r="L30" s="12">
        <f>569713+434829.5+295345.5+223420+26108+12415.5+5998+1904+1368+799+648+306+1782+594+1782+1425.5+3089+151+188</f>
        <v>1581866</v>
      </c>
      <c r="M30" s="13">
        <f>61050+47827+36467+29781+4601+2405+1000+284+287+123+103+51+445+113+446+267+708+24+297</f>
        <v>186279</v>
      </c>
      <c r="N30" s="176">
        <f>L30/M30</f>
        <v>8.49191803692311</v>
      </c>
      <c r="O30" s="99">
        <v>20</v>
      </c>
    </row>
    <row r="31" spans="1:15" s="90" customFormat="1" ht="12" customHeight="1">
      <c r="A31" s="91">
        <v>21</v>
      </c>
      <c r="B31" s="609" t="s">
        <v>136</v>
      </c>
      <c r="C31" s="725">
        <v>40459</v>
      </c>
      <c r="D31" s="580" t="s">
        <v>31</v>
      </c>
      <c r="E31" s="860">
        <v>142</v>
      </c>
      <c r="F31" s="585">
        <v>1</v>
      </c>
      <c r="G31" s="860">
        <v>24</v>
      </c>
      <c r="H31" s="509">
        <v>1188</v>
      </c>
      <c r="I31" s="511">
        <v>297</v>
      </c>
      <c r="J31" s="245">
        <f>I31/F31</f>
        <v>297</v>
      </c>
      <c r="K31" s="317">
        <f>H31/I31</f>
        <v>4</v>
      </c>
      <c r="L31" s="26">
        <f>569713+434829.5+295345.5+223420+26108+12415.5+5998+1904+1368+799+648+306+1782+594+1782+1425.5+3089+151+1188+1188+2376+1188+1425.5+1188</f>
        <v>1590231.5</v>
      </c>
      <c r="M31" s="392">
        <f>61050+47827+36467+29781+4601+2405+1000+284+287+123+103+51+445+113+446+267+708+24+297+287+594+297+356+297</f>
        <v>188110</v>
      </c>
      <c r="N31" s="329">
        <f>+L31/M31</f>
        <v>8.45373185901866</v>
      </c>
      <c r="O31" s="99">
        <v>21</v>
      </c>
    </row>
    <row r="32" spans="1:15" s="90" customFormat="1" ht="12" customHeight="1">
      <c r="A32" s="91">
        <v>22</v>
      </c>
      <c r="B32" s="466" t="s">
        <v>136</v>
      </c>
      <c r="C32" s="185">
        <v>40459</v>
      </c>
      <c r="D32" s="114" t="s">
        <v>31</v>
      </c>
      <c r="E32" s="186">
        <v>142</v>
      </c>
      <c r="F32" s="186">
        <v>1</v>
      </c>
      <c r="G32" s="186">
        <v>20</v>
      </c>
      <c r="H32" s="339">
        <v>1188</v>
      </c>
      <c r="I32" s="340">
        <v>287</v>
      </c>
      <c r="J32" s="97">
        <f>I32/F32</f>
        <v>287</v>
      </c>
      <c r="K32" s="96">
        <f>H32/I32</f>
        <v>4.139372822299651</v>
      </c>
      <c r="L32" s="12">
        <f>569713+434829.5+295345.5+223420+26108+12415.5+5998+1904+1368+799+648+306+1782+594+1782+1425.5+3089+151+1188+1188</f>
        <v>1584054</v>
      </c>
      <c r="M32" s="13">
        <f>61050+47827+36467+29781+4601+2405+1000+284+287+123+103+51+445+113+446+267+708+24+297+287</f>
        <v>186566</v>
      </c>
      <c r="N32" s="122">
        <f>+L32/M32</f>
        <v>8.490582421234308</v>
      </c>
      <c r="O32" s="99">
        <v>22</v>
      </c>
    </row>
    <row r="33" spans="1:15" s="90" customFormat="1" ht="12" customHeight="1">
      <c r="A33" s="91">
        <v>23</v>
      </c>
      <c r="B33" s="716" t="s">
        <v>136</v>
      </c>
      <c r="C33" s="671">
        <v>40459</v>
      </c>
      <c r="D33" s="580" t="s">
        <v>31</v>
      </c>
      <c r="E33" s="540">
        <v>142</v>
      </c>
      <c r="F33" s="31">
        <v>1</v>
      </c>
      <c r="G33" s="540">
        <v>26</v>
      </c>
      <c r="H33" s="509">
        <v>77</v>
      </c>
      <c r="I33" s="501">
        <v>13</v>
      </c>
      <c r="J33" s="245">
        <f>I33/F33</f>
        <v>13</v>
      </c>
      <c r="K33" s="317">
        <f>H33/I33</f>
        <v>5.923076923076923</v>
      </c>
      <c r="L33" s="26">
        <f>569713+434829.5+295345.5+223420+26108+12415.5+5998+1904+1368+799+648+306+1782+594+1782+1425.5+3089+151+1188+1188+2376+1188+1425.5+1188+3207.5+77</f>
        <v>1593516</v>
      </c>
      <c r="M33" s="9">
        <f>61050+47827+36467+29781+4601+2405+1000+284+287+123+103+51+445+113+446+267+708+24+297+287+594+297+356+297+801+13</f>
        <v>188924</v>
      </c>
      <c r="N33" s="329">
        <f>+L33/M33</f>
        <v>8.434693315830705</v>
      </c>
      <c r="O33" s="99">
        <v>23</v>
      </c>
    </row>
    <row r="34" spans="1:15" s="90" customFormat="1" ht="12" customHeight="1">
      <c r="A34" s="91">
        <v>24</v>
      </c>
      <c r="B34" s="180" t="s">
        <v>143</v>
      </c>
      <c r="C34" s="32">
        <v>40459</v>
      </c>
      <c r="D34" s="30" t="s">
        <v>31</v>
      </c>
      <c r="E34" s="33">
        <v>142</v>
      </c>
      <c r="F34" s="33">
        <v>2</v>
      </c>
      <c r="G34" s="33">
        <v>17</v>
      </c>
      <c r="H34" s="339">
        <v>3207.5</v>
      </c>
      <c r="I34" s="340">
        <v>725</v>
      </c>
      <c r="J34" s="108">
        <f>(I34/F34)</f>
        <v>362.5</v>
      </c>
      <c r="K34" s="174">
        <f>H34/I34</f>
        <v>4.424137931034482</v>
      </c>
      <c r="L34" s="12">
        <f>569713+434829.5+295345.5+223420+26108+12415.5+5998+1904+1368+799+648+306+1782+594+1782+1425.5+3207.5</f>
        <v>1581645.5</v>
      </c>
      <c r="M34" s="13">
        <f>61050+47827+36467+29781+4601+2405+1000+284+287+123+103+51+445+113+446+267+725</f>
        <v>185975</v>
      </c>
      <c r="N34" s="176">
        <f>L34/M34</f>
        <v>8.504613523323027</v>
      </c>
      <c r="O34" s="99">
        <v>24</v>
      </c>
    </row>
    <row r="35" spans="1:15" s="90" customFormat="1" ht="12" customHeight="1">
      <c r="A35" s="91">
        <v>25</v>
      </c>
      <c r="B35" s="180" t="s">
        <v>143</v>
      </c>
      <c r="C35" s="32">
        <v>40459</v>
      </c>
      <c r="D35" s="178" t="s">
        <v>31</v>
      </c>
      <c r="E35" s="208">
        <v>142</v>
      </c>
      <c r="F35" s="33">
        <v>1</v>
      </c>
      <c r="G35" s="208">
        <v>15</v>
      </c>
      <c r="H35" s="339">
        <v>1782</v>
      </c>
      <c r="I35" s="501">
        <v>446</v>
      </c>
      <c r="J35" s="108">
        <f>(I35/F35)</f>
        <v>446</v>
      </c>
      <c r="K35" s="197">
        <f>H35/I35</f>
        <v>3.995515695067265</v>
      </c>
      <c r="L35" s="12">
        <f>569713+434829.5+295345.5+223420+26108+12415.5+5998+1904+1368+799+648+306+1782+594+1782</f>
        <v>1577012.5</v>
      </c>
      <c r="M35" s="9">
        <f>61050+47827+36467+29781+4601+2405+1000+284+287+123+103+51+445+113+446</f>
        <v>184983</v>
      </c>
      <c r="N35" s="176">
        <f>L35/M35</f>
        <v>8.525175286377667</v>
      </c>
      <c r="O35" s="99">
        <v>25</v>
      </c>
    </row>
    <row r="36" spans="1:15" s="90" customFormat="1" ht="12" customHeight="1">
      <c r="A36" s="91">
        <v>26</v>
      </c>
      <c r="B36" s="177" t="s">
        <v>143</v>
      </c>
      <c r="C36" s="32">
        <v>40459</v>
      </c>
      <c r="D36" s="178" t="s">
        <v>31</v>
      </c>
      <c r="E36" s="33">
        <v>142</v>
      </c>
      <c r="F36" s="33">
        <v>1</v>
      </c>
      <c r="G36" s="33">
        <v>13</v>
      </c>
      <c r="H36" s="509">
        <v>1782</v>
      </c>
      <c r="I36" s="340">
        <v>445</v>
      </c>
      <c r="J36" s="108">
        <f>(I36/F36)</f>
        <v>445</v>
      </c>
      <c r="K36" s="179">
        <f>H36/I36</f>
        <v>4.004494382022472</v>
      </c>
      <c r="L36" s="26">
        <f>569713+434829.5+295345.5+223420+26108+12415.5+5998+1904+1368+799+648+306+1782</f>
        <v>1574636.5</v>
      </c>
      <c r="M36" s="13">
        <f>61050+47827+36467+29781+4601+2405+1000+284+287+123+103+51+445</f>
        <v>184424</v>
      </c>
      <c r="N36" s="176">
        <f>L36/M36</f>
        <v>8.538132238754175</v>
      </c>
      <c r="O36" s="99">
        <v>26</v>
      </c>
    </row>
    <row r="37" spans="1:15" s="90" customFormat="1" ht="12" customHeight="1">
      <c r="A37" s="91">
        <v>27</v>
      </c>
      <c r="B37" s="192" t="s">
        <v>143</v>
      </c>
      <c r="C37" s="32">
        <v>40459</v>
      </c>
      <c r="D37" s="178" t="s">
        <v>31</v>
      </c>
      <c r="E37" s="196">
        <v>142</v>
      </c>
      <c r="F37" s="181">
        <v>1</v>
      </c>
      <c r="G37" s="196">
        <v>16</v>
      </c>
      <c r="H37" s="339">
        <v>1425.5</v>
      </c>
      <c r="I37" s="501">
        <v>267</v>
      </c>
      <c r="J37" s="108">
        <f>(I37/F37)</f>
        <v>267</v>
      </c>
      <c r="K37" s="197">
        <f>H37/I37</f>
        <v>5.3389513108614235</v>
      </c>
      <c r="L37" s="12">
        <f>569713+434829.5+295345.5+223420+26108+12415.5+5998+1904+1368+799+648+306+1782+594+1782+1425.5</f>
        <v>1578438</v>
      </c>
      <c r="M37" s="9">
        <f>61050+47827+36467+29781+4601+2405+1000+284+287+123+103+51+445+113+446+267</f>
        <v>185250</v>
      </c>
      <c r="N37" s="176">
        <f>L37/M37</f>
        <v>8.520582995951417</v>
      </c>
      <c r="O37" s="99">
        <v>27</v>
      </c>
    </row>
    <row r="38" spans="1:15" s="90" customFormat="1" ht="12" customHeight="1">
      <c r="A38" s="91">
        <v>28</v>
      </c>
      <c r="B38" s="184" t="s">
        <v>143</v>
      </c>
      <c r="C38" s="185">
        <v>40459</v>
      </c>
      <c r="D38" s="178" t="s">
        <v>31</v>
      </c>
      <c r="E38" s="199">
        <v>142</v>
      </c>
      <c r="F38" s="186">
        <v>1</v>
      </c>
      <c r="G38" s="199">
        <v>14</v>
      </c>
      <c r="H38" s="506">
        <v>594</v>
      </c>
      <c r="I38" s="505">
        <v>113</v>
      </c>
      <c r="J38" s="187">
        <f>(I38/F38)</f>
        <v>113</v>
      </c>
      <c r="K38" s="435">
        <f>H38/I38</f>
        <v>5.256637168141593</v>
      </c>
      <c r="L38" s="189">
        <f>569713+434829.5+295345.5+223420+26108+12415.5+5998+1904+1368+799+648+306+1782+594</f>
        <v>1575230.5</v>
      </c>
      <c r="M38" s="388">
        <f>61050+47827+36467+29781+4601+2405+1000+284+287+123+103+51+445+113</f>
        <v>184537</v>
      </c>
      <c r="N38" s="191">
        <f>L38/M38</f>
        <v>8.53612283715461</v>
      </c>
      <c r="O38" s="99">
        <v>28</v>
      </c>
    </row>
    <row r="39" spans="1:15" s="90" customFormat="1" ht="12" customHeight="1">
      <c r="A39" s="91">
        <v>29</v>
      </c>
      <c r="B39" s="180" t="s">
        <v>143</v>
      </c>
      <c r="C39" s="32">
        <v>40459</v>
      </c>
      <c r="D39" s="30" t="s">
        <v>31</v>
      </c>
      <c r="E39" s="33">
        <v>142</v>
      </c>
      <c r="F39" s="33">
        <v>1</v>
      </c>
      <c r="G39" s="33">
        <v>18</v>
      </c>
      <c r="H39" s="339">
        <v>151</v>
      </c>
      <c r="I39" s="340">
        <v>24</v>
      </c>
      <c r="J39" s="108">
        <f>(I39/F39)</f>
        <v>24</v>
      </c>
      <c r="K39" s="174">
        <f>H39/I39</f>
        <v>6.291666666666667</v>
      </c>
      <c r="L39" s="12">
        <f>569713+434829.5+295345.5+223420+26108+12415.5+5998+1904+1368+799+648+306+1782+594+1782+1425.5+3089+151</f>
        <v>1581678</v>
      </c>
      <c r="M39" s="13">
        <f>61050+47827+36467+29781+4601+2405+1000+284+287+123+103+51+445+113+446+267+708+24</f>
        <v>185982</v>
      </c>
      <c r="N39" s="176">
        <f>L39/M39</f>
        <v>8.504468174339452</v>
      </c>
      <c r="O39" s="99">
        <v>29</v>
      </c>
    </row>
    <row r="40" spans="1:15" s="90" customFormat="1" ht="12" customHeight="1">
      <c r="A40" s="91">
        <v>30</v>
      </c>
      <c r="B40" s="603" t="s">
        <v>137</v>
      </c>
      <c r="C40" s="658">
        <v>40515</v>
      </c>
      <c r="D40" s="580" t="s">
        <v>10</v>
      </c>
      <c r="E40" s="588">
        <v>337</v>
      </c>
      <c r="F40" s="22">
        <v>1</v>
      </c>
      <c r="G40" s="22">
        <v>29</v>
      </c>
      <c r="H40" s="513">
        <v>11900</v>
      </c>
      <c r="I40" s="514">
        <v>2975</v>
      </c>
      <c r="J40" s="245">
        <f>I40/F40</f>
        <v>2975</v>
      </c>
      <c r="K40" s="318">
        <f>H40/I40</f>
        <v>4</v>
      </c>
      <c r="L40" s="204">
        <v>19710889</v>
      </c>
      <c r="M40" s="320">
        <v>2113809</v>
      </c>
      <c r="N40" s="329">
        <f>+L40/M40</f>
        <v>9.324820265217907</v>
      </c>
      <c r="O40" s="99">
        <v>30</v>
      </c>
    </row>
    <row r="41" spans="1:15" s="90" customFormat="1" ht="12" customHeight="1">
      <c r="A41" s="91">
        <v>31</v>
      </c>
      <c r="B41" s="603" t="s">
        <v>137</v>
      </c>
      <c r="C41" s="658">
        <v>40515</v>
      </c>
      <c r="D41" s="580" t="s">
        <v>10</v>
      </c>
      <c r="E41" s="119">
        <v>337</v>
      </c>
      <c r="F41" s="3">
        <v>3</v>
      </c>
      <c r="G41" s="3">
        <v>30</v>
      </c>
      <c r="H41" s="378">
        <v>7140</v>
      </c>
      <c r="I41" s="379">
        <v>1785</v>
      </c>
      <c r="J41" s="97">
        <f>I41/F41</f>
        <v>595</v>
      </c>
      <c r="K41" s="96">
        <f>H41/I41</f>
        <v>4</v>
      </c>
      <c r="L41" s="44">
        <v>19718029</v>
      </c>
      <c r="M41" s="46">
        <v>2115594</v>
      </c>
      <c r="N41" s="122">
        <f>+L41/M41</f>
        <v>9.320327529762327</v>
      </c>
      <c r="O41" s="99">
        <v>31</v>
      </c>
    </row>
    <row r="42" spans="1:15" s="90" customFormat="1" ht="12" customHeight="1">
      <c r="A42" s="91">
        <v>32</v>
      </c>
      <c r="B42" s="262" t="s">
        <v>137</v>
      </c>
      <c r="C42" s="32">
        <v>40515</v>
      </c>
      <c r="D42" s="114" t="s">
        <v>10</v>
      </c>
      <c r="E42" s="33">
        <v>337</v>
      </c>
      <c r="F42" s="3">
        <v>1</v>
      </c>
      <c r="G42" s="3">
        <v>32</v>
      </c>
      <c r="H42" s="378">
        <v>2380</v>
      </c>
      <c r="I42" s="379">
        <v>595</v>
      </c>
      <c r="J42" s="97">
        <f>I42/F42</f>
        <v>595</v>
      </c>
      <c r="K42" s="96">
        <f>H42/I42</f>
        <v>4</v>
      </c>
      <c r="L42" s="44">
        <v>19720427</v>
      </c>
      <c r="M42" s="46">
        <v>2116192</v>
      </c>
      <c r="N42" s="122">
        <f>+L42/M42</f>
        <v>9.318826930637673</v>
      </c>
      <c r="O42" s="99">
        <v>32</v>
      </c>
    </row>
    <row r="43" spans="1:15" s="90" customFormat="1" ht="12" customHeight="1">
      <c r="A43" s="91">
        <v>33</v>
      </c>
      <c r="B43" s="262" t="s">
        <v>137</v>
      </c>
      <c r="C43" s="32">
        <v>40515</v>
      </c>
      <c r="D43" s="114" t="s">
        <v>10</v>
      </c>
      <c r="E43" s="33">
        <v>337</v>
      </c>
      <c r="F43" s="3">
        <v>1</v>
      </c>
      <c r="G43" s="3">
        <v>31</v>
      </c>
      <c r="H43" s="378">
        <v>18</v>
      </c>
      <c r="I43" s="379">
        <v>3</v>
      </c>
      <c r="J43" s="97">
        <f>I43/F43</f>
        <v>3</v>
      </c>
      <c r="K43" s="96">
        <f>H43/I43</f>
        <v>6</v>
      </c>
      <c r="L43" s="44">
        <v>19718047</v>
      </c>
      <c r="M43" s="46">
        <v>2115597</v>
      </c>
      <c r="N43" s="122">
        <f>+L43/M43</f>
        <v>9.320322821406913</v>
      </c>
      <c r="O43" s="99">
        <v>33</v>
      </c>
    </row>
    <row r="44" spans="1:15" s="90" customFormat="1" ht="12" customHeight="1">
      <c r="A44" s="91">
        <v>34</v>
      </c>
      <c r="B44" s="200" t="s">
        <v>144</v>
      </c>
      <c r="C44" s="2">
        <v>40515</v>
      </c>
      <c r="D44" s="22" t="s">
        <v>10</v>
      </c>
      <c r="E44" s="3">
        <v>337</v>
      </c>
      <c r="F44" s="3">
        <v>349</v>
      </c>
      <c r="G44" s="3">
        <v>5</v>
      </c>
      <c r="H44" s="513">
        <v>1719523</v>
      </c>
      <c r="I44" s="379">
        <v>182375</v>
      </c>
      <c r="J44" s="105">
        <f>I44/F44</f>
        <v>522.5644699140402</v>
      </c>
      <c r="K44" s="203">
        <f>H44/I44</f>
        <v>9.4285017135024</v>
      </c>
      <c r="L44" s="204">
        <v>18655018</v>
      </c>
      <c r="M44" s="46">
        <v>1982618</v>
      </c>
      <c r="N44" s="201">
        <f>+L44/M44</f>
        <v>9.409285096776081</v>
      </c>
      <c r="O44" s="99">
        <v>34</v>
      </c>
    </row>
    <row r="45" spans="1:15" s="90" customFormat="1" ht="12" customHeight="1">
      <c r="A45" s="91">
        <v>35</v>
      </c>
      <c r="B45" s="200" t="s">
        <v>144</v>
      </c>
      <c r="C45" s="2">
        <v>40515</v>
      </c>
      <c r="D45" s="22" t="s">
        <v>10</v>
      </c>
      <c r="E45" s="3">
        <v>337</v>
      </c>
      <c r="F45" s="3">
        <v>292</v>
      </c>
      <c r="G45" s="3">
        <v>6</v>
      </c>
      <c r="H45" s="378">
        <v>638062</v>
      </c>
      <c r="I45" s="379">
        <v>72167</v>
      </c>
      <c r="J45" s="105">
        <f>I45/F45</f>
        <v>247.1472602739726</v>
      </c>
      <c r="K45" s="183">
        <f>H45/I45</f>
        <v>8.841464935496834</v>
      </c>
      <c r="L45" s="44">
        <v>19293080</v>
      </c>
      <c r="M45" s="46">
        <v>2054938</v>
      </c>
      <c r="N45" s="201">
        <f>+L45/M45</f>
        <v>9.388643355663286</v>
      </c>
      <c r="O45" s="99">
        <v>35</v>
      </c>
    </row>
    <row r="46" spans="1:15" s="90" customFormat="1" ht="12" customHeight="1">
      <c r="A46" s="91">
        <v>36</v>
      </c>
      <c r="B46" s="200" t="s">
        <v>144</v>
      </c>
      <c r="C46" s="2">
        <v>40515</v>
      </c>
      <c r="D46" s="20" t="s">
        <v>10</v>
      </c>
      <c r="E46" s="5">
        <v>337</v>
      </c>
      <c r="F46" s="5">
        <v>128</v>
      </c>
      <c r="G46" s="5">
        <v>7</v>
      </c>
      <c r="H46" s="378">
        <v>271404</v>
      </c>
      <c r="I46" s="379">
        <v>30669</v>
      </c>
      <c r="J46" s="105">
        <f>I46/F46</f>
        <v>239.6015625</v>
      </c>
      <c r="K46" s="183">
        <f>H46/I46</f>
        <v>8.849457106524504</v>
      </c>
      <c r="L46" s="44">
        <v>19564484</v>
      </c>
      <c r="M46" s="46">
        <v>2085607</v>
      </c>
      <c r="N46" s="201">
        <f>+L46/M46</f>
        <v>9.380714583332335</v>
      </c>
      <c r="O46" s="99">
        <v>36</v>
      </c>
    </row>
    <row r="47" spans="1:15" s="90" customFormat="1" ht="12" customHeight="1">
      <c r="A47" s="91">
        <v>37</v>
      </c>
      <c r="B47" s="200" t="s">
        <v>144</v>
      </c>
      <c r="C47" s="2">
        <v>40515</v>
      </c>
      <c r="D47" s="19" t="s">
        <v>10</v>
      </c>
      <c r="E47" s="3">
        <v>337</v>
      </c>
      <c r="F47" s="3">
        <v>32</v>
      </c>
      <c r="G47" s="3">
        <v>8</v>
      </c>
      <c r="H47" s="378">
        <v>59187</v>
      </c>
      <c r="I47" s="379">
        <v>7792</v>
      </c>
      <c r="J47" s="105">
        <f>I47/F47</f>
        <v>243.5</v>
      </c>
      <c r="K47" s="183">
        <f>H47/I47</f>
        <v>7.595867556468172</v>
      </c>
      <c r="L47" s="44">
        <v>19623671</v>
      </c>
      <c r="M47" s="46">
        <v>2093399</v>
      </c>
      <c r="N47" s="201">
        <f>+L47/M47</f>
        <v>9.374071068152798</v>
      </c>
      <c r="O47" s="99">
        <v>37</v>
      </c>
    </row>
    <row r="48" spans="1:15" s="90" customFormat="1" ht="12" customHeight="1">
      <c r="A48" s="91">
        <v>38</v>
      </c>
      <c r="B48" s="200" t="s">
        <v>144</v>
      </c>
      <c r="C48" s="2">
        <v>40515</v>
      </c>
      <c r="D48" s="19" t="s">
        <v>10</v>
      </c>
      <c r="E48" s="3">
        <v>337</v>
      </c>
      <c r="F48" s="3">
        <v>2</v>
      </c>
      <c r="G48" s="3">
        <v>18</v>
      </c>
      <c r="H48" s="378">
        <v>9524</v>
      </c>
      <c r="I48" s="379">
        <v>2381</v>
      </c>
      <c r="J48" s="105">
        <f>I48/F48</f>
        <v>1190.5</v>
      </c>
      <c r="K48" s="183">
        <f>H48/I48</f>
        <v>4</v>
      </c>
      <c r="L48" s="44">
        <v>19662096</v>
      </c>
      <c r="M48" s="46">
        <v>2102025</v>
      </c>
      <c r="N48" s="201">
        <f>+L48/M48</f>
        <v>9.353883041352981</v>
      </c>
      <c r="O48" s="99">
        <v>38</v>
      </c>
    </row>
    <row r="49" spans="1:15" s="90" customFormat="1" ht="12" customHeight="1">
      <c r="A49" s="91">
        <v>39</v>
      </c>
      <c r="B49" s="200" t="s">
        <v>144</v>
      </c>
      <c r="C49" s="2">
        <v>40515</v>
      </c>
      <c r="D49" s="20" t="s">
        <v>10</v>
      </c>
      <c r="E49" s="5">
        <v>337</v>
      </c>
      <c r="F49" s="5">
        <v>3</v>
      </c>
      <c r="G49" s="5">
        <v>12</v>
      </c>
      <c r="H49" s="378">
        <v>7416</v>
      </c>
      <c r="I49" s="379">
        <v>1461</v>
      </c>
      <c r="J49" s="105">
        <f>I49/F49</f>
        <v>487</v>
      </c>
      <c r="K49" s="183">
        <f>H49/I49</f>
        <v>5.075975359342916</v>
      </c>
      <c r="L49" s="44">
        <v>19636508</v>
      </c>
      <c r="M49" s="46">
        <v>2095488</v>
      </c>
      <c r="N49" s="201">
        <f>+L49/M49</f>
        <v>9.370852040193025</v>
      </c>
      <c r="O49" s="99">
        <v>39</v>
      </c>
    </row>
    <row r="50" spans="1:15" s="90" customFormat="1" ht="12" customHeight="1">
      <c r="A50" s="91">
        <v>40</v>
      </c>
      <c r="B50" s="200" t="s">
        <v>144</v>
      </c>
      <c r="C50" s="2">
        <v>40515</v>
      </c>
      <c r="D50" s="19" t="s">
        <v>10</v>
      </c>
      <c r="E50" s="3">
        <v>337</v>
      </c>
      <c r="F50" s="3">
        <v>2</v>
      </c>
      <c r="G50" s="3">
        <v>17</v>
      </c>
      <c r="H50" s="378">
        <v>7143</v>
      </c>
      <c r="I50" s="379">
        <v>1422</v>
      </c>
      <c r="J50" s="105">
        <f>I50/F50</f>
        <v>711</v>
      </c>
      <c r="K50" s="183">
        <f>H50/I50</f>
        <v>5.023206751054852</v>
      </c>
      <c r="L50" s="44">
        <v>19652572</v>
      </c>
      <c r="M50" s="46">
        <v>2099644</v>
      </c>
      <c r="N50" s="201">
        <f>+L50/M50</f>
        <v>9.359954354166707</v>
      </c>
      <c r="O50" s="99">
        <v>40</v>
      </c>
    </row>
    <row r="51" spans="1:15" s="90" customFormat="1" ht="12" customHeight="1">
      <c r="A51" s="91">
        <v>41</v>
      </c>
      <c r="B51" s="200" t="s">
        <v>144</v>
      </c>
      <c r="C51" s="113">
        <v>40515</v>
      </c>
      <c r="D51" s="580" t="s">
        <v>10</v>
      </c>
      <c r="E51" s="119">
        <v>337</v>
      </c>
      <c r="F51" s="3">
        <v>1</v>
      </c>
      <c r="G51" s="3">
        <v>26</v>
      </c>
      <c r="H51" s="378">
        <v>5950</v>
      </c>
      <c r="I51" s="379">
        <v>1428</v>
      </c>
      <c r="J51" s="97">
        <f>I51/F51</f>
        <v>1428</v>
      </c>
      <c r="K51" s="96">
        <f>H51/I51</f>
        <v>4.166666666666667</v>
      </c>
      <c r="L51" s="44">
        <v>19688277</v>
      </c>
      <c r="M51" s="46">
        <v>2108156</v>
      </c>
      <c r="N51" s="122">
        <f>+L51/M51</f>
        <v>9.339098719449604</v>
      </c>
      <c r="O51" s="99">
        <v>41</v>
      </c>
    </row>
    <row r="52" spans="1:15" s="90" customFormat="1" ht="12" customHeight="1">
      <c r="A52" s="91">
        <v>42</v>
      </c>
      <c r="B52" s="200" t="s">
        <v>144</v>
      </c>
      <c r="C52" s="2">
        <v>40515</v>
      </c>
      <c r="D52" s="114" t="s">
        <v>10</v>
      </c>
      <c r="E52" s="115">
        <v>337</v>
      </c>
      <c r="F52" s="115">
        <v>1</v>
      </c>
      <c r="G52" s="115">
        <v>21</v>
      </c>
      <c r="H52" s="513">
        <v>4760</v>
      </c>
      <c r="I52" s="514">
        <v>1190</v>
      </c>
      <c r="J52" s="280">
        <f>I52/F52</f>
        <v>1190</v>
      </c>
      <c r="K52" s="317">
        <f>H52/I52</f>
        <v>4</v>
      </c>
      <c r="L52" s="204">
        <v>19673996</v>
      </c>
      <c r="M52" s="320">
        <v>2105000</v>
      </c>
      <c r="N52" s="630">
        <f>+L52/M52</f>
        <v>9.346316389548694</v>
      </c>
      <c r="O52" s="99">
        <v>42</v>
      </c>
    </row>
    <row r="53" spans="1:15" s="90" customFormat="1" ht="12" customHeight="1">
      <c r="A53" s="91">
        <v>43</v>
      </c>
      <c r="B53" s="200" t="s">
        <v>144</v>
      </c>
      <c r="C53" s="2">
        <v>40515</v>
      </c>
      <c r="D53" s="19" t="s">
        <v>10</v>
      </c>
      <c r="E53" s="3">
        <v>337</v>
      </c>
      <c r="F53" s="3">
        <v>2</v>
      </c>
      <c r="G53" s="3">
        <v>20</v>
      </c>
      <c r="H53" s="378">
        <v>4760</v>
      </c>
      <c r="I53" s="379">
        <v>1190</v>
      </c>
      <c r="J53" s="105">
        <f>I53/F53</f>
        <v>595</v>
      </c>
      <c r="K53" s="183">
        <f>H53/I53</f>
        <v>4</v>
      </c>
      <c r="L53" s="44">
        <v>19669236</v>
      </c>
      <c r="M53" s="46">
        <v>2103810</v>
      </c>
      <c r="N53" s="201">
        <f>+L53/M53</f>
        <v>9.349340482267886</v>
      </c>
      <c r="O53" s="99">
        <v>43</v>
      </c>
    </row>
    <row r="54" spans="1:15" s="90" customFormat="1" ht="12" customHeight="1">
      <c r="A54" s="91">
        <v>44</v>
      </c>
      <c r="B54" s="200" t="s">
        <v>144</v>
      </c>
      <c r="C54" s="658">
        <v>40515</v>
      </c>
      <c r="D54" s="580" t="s">
        <v>10</v>
      </c>
      <c r="E54" s="588">
        <v>337</v>
      </c>
      <c r="F54" s="22">
        <v>1</v>
      </c>
      <c r="G54" s="22">
        <v>28</v>
      </c>
      <c r="H54" s="513">
        <v>4760</v>
      </c>
      <c r="I54" s="514">
        <v>1190</v>
      </c>
      <c r="J54" s="245">
        <f>I54/F54</f>
        <v>1190</v>
      </c>
      <c r="K54" s="318">
        <f>H54/I54</f>
        <v>4</v>
      </c>
      <c r="L54" s="204">
        <f>19694229+4760</f>
        <v>19698989</v>
      </c>
      <c r="M54" s="320">
        <f>2109644+1190</f>
        <v>2110834</v>
      </c>
      <c r="N54" s="329">
        <f>+L54/M54</f>
        <v>9.332325043087234</v>
      </c>
      <c r="O54" s="99">
        <v>44</v>
      </c>
    </row>
    <row r="55" spans="1:15" s="90" customFormat="1" ht="12" customHeight="1">
      <c r="A55" s="91">
        <v>45</v>
      </c>
      <c r="B55" s="200" t="s">
        <v>144</v>
      </c>
      <c r="C55" s="2">
        <v>40515</v>
      </c>
      <c r="D55" s="19" t="s">
        <v>10</v>
      </c>
      <c r="E55" s="3">
        <v>337</v>
      </c>
      <c r="F55" s="3">
        <v>6</v>
      </c>
      <c r="G55" s="3">
        <v>9</v>
      </c>
      <c r="H55" s="378">
        <v>3519</v>
      </c>
      <c r="I55" s="379">
        <v>429</v>
      </c>
      <c r="J55" s="105">
        <f>I55/F55</f>
        <v>71.5</v>
      </c>
      <c r="K55" s="183">
        <f>H55/I55</f>
        <v>8.202797202797203</v>
      </c>
      <c r="L55" s="44">
        <v>19627190</v>
      </c>
      <c r="M55" s="46">
        <v>2093828</v>
      </c>
      <c r="N55" s="201">
        <f>+L55/M55</f>
        <v>9.373831088322442</v>
      </c>
      <c r="O55" s="99">
        <v>45</v>
      </c>
    </row>
    <row r="56" spans="1:15" s="90" customFormat="1" ht="12" customHeight="1">
      <c r="A56" s="91">
        <v>46</v>
      </c>
      <c r="B56" s="200" t="s">
        <v>144</v>
      </c>
      <c r="C56" s="113">
        <v>40515</v>
      </c>
      <c r="D56" s="114" t="s">
        <v>10</v>
      </c>
      <c r="E56" s="3">
        <v>337</v>
      </c>
      <c r="F56" s="3">
        <v>1</v>
      </c>
      <c r="G56" s="3">
        <v>24</v>
      </c>
      <c r="H56" s="378">
        <v>2381</v>
      </c>
      <c r="I56" s="379">
        <v>300</v>
      </c>
      <c r="J56" s="97">
        <f>I56/F56</f>
        <v>300</v>
      </c>
      <c r="K56" s="96">
        <f>H56/I56</f>
        <v>7.9366666666666665</v>
      </c>
      <c r="L56" s="44">
        <v>19681137</v>
      </c>
      <c r="M56" s="46">
        <v>2106490</v>
      </c>
      <c r="N56" s="124">
        <f>L56/M56</f>
        <v>9.343095386163712</v>
      </c>
      <c r="O56" s="99">
        <v>46</v>
      </c>
    </row>
    <row r="57" spans="1:15" s="90" customFormat="1" ht="12" customHeight="1">
      <c r="A57" s="91">
        <v>47</v>
      </c>
      <c r="B57" s="200" t="s">
        <v>144</v>
      </c>
      <c r="C57" s="113">
        <v>40515</v>
      </c>
      <c r="D57" s="114" t="s">
        <v>10</v>
      </c>
      <c r="E57" s="3">
        <v>337</v>
      </c>
      <c r="F57" s="3">
        <v>1</v>
      </c>
      <c r="G57" s="3">
        <v>23</v>
      </c>
      <c r="H57" s="378">
        <v>2380</v>
      </c>
      <c r="I57" s="379">
        <v>595</v>
      </c>
      <c r="J57" s="97">
        <f>I57/F57</f>
        <v>595</v>
      </c>
      <c r="K57" s="96">
        <f>H57/I57</f>
        <v>4</v>
      </c>
      <c r="L57" s="44">
        <v>19678756</v>
      </c>
      <c r="M57" s="46">
        <v>2106190</v>
      </c>
      <c r="N57" s="124">
        <f>L57/M57</f>
        <v>9.343295714061885</v>
      </c>
      <c r="O57" s="99">
        <v>47</v>
      </c>
    </row>
    <row r="58" spans="1:15" s="90" customFormat="1" ht="12" customHeight="1">
      <c r="A58" s="91">
        <v>48</v>
      </c>
      <c r="B58" s="200" t="s">
        <v>144</v>
      </c>
      <c r="C58" s="377">
        <v>40515</v>
      </c>
      <c r="D58" s="114" t="s">
        <v>10</v>
      </c>
      <c r="E58" s="119">
        <v>337</v>
      </c>
      <c r="F58" s="3">
        <v>1</v>
      </c>
      <c r="G58" s="3">
        <v>22</v>
      </c>
      <c r="H58" s="378">
        <v>2380</v>
      </c>
      <c r="I58" s="379">
        <v>595</v>
      </c>
      <c r="J58" s="245">
        <f>I58/F58</f>
        <v>595</v>
      </c>
      <c r="K58" s="318">
        <f>H58/I58</f>
        <v>4</v>
      </c>
      <c r="L58" s="44">
        <v>19676376</v>
      </c>
      <c r="M58" s="46">
        <v>2105595</v>
      </c>
      <c r="N58" s="124">
        <f>L58/M58</f>
        <v>9.344805625013358</v>
      </c>
      <c r="O58" s="99">
        <v>48</v>
      </c>
    </row>
    <row r="59" spans="1:15" s="90" customFormat="1" ht="12" customHeight="1">
      <c r="A59" s="91">
        <v>49</v>
      </c>
      <c r="B59" s="200" t="s">
        <v>144</v>
      </c>
      <c r="C59" s="2">
        <v>40515</v>
      </c>
      <c r="D59" s="19" t="s">
        <v>10</v>
      </c>
      <c r="E59" s="3">
        <v>337</v>
      </c>
      <c r="F59" s="3">
        <v>1</v>
      </c>
      <c r="G59" s="3">
        <v>19</v>
      </c>
      <c r="H59" s="378">
        <v>2380</v>
      </c>
      <c r="I59" s="379">
        <v>595</v>
      </c>
      <c r="J59" s="105">
        <f>I59/F59</f>
        <v>595</v>
      </c>
      <c r="K59" s="203">
        <f>H59/I59</f>
        <v>4</v>
      </c>
      <c r="L59" s="44">
        <v>19664476</v>
      </c>
      <c r="M59" s="46">
        <v>2102620</v>
      </c>
      <c r="N59" s="201">
        <f>+L59/M59</f>
        <v>9.352367998021515</v>
      </c>
      <c r="O59" s="99">
        <v>49</v>
      </c>
    </row>
    <row r="60" spans="1:15" s="90" customFormat="1" ht="12" customHeight="1">
      <c r="A60" s="91">
        <v>50</v>
      </c>
      <c r="B60" s="480" t="s">
        <v>144</v>
      </c>
      <c r="C60" s="461">
        <v>40515</v>
      </c>
      <c r="D60" s="469" t="s">
        <v>10</v>
      </c>
      <c r="E60" s="6">
        <v>337</v>
      </c>
      <c r="F60" s="6">
        <v>1</v>
      </c>
      <c r="G60" s="6">
        <v>16</v>
      </c>
      <c r="H60" s="534">
        <v>2380</v>
      </c>
      <c r="I60" s="502">
        <v>476</v>
      </c>
      <c r="J60" s="463">
        <f>I60/F60</f>
        <v>476</v>
      </c>
      <c r="K60" s="482">
        <f>H60/I60</f>
        <v>5</v>
      </c>
      <c r="L60" s="464">
        <v>19645429</v>
      </c>
      <c r="M60" s="42">
        <v>2098222</v>
      </c>
      <c r="N60" s="275">
        <f>+L60/M60</f>
        <v>9.362893440255608</v>
      </c>
      <c r="O60" s="99">
        <v>50</v>
      </c>
    </row>
    <row r="61" spans="1:15" s="90" customFormat="1" ht="12" customHeight="1">
      <c r="A61" s="91">
        <v>51</v>
      </c>
      <c r="B61" s="480" t="s">
        <v>144</v>
      </c>
      <c r="C61" s="461">
        <v>40515</v>
      </c>
      <c r="D61" s="462" t="s">
        <v>10</v>
      </c>
      <c r="E61" s="4">
        <v>337</v>
      </c>
      <c r="F61" s="4">
        <v>1</v>
      </c>
      <c r="G61" s="4">
        <v>15</v>
      </c>
      <c r="H61" s="534">
        <v>2380</v>
      </c>
      <c r="I61" s="502">
        <v>476</v>
      </c>
      <c r="J61" s="463">
        <f>I61/F61</f>
        <v>476</v>
      </c>
      <c r="K61" s="207">
        <f>H61/I61</f>
        <v>5</v>
      </c>
      <c r="L61" s="464">
        <v>19643049</v>
      </c>
      <c r="M61" s="42">
        <v>2097746</v>
      </c>
      <c r="N61" s="275">
        <f>+L61/M61</f>
        <v>9.363883425352736</v>
      </c>
      <c r="O61" s="99">
        <v>51</v>
      </c>
    </row>
    <row r="62" spans="1:15" s="90" customFormat="1" ht="12" customHeight="1">
      <c r="A62" s="91">
        <v>52</v>
      </c>
      <c r="B62" s="200" t="s">
        <v>144</v>
      </c>
      <c r="C62" s="2">
        <v>40515</v>
      </c>
      <c r="D62" s="20" t="s">
        <v>10</v>
      </c>
      <c r="E62" s="5">
        <v>337</v>
      </c>
      <c r="F62" s="5">
        <v>1</v>
      </c>
      <c r="G62" s="5">
        <v>13</v>
      </c>
      <c r="H62" s="513">
        <v>2380</v>
      </c>
      <c r="I62" s="514">
        <v>476</v>
      </c>
      <c r="J62" s="941">
        <f>I62/F62</f>
        <v>476</v>
      </c>
      <c r="K62" s="203">
        <f>H62/I62</f>
        <v>5</v>
      </c>
      <c r="L62" s="204">
        <v>19638888</v>
      </c>
      <c r="M62" s="320">
        <v>2095964</v>
      </c>
      <c r="N62" s="201">
        <f>+L62/M62</f>
        <v>9.369859405982163</v>
      </c>
      <c r="O62" s="99">
        <v>52</v>
      </c>
    </row>
    <row r="63" spans="1:15" s="90" customFormat="1" ht="12" customHeight="1">
      <c r="A63" s="91">
        <v>53</v>
      </c>
      <c r="B63" s="200" t="s">
        <v>144</v>
      </c>
      <c r="C63" s="2">
        <v>40515</v>
      </c>
      <c r="D63" s="19" t="s">
        <v>10</v>
      </c>
      <c r="E63" s="3">
        <v>337</v>
      </c>
      <c r="F63" s="3">
        <v>1</v>
      </c>
      <c r="G63" s="3">
        <v>14</v>
      </c>
      <c r="H63" s="378">
        <v>1781</v>
      </c>
      <c r="I63" s="379">
        <v>1306</v>
      </c>
      <c r="J63" s="105">
        <f>I63/F63</f>
        <v>1306</v>
      </c>
      <c r="K63" s="183">
        <f>H63/I63</f>
        <v>1.3637059724349159</v>
      </c>
      <c r="L63" s="44">
        <v>19640669</v>
      </c>
      <c r="M63" s="46">
        <v>2097270</v>
      </c>
      <c r="N63" s="201">
        <f>+L63/M63</f>
        <v>9.364873859827298</v>
      </c>
      <c r="O63" s="99">
        <v>53</v>
      </c>
    </row>
    <row r="64" spans="1:15" s="90" customFormat="1" ht="12" customHeight="1">
      <c r="A64" s="91">
        <v>54</v>
      </c>
      <c r="B64" s="200" t="s">
        <v>144</v>
      </c>
      <c r="C64" s="377">
        <v>40515</v>
      </c>
      <c r="D64" s="114" t="s">
        <v>10</v>
      </c>
      <c r="E64" s="119">
        <v>337</v>
      </c>
      <c r="F64" s="33">
        <v>1</v>
      </c>
      <c r="G64" s="33">
        <v>25</v>
      </c>
      <c r="H64" s="378">
        <v>1190</v>
      </c>
      <c r="I64" s="379">
        <v>238</v>
      </c>
      <c r="J64" s="245">
        <f>I64/F64</f>
        <v>238</v>
      </c>
      <c r="K64" s="318">
        <f>H64/I64</f>
        <v>5</v>
      </c>
      <c r="L64" s="44">
        <f>19681137+1190</f>
        <v>19682327</v>
      </c>
      <c r="M64" s="46">
        <f>2106490+238</f>
        <v>2106728</v>
      </c>
      <c r="N64" s="124">
        <f>+L64/M64</f>
        <v>9.342604740621475</v>
      </c>
      <c r="O64" s="99">
        <v>54</v>
      </c>
    </row>
    <row r="65" spans="1:15" s="90" customFormat="1" ht="12" customHeight="1">
      <c r="A65" s="91">
        <v>55</v>
      </c>
      <c r="B65" s="200" t="s">
        <v>144</v>
      </c>
      <c r="C65" s="2">
        <v>40515</v>
      </c>
      <c r="D65" s="20" t="s">
        <v>10</v>
      </c>
      <c r="E65" s="5">
        <v>337</v>
      </c>
      <c r="F65" s="5">
        <v>3</v>
      </c>
      <c r="G65" s="5">
        <v>10</v>
      </c>
      <c r="H65" s="378">
        <v>1124</v>
      </c>
      <c r="I65" s="379">
        <v>121</v>
      </c>
      <c r="J65" s="105">
        <f>I65/F65</f>
        <v>40.333333333333336</v>
      </c>
      <c r="K65" s="183">
        <f>H65/I65</f>
        <v>9.289256198347108</v>
      </c>
      <c r="L65" s="44">
        <v>19628314</v>
      </c>
      <c r="M65" s="46">
        <v>2093949</v>
      </c>
      <c r="N65" s="201">
        <f>+L65/M65</f>
        <v>9.37382620111569</v>
      </c>
      <c r="O65" s="99">
        <v>55</v>
      </c>
    </row>
    <row r="66" spans="1:15" s="90" customFormat="1" ht="12" customHeight="1">
      <c r="A66" s="91">
        <v>56</v>
      </c>
      <c r="B66" s="200" t="s">
        <v>144</v>
      </c>
      <c r="C66" s="2">
        <v>40515</v>
      </c>
      <c r="D66" s="19" t="s">
        <v>10</v>
      </c>
      <c r="E66" s="3">
        <v>337</v>
      </c>
      <c r="F66" s="3">
        <v>2</v>
      </c>
      <c r="G66" s="3">
        <v>11</v>
      </c>
      <c r="H66" s="378">
        <v>778</v>
      </c>
      <c r="I66" s="379">
        <v>78</v>
      </c>
      <c r="J66" s="105">
        <f>I66/F66</f>
        <v>39</v>
      </c>
      <c r="K66" s="183">
        <f>H66/I66</f>
        <v>9.974358974358974</v>
      </c>
      <c r="L66" s="44">
        <v>19629092</v>
      </c>
      <c r="M66" s="46">
        <v>2094027</v>
      </c>
      <c r="N66" s="201">
        <f>+L66/M66</f>
        <v>9.373848570242886</v>
      </c>
      <c r="O66" s="99">
        <v>56</v>
      </c>
    </row>
    <row r="67" spans="1:15" s="90" customFormat="1" ht="12" customHeight="1">
      <c r="A67" s="91">
        <v>57</v>
      </c>
      <c r="B67" s="397" t="s">
        <v>268</v>
      </c>
      <c r="C67" s="32">
        <v>40165</v>
      </c>
      <c r="D67" s="30" t="s">
        <v>31</v>
      </c>
      <c r="E67" s="33">
        <v>150</v>
      </c>
      <c r="F67" s="33">
        <v>2</v>
      </c>
      <c r="G67" s="33">
        <v>45</v>
      </c>
      <c r="H67" s="339">
        <v>7038.5</v>
      </c>
      <c r="I67" s="340">
        <v>964</v>
      </c>
      <c r="J67" s="108">
        <f>(I67/F67)</f>
        <v>482</v>
      </c>
      <c r="K67" s="174">
        <f>H67/I67</f>
        <v>7.301348547717843</v>
      </c>
      <c r="L67" s="12">
        <f>26351050.5+1782+1045+250+135084.5+75530.5+42949.5+5302.5+6113+4133+420+7038.5</f>
        <v>26630699</v>
      </c>
      <c r="M67" s="13">
        <f>2457871+446+113+30+11058+6318+3444+432+464+353+42+964</f>
        <v>2481535</v>
      </c>
      <c r="N67" s="176">
        <v>10.72108768116797</v>
      </c>
      <c r="O67" s="99">
        <v>57</v>
      </c>
    </row>
    <row r="68" spans="1:15" s="90" customFormat="1" ht="12" customHeight="1">
      <c r="A68" s="91">
        <v>58</v>
      </c>
      <c r="B68" s="612" t="s">
        <v>268</v>
      </c>
      <c r="C68" s="185">
        <v>40165</v>
      </c>
      <c r="D68" s="114" t="s">
        <v>31</v>
      </c>
      <c r="E68" s="585">
        <v>150</v>
      </c>
      <c r="F68" s="585">
        <v>1</v>
      </c>
      <c r="G68" s="857">
        <v>48</v>
      </c>
      <c r="H68" s="339">
        <v>1901</v>
      </c>
      <c r="I68" s="340">
        <v>475</v>
      </c>
      <c r="J68" s="97">
        <f>I68/F68</f>
        <v>475</v>
      </c>
      <c r="K68" s="96">
        <f>H68/I68</f>
        <v>4.002105263157895</v>
      </c>
      <c r="L68" s="12">
        <f>26351050.5+1782+1045+250+135084.5+75530.5+42949.5+5302.5+6113+4133+420+7038.5+950.5+1188+1782+1901</f>
        <v>26636520.5</v>
      </c>
      <c r="M68" s="13">
        <f>2457871+446+113+30+11058+6318+3444+432+464+353+42+964+238+297+446+475</f>
        <v>2482991</v>
      </c>
      <c r="N68" s="124">
        <f>+L68/M68</f>
        <v>10.727594461679482</v>
      </c>
      <c r="O68" s="99">
        <v>58</v>
      </c>
    </row>
    <row r="69" spans="1:15" s="90" customFormat="1" ht="12" customHeight="1">
      <c r="A69" s="91">
        <v>59</v>
      </c>
      <c r="B69" s="600" t="s">
        <v>268</v>
      </c>
      <c r="C69" s="425">
        <v>40165</v>
      </c>
      <c r="D69" s="114" t="s">
        <v>31</v>
      </c>
      <c r="E69" s="427">
        <v>150</v>
      </c>
      <c r="F69" s="186">
        <v>1</v>
      </c>
      <c r="G69" s="427">
        <v>47</v>
      </c>
      <c r="H69" s="339">
        <v>1782</v>
      </c>
      <c r="I69" s="340">
        <v>446</v>
      </c>
      <c r="J69" s="97">
        <f>I69/F69</f>
        <v>446</v>
      </c>
      <c r="K69" s="96">
        <f>H69/I69</f>
        <v>3.995515695067265</v>
      </c>
      <c r="L69" s="12">
        <f>26351050.5+1782+1045+250+135084.5+75530.5+42949.5+5302.5+6113+4133+420+7038.5+950.5+1188+1782</f>
        <v>26634619.5</v>
      </c>
      <c r="M69" s="13">
        <f>2457871+446+113+30+11058+6318+3444+432+464+353+42+964+238+297+446</f>
        <v>2482516</v>
      </c>
      <c r="N69" s="124">
        <f>L69/M69</f>
        <v>10.728881304289681</v>
      </c>
      <c r="O69" s="99">
        <v>59</v>
      </c>
    </row>
    <row r="70" spans="1:15" s="90" customFormat="1" ht="12" customHeight="1">
      <c r="A70" s="91">
        <v>60</v>
      </c>
      <c r="B70" s="466" t="s">
        <v>268</v>
      </c>
      <c r="C70" s="185">
        <v>40165</v>
      </c>
      <c r="D70" s="114" t="s">
        <v>31</v>
      </c>
      <c r="E70" s="186">
        <v>150</v>
      </c>
      <c r="F70" s="186">
        <v>1</v>
      </c>
      <c r="G70" s="186">
        <v>46</v>
      </c>
      <c r="H70" s="339">
        <v>1188</v>
      </c>
      <c r="I70" s="340">
        <v>297</v>
      </c>
      <c r="J70" s="245">
        <f>I70/F70</f>
        <v>297</v>
      </c>
      <c r="K70" s="318">
        <f>H70/I70</f>
        <v>4</v>
      </c>
      <c r="L70" s="12">
        <f>26351050.5+1782+1045+250+135084.5+75530.5+42949.5+5302.5+6113+4133+420+7038.5+950.5+1188</f>
        <v>26632837.5</v>
      </c>
      <c r="M70" s="13">
        <f>2457871+446+113+30+11058+6318+3444+432+464+353+42+964+238+297</f>
        <v>2482070</v>
      </c>
      <c r="N70" s="124">
        <f>+L70/M70</f>
        <v>10.730091214188157</v>
      </c>
      <c r="O70" s="99">
        <v>60</v>
      </c>
    </row>
    <row r="71" spans="1:15" s="90" customFormat="1" ht="12" customHeight="1">
      <c r="A71" s="91">
        <v>61</v>
      </c>
      <c r="B71" s="180" t="s">
        <v>268</v>
      </c>
      <c r="C71" s="32">
        <v>40165</v>
      </c>
      <c r="D71" s="30" t="s">
        <v>31</v>
      </c>
      <c r="E71" s="33">
        <v>150</v>
      </c>
      <c r="F71" s="33">
        <v>1</v>
      </c>
      <c r="G71" s="33">
        <v>45</v>
      </c>
      <c r="H71" s="339">
        <v>950.5</v>
      </c>
      <c r="I71" s="340">
        <v>238</v>
      </c>
      <c r="J71" s="108">
        <f>(I71/F71)</f>
        <v>238</v>
      </c>
      <c r="K71" s="174">
        <f>H71/I71</f>
        <v>3.9936974789915967</v>
      </c>
      <c r="L71" s="12">
        <f>26351050.5+1782+1045+250+135084.5+75530.5+42949.5+5302.5+6113+4133+420+7038.5+950.5</f>
        <v>26631649.5</v>
      </c>
      <c r="M71" s="13">
        <f>2457871+446+113+30+11058+6318+3444+432+464+353+42+964+238</f>
        <v>2481773</v>
      </c>
      <c r="N71" s="176">
        <v>10.72108768116797</v>
      </c>
      <c r="O71" s="99">
        <v>61</v>
      </c>
    </row>
    <row r="72" spans="1:15" s="90" customFormat="1" ht="12" customHeight="1">
      <c r="A72" s="91">
        <v>62</v>
      </c>
      <c r="B72" s="205" t="s">
        <v>145</v>
      </c>
      <c r="C72" s="2">
        <v>40249</v>
      </c>
      <c r="D72" s="20" t="s">
        <v>21</v>
      </c>
      <c r="E72" s="5">
        <v>116</v>
      </c>
      <c r="F72" s="5">
        <v>1</v>
      </c>
      <c r="G72" s="5">
        <v>30</v>
      </c>
      <c r="H72" s="497">
        <v>3020</v>
      </c>
      <c r="I72" s="498">
        <v>604</v>
      </c>
      <c r="J72" s="97">
        <f>+I72/F72</f>
        <v>604</v>
      </c>
      <c r="K72" s="209">
        <f>+H72/I72</f>
        <v>5</v>
      </c>
      <c r="L72" s="35">
        <f>1547543.25+3020+3020</f>
        <v>1553583.25</v>
      </c>
      <c r="M72" s="38">
        <f>209803+604+604</f>
        <v>211011</v>
      </c>
      <c r="N72" s="210">
        <f>IF(L72&lt;&gt;0,L72/M72,"")</f>
        <v>7.36256996080773</v>
      </c>
      <c r="O72" s="99">
        <v>62</v>
      </c>
    </row>
    <row r="73" spans="1:15" s="90" customFormat="1" ht="12" customHeight="1">
      <c r="A73" s="91">
        <v>63</v>
      </c>
      <c r="B73" s="202" t="s">
        <v>269</v>
      </c>
      <c r="C73" s="2">
        <v>40466</v>
      </c>
      <c r="D73" s="22" t="s">
        <v>21</v>
      </c>
      <c r="E73" s="3">
        <v>10</v>
      </c>
      <c r="F73" s="3">
        <v>2</v>
      </c>
      <c r="G73" s="3">
        <v>7</v>
      </c>
      <c r="H73" s="515">
        <v>325</v>
      </c>
      <c r="I73" s="498">
        <v>44</v>
      </c>
      <c r="J73" s="97">
        <f>IF(H73&lt;&gt;0,I73/F73,"")</f>
        <v>22</v>
      </c>
      <c r="K73" s="221">
        <f>IF(H73&lt;&gt;0,H73/I73,"")</f>
        <v>7.386363636363637</v>
      </c>
      <c r="L73" s="34">
        <f>7088+2486+815+33+201+698+H73</f>
        <v>11646</v>
      </c>
      <c r="M73" s="38">
        <f>735+318+126+5+29+108+I73</f>
        <v>1365</v>
      </c>
      <c r="N73" s="210">
        <f>IF(L73&lt;&gt;0,L73/M73,"")</f>
        <v>8.531868131868132</v>
      </c>
      <c r="O73" s="99">
        <v>63</v>
      </c>
    </row>
    <row r="74" spans="1:15" s="90" customFormat="1" ht="12" customHeight="1">
      <c r="A74" s="91">
        <v>64</v>
      </c>
      <c r="B74" s="205" t="s">
        <v>269</v>
      </c>
      <c r="C74" s="2">
        <v>40466</v>
      </c>
      <c r="D74" s="20" t="s">
        <v>21</v>
      </c>
      <c r="E74" s="5">
        <v>10</v>
      </c>
      <c r="F74" s="5">
        <v>1</v>
      </c>
      <c r="G74" s="5">
        <v>8</v>
      </c>
      <c r="H74" s="497">
        <v>251</v>
      </c>
      <c r="I74" s="498">
        <v>68</v>
      </c>
      <c r="J74" s="97">
        <f>IF(H74&lt;&gt;0,I74/F74,"")</f>
        <v>68</v>
      </c>
      <c r="K74" s="209">
        <f>IF(H74&lt;&gt;0,H74/I74,"")</f>
        <v>3.6911764705882355</v>
      </c>
      <c r="L74" s="35">
        <f>7088+2486+815+33+201+698+325+251</f>
        <v>11897</v>
      </c>
      <c r="M74" s="38">
        <f>735+318+126+5+29+108+44+68</f>
        <v>1433</v>
      </c>
      <c r="N74" s="210">
        <f>IF(L74&lt;&gt;0,L74/M74,"")</f>
        <v>8.302163293789253</v>
      </c>
      <c r="O74" s="99">
        <v>64</v>
      </c>
    </row>
    <row r="75" spans="1:15" s="90" customFormat="1" ht="12" customHeight="1">
      <c r="A75" s="91">
        <v>65</v>
      </c>
      <c r="B75" s="282" t="s">
        <v>243</v>
      </c>
      <c r="C75" s="113">
        <v>40564</v>
      </c>
      <c r="D75" s="114" t="s">
        <v>28</v>
      </c>
      <c r="E75" s="697">
        <v>135</v>
      </c>
      <c r="F75" s="699">
        <v>1</v>
      </c>
      <c r="G75" s="115">
        <v>81</v>
      </c>
      <c r="H75" s="700">
        <v>3597</v>
      </c>
      <c r="I75" s="382">
        <v>600</v>
      </c>
      <c r="J75" s="97">
        <f>I75/F75</f>
        <v>600</v>
      </c>
      <c r="K75" s="96">
        <f>H75/I75</f>
        <v>5.995</v>
      </c>
      <c r="L75" s="65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75" s="21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75" s="122">
        <f>+L75/M75</f>
        <v>6.633615736416841</v>
      </c>
      <c r="O75" s="99">
        <v>65</v>
      </c>
    </row>
    <row r="76" spans="1:15" s="90" customFormat="1" ht="12" customHeight="1">
      <c r="A76" s="91">
        <v>66</v>
      </c>
      <c r="B76" s="602" t="s">
        <v>243</v>
      </c>
      <c r="C76" s="658">
        <v>38674</v>
      </c>
      <c r="D76" s="594" t="s">
        <v>28</v>
      </c>
      <c r="E76" s="31">
        <v>135</v>
      </c>
      <c r="F76" s="589">
        <v>1</v>
      </c>
      <c r="G76" s="589">
        <v>82</v>
      </c>
      <c r="H76" s="731">
        <v>2402</v>
      </c>
      <c r="I76" s="703">
        <v>480</v>
      </c>
      <c r="J76" s="245">
        <f>I76/F76</f>
        <v>480</v>
      </c>
      <c r="K76" s="318">
        <f>H76/I76</f>
        <v>5.004166666666666</v>
      </c>
      <c r="L76" s="62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+2402</f>
        <v>25465436.5</v>
      </c>
      <c r="M76" s="44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+480</f>
        <v>3838965</v>
      </c>
      <c r="N76" s="429">
        <f>+L76/M76</f>
        <v>6.6334120003698915</v>
      </c>
      <c r="O76" s="99">
        <v>66</v>
      </c>
    </row>
    <row r="77" spans="1:15" s="90" customFormat="1" ht="12" customHeight="1">
      <c r="A77" s="91">
        <v>67</v>
      </c>
      <c r="B77" s="716" t="s">
        <v>421</v>
      </c>
      <c r="C77" s="671">
        <v>40165</v>
      </c>
      <c r="D77" s="580" t="s">
        <v>21</v>
      </c>
      <c r="E77" s="33">
        <v>38</v>
      </c>
      <c r="F77" s="3">
        <v>1</v>
      </c>
      <c r="G77" s="3">
        <v>35</v>
      </c>
      <c r="H77" s="497">
        <v>317</v>
      </c>
      <c r="I77" s="498">
        <v>55</v>
      </c>
      <c r="J77" s="97">
        <f>I77/F77</f>
        <v>55</v>
      </c>
      <c r="K77" s="96">
        <f>H77/I77</f>
        <v>5.763636363636364</v>
      </c>
      <c r="L77" s="35">
        <v>1139387</v>
      </c>
      <c r="M77" s="38">
        <v>139628</v>
      </c>
      <c r="N77" s="122">
        <f>+L77/M77</f>
        <v>8.160161285702008</v>
      </c>
      <c r="O77" s="99">
        <v>67</v>
      </c>
    </row>
    <row r="78" spans="1:15" s="90" customFormat="1" ht="12" customHeight="1">
      <c r="A78" s="91">
        <v>68</v>
      </c>
      <c r="B78" s="205" t="s">
        <v>468</v>
      </c>
      <c r="C78" s="2">
        <v>39402</v>
      </c>
      <c r="D78" s="588" t="s">
        <v>21</v>
      </c>
      <c r="E78" s="5">
        <v>165</v>
      </c>
      <c r="F78" s="3">
        <v>1</v>
      </c>
      <c r="G78" s="3">
        <v>52</v>
      </c>
      <c r="H78" s="497">
        <v>2376</v>
      </c>
      <c r="I78" s="498">
        <v>475</v>
      </c>
      <c r="J78" s="97">
        <f>I78/F78</f>
        <v>475</v>
      </c>
      <c r="K78" s="209">
        <f>H78/I78</f>
        <v>5.002105263157895</v>
      </c>
      <c r="L78" s="35">
        <v>14657213.5</v>
      </c>
      <c r="M78" s="38">
        <f>2032410+475</f>
        <v>2032885</v>
      </c>
      <c r="N78" s="210">
        <f>+L78/M78</f>
        <v>7.210055413857646</v>
      </c>
      <c r="O78" s="99">
        <v>68</v>
      </c>
    </row>
    <row r="79" spans="1:15" s="90" customFormat="1" ht="12" customHeight="1">
      <c r="A79" s="91">
        <v>69</v>
      </c>
      <c r="B79" s="398" t="s">
        <v>270</v>
      </c>
      <c r="C79" s="399">
        <v>40529</v>
      </c>
      <c r="D79" s="400" t="s">
        <v>271</v>
      </c>
      <c r="E79" s="213">
        <v>5</v>
      </c>
      <c r="F79" s="213">
        <v>5</v>
      </c>
      <c r="G79" s="213">
        <v>4</v>
      </c>
      <c r="H79" s="516">
        <v>4388</v>
      </c>
      <c r="I79" s="517">
        <v>375</v>
      </c>
      <c r="J79" s="39">
        <f>I79/F79</f>
        <v>75</v>
      </c>
      <c r="K79" s="401">
        <f>H79/I79</f>
        <v>11.701333333333332</v>
      </c>
      <c r="L79" s="175">
        <v>19557</v>
      </c>
      <c r="M79" s="39">
        <v>1795</v>
      </c>
      <c r="N79" s="402">
        <f>L79/M79</f>
        <v>10.895264623955432</v>
      </c>
      <c r="O79" s="99">
        <v>69</v>
      </c>
    </row>
    <row r="80" spans="1:15" s="90" customFormat="1" ht="12" customHeight="1">
      <c r="A80" s="91">
        <v>70</v>
      </c>
      <c r="B80" s="214" t="s">
        <v>270</v>
      </c>
      <c r="C80" s="399">
        <v>40529</v>
      </c>
      <c r="D80" s="403" t="s">
        <v>271</v>
      </c>
      <c r="E80" s="172">
        <v>5</v>
      </c>
      <c r="F80" s="172">
        <v>3</v>
      </c>
      <c r="G80" s="172">
        <v>5</v>
      </c>
      <c r="H80" s="516">
        <v>3391</v>
      </c>
      <c r="I80" s="517">
        <v>400</v>
      </c>
      <c r="J80" s="39">
        <f>I80/F80</f>
        <v>133.33333333333334</v>
      </c>
      <c r="K80" s="401">
        <f>H80/I80</f>
        <v>8.4775</v>
      </c>
      <c r="L80" s="175">
        <v>22948</v>
      </c>
      <c r="M80" s="39">
        <v>2195</v>
      </c>
      <c r="N80" s="402">
        <f>L80/M80</f>
        <v>10.454669703872437</v>
      </c>
      <c r="O80" s="99">
        <v>70</v>
      </c>
    </row>
    <row r="81" spans="1:15" s="90" customFormat="1" ht="12" customHeight="1">
      <c r="A81" s="91">
        <v>71</v>
      </c>
      <c r="B81" s="180" t="s">
        <v>270</v>
      </c>
      <c r="C81" s="32">
        <v>40529</v>
      </c>
      <c r="D81" s="30" t="s">
        <v>62</v>
      </c>
      <c r="E81" s="33">
        <v>5</v>
      </c>
      <c r="F81" s="33">
        <v>1</v>
      </c>
      <c r="G81" s="33">
        <v>9</v>
      </c>
      <c r="H81" s="499">
        <v>3025</v>
      </c>
      <c r="I81" s="500">
        <v>605</v>
      </c>
      <c r="J81" s="38">
        <f>I81/F81</f>
        <v>605</v>
      </c>
      <c r="K81" s="247">
        <f>H81/I81</f>
        <v>5</v>
      </c>
      <c r="L81" s="36">
        <v>30459</v>
      </c>
      <c r="M81" s="38">
        <v>3466</v>
      </c>
      <c r="N81" s="237">
        <f>L81/M81</f>
        <v>8.78793998845932</v>
      </c>
      <c r="O81" s="99">
        <v>71</v>
      </c>
    </row>
    <row r="82" spans="1:15" s="90" customFormat="1" ht="12" customHeight="1">
      <c r="A82" s="91">
        <v>72</v>
      </c>
      <c r="B82" s="404" t="s">
        <v>270</v>
      </c>
      <c r="C82" s="405">
        <v>40529</v>
      </c>
      <c r="D82" s="400" t="s">
        <v>271</v>
      </c>
      <c r="E82" s="215">
        <v>5</v>
      </c>
      <c r="F82" s="215">
        <v>5</v>
      </c>
      <c r="G82" s="215">
        <v>6</v>
      </c>
      <c r="H82" s="605">
        <v>2708</v>
      </c>
      <c r="I82" s="382">
        <v>400</v>
      </c>
      <c r="J82" s="216">
        <f>I82/F82</f>
        <v>80</v>
      </c>
      <c r="K82" s="606">
        <f>H82/I82</f>
        <v>6.77</v>
      </c>
      <c r="L82" s="217">
        <v>25656</v>
      </c>
      <c r="M82" s="216">
        <v>2595</v>
      </c>
      <c r="N82" s="607">
        <f>L82/M82</f>
        <v>9.88670520231214</v>
      </c>
      <c r="O82" s="99">
        <v>72</v>
      </c>
    </row>
    <row r="83" spans="1:15" s="90" customFormat="1" ht="12" customHeight="1">
      <c r="A83" s="91">
        <v>73</v>
      </c>
      <c r="B83" s="214" t="s">
        <v>270</v>
      </c>
      <c r="C83" s="399">
        <v>40529</v>
      </c>
      <c r="D83" s="400" t="s">
        <v>271</v>
      </c>
      <c r="E83" s="172">
        <v>5</v>
      </c>
      <c r="F83" s="172">
        <v>4</v>
      </c>
      <c r="G83" s="172">
        <v>3</v>
      </c>
      <c r="H83" s="555">
        <v>2473</v>
      </c>
      <c r="I83" s="517">
        <v>284</v>
      </c>
      <c r="J83" s="39">
        <f>I83/F83</f>
        <v>71</v>
      </c>
      <c r="K83" s="556">
        <f>H83/I83</f>
        <v>8.70774647887324</v>
      </c>
      <c r="L83" s="557">
        <v>15169</v>
      </c>
      <c r="M83" s="39">
        <v>1420</v>
      </c>
      <c r="N83" s="402">
        <f>L83/M83</f>
        <v>10.682394366197183</v>
      </c>
      <c r="O83" s="99">
        <v>73</v>
      </c>
    </row>
    <row r="84" spans="1:15" s="90" customFormat="1" ht="12" customHeight="1">
      <c r="A84" s="91">
        <v>74</v>
      </c>
      <c r="B84" s="398" t="s">
        <v>270</v>
      </c>
      <c r="C84" s="399">
        <v>40529</v>
      </c>
      <c r="D84" s="400" t="s">
        <v>271</v>
      </c>
      <c r="E84" s="213">
        <v>5</v>
      </c>
      <c r="F84" s="213">
        <v>4</v>
      </c>
      <c r="G84" s="213">
        <v>7</v>
      </c>
      <c r="H84" s="516">
        <v>1031</v>
      </c>
      <c r="I84" s="517">
        <v>163</v>
      </c>
      <c r="J84" s="39">
        <f>I84/F84</f>
        <v>40.75</v>
      </c>
      <c r="K84" s="401">
        <f>H84/I84</f>
        <v>6.325153374233129</v>
      </c>
      <c r="L84" s="175">
        <v>26687</v>
      </c>
      <c r="M84" s="39">
        <v>2758</v>
      </c>
      <c r="N84" s="402">
        <f>L84/M84</f>
        <v>9.676214648295867</v>
      </c>
      <c r="O84" s="99">
        <v>74</v>
      </c>
    </row>
    <row r="85" spans="1:15" s="90" customFormat="1" ht="12" customHeight="1">
      <c r="A85" s="91">
        <v>75</v>
      </c>
      <c r="B85" s="171" t="s">
        <v>270</v>
      </c>
      <c r="C85" s="399">
        <v>40529</v>
      </c>
      <c r="D85" s="403" t="s">
        <v>62</v>
      </c>
      <c r="E85" s="172">
        <v>5</v>
      </c>
      <c r="F85" s="172">
        <v>1</v>
      </c>
      <c r="G85" s="172">
        <v>8</v>
      </c>
      <c r="H85" s="516">
        <v>747</v>
      </c>
      <c r="I85" s="517">
        <v>103</v>
      </c>
      <c r="J85" s="39">
        <f>I85/F85</f>
        <v>103</v>
      </c>
      <c r="K85" s="401">
        <f>H85/I85</f>
        <v>7.252427184466019</v>
      </c>
      <c r="L85" s="175">
        <v>27434</v>
      </c>
      <c r="M85" s="39">
        <v>2861</v>
      </c>
      <c r="N85" s="402">
        <f>L85/M85</f>
        <v>9.588954910870324</v>
      </c>
      <c r="O85" s="99">
        <v>75</v>
      </c>
    </row>
    <row r="86" spans="1:15" s="90" customFormat="1" ht="12" customHeight="1">
      <c r="A86" s="91">
        <v>76</v>
      </c>
      <c r="B86" s="693" t="s">
        <v>405</v>
      </c>
      <c r="C86" s="667">
        <v>39969</v>
      </c>
      <c r="D86" s="580" t="s">
        <v>31</v>
      </c>
      <c r="E86" s="668">
        <v>20</v>
      </c>
      <c r="F86" s="31">
        <v>1</v>
      </c>
      <c r="G86" s="668">
        <v>20</v>
      </c>
      <c r="H86" s="509">
        <v>1308</v>
      </c>
      <c r="I86" s="523">
        <v>327</v>
      </c>
      <c r="J86" s="245">
        <f>I86/F86</f>
        <v>327</v>
      </c>
      <c r="K86" s="318">
        <f>H86/I86</f>
        <v>4</v>
      </c>
      <c r="L86" s="26">
        <f>63821.75+29583.75+16102.25+8771.25+5888+8492.5+1761+3162+5226+2267+1186.5+1122.5+1305+832+660+301+151+1780+1780+1308</f>
        <v>155501.5</v>
      </c>
      <c r="M86" s="27">
        <f>6069+3045+2422+1546+1020+1313+402+594+954+378+185+151+256+78+122+64+34+445+445+327</f>
        <v>19850</v>
      </c>
      <c r="N86" s="429">
        <f>L86/M86</f>
        <v>7.8338287153652395</v>
      </c>
      <c r="O86" s="99">
        <v>76</v>
      </c>
    </row>
    <row r="87" spans="1:15" s="90" customFormat="1" ht="12" customHeight="1">
      <c r="A87" s="91">
        <v>77</v>
      </c>
      <c r="B87" s="192" t="s">
        <v>272</v>
      </c>
      <c r="C87" s="32">
        <v>40298</v>
      </c>
      <c r="D87" s="178" t="s">
        <v>31</v>
      </c>
      <c r="E87" s="181">
        <v>10</v>
      </c>
      <c r="F87" s="181">
        <v>1</v>
      </c>
      <c r="G87" s="181">
        <v>21</v>
      </c>
      <c r="H87" s="339">
        <v>1307</v>
      </c>
      <c r="I87" s="340">
        <v>327</v>
      </c>
      <c r="J87" s="108">
        <f>(I87/F87)</f>
        <v>327</v>
      </c>
      <c r="K87" s="174">
        <f>H87/I87</f>
        <v>3.996941896024465</v>
      </c>
      <c r="L87" s="12">
        <f>83892.5+865+192+477+220.5+1901+2138.5+1307</f>
        <v>90993.5</v>
      </c>
      <c r="M87" s="13">
        <f>10300+144+24+59+48+475+534+327</f>
        <v>11911</v>
      </c>
      <c r="N87" s="176">
        <f>L87/M87</f>
        <v>7.639450927713878</v>
      </c>
      <c r="O87" s="99">
        <v>77</v>
      </c>
    </row>
    <row r="88" spans="1:15" s="90" customFormat="1" ht="12" customHeight="1">
      <c r="A88" s="91">
        <v>78</v>
      </c>
      <c r="B88" s="192" t="s">
        <v>272</v>
      </c>
      <c r="C88" s="32">
        <v>40298</v>
      </c>
      <c r="D88" s="178" t="s">
        <v>31</v>
      </c>
      <c r="E88" s="181">
        <v>10</v>
      </c>
      <c r="F88" s="181">
        <v>1</v>
      </c>
      <c r="G88" s="181">
        <v>22</v>
      </c>
      <c r="H88" s="339">
        <v>952</v>
      </c>
      <c r="I88" s="340">
        <v>238</v>
      </c>
      <c r="J88" s="108">
        <f>(I88/F88)</f>
        <v>238</v>
      </c>
      <c r="K88" s="174">
        <f>H88/I88</f>
        <v>4</v>
      </c>
      <c r="L88" s="12">
        <f>83892.5+865+192+477+220.5+1901+2138.5+1307+952</f>
        <v>91945.5</v>
      </c>
      <c r="M88" s="13">
        <f>10300+144+24+59+48+475+534+327+238</f>
        <v>12149</v>
      </c>
      <c r="N88" s="176">
        <f>L88/M88</f>
        <v>7.568153757510906</v>
      </c>
      <c r="O88" s="99">
        <v>78</v>
      </c>
    </row>
    <row r="89" spans="1:15" s="90" customFormat="1" ht="12" customHeight="1">
      <c r="A89" s="91">
        <v>79</v>
      </c>
      <c r="B89" s="180" t="s">
        <v>273</v>
      </c>
      <c r="C89" s="32">
        <v>39577</v>
      </c>
      <c r="D89" s="30" t="s">
        <v>138</v>
      </c>
      <c r="E89" s="33">
        <v>11</v>
      </c>
      <c r="F89" s="33">
        <v>1</v>
      </c>
      <c r="G89" s="33">
        <v>19</v>
      </c>
      <c r="H89" s="518">
        <v>712</v>
      </c>
      <c r="I89" s="519">
        <v>142</v>
      </c>
      <c r="J89" s="111">
        <v>142</v>
      </c>
      <c r="K89" s="406">
        <v>5.014084507042254</v>
      </c>
      <c r="L89" s="218">
        <v>102695</v>
      </c>
      <c r="M89" s="219">
        <v>11305</v>
      </c>
      <c r="N89" s="220">
        <v>9.084033613445378</v>
      </c>
      <c r="O89" s="99">
        <v>79</v>
      </c>
    </row>
    <row r="90" spans="1:15" s="90" customFormat="1" ht="12" customHeight="1">
      <c r="A90" s="91">
        <v>80</v>
      </c>
      <c r="B90" s="202" t="s">
        <v>146</v>
      </c>
      <c r="C90" s="2">
        <v>40452</v>
      </c>
      <c r="D90" s="22" t="s">
        <v>21</v>
      </c>
      <c r="E90" s="3">
        <v>148</v>
      </c>
      <c r="F90" s="3">
        <v>3</v>
      </c>
      <c r="G90" s="3">
        <v>14</v>
      </c>
      <c r="H90" s="515">
        <v>4104.5</v>
      </c>
      <c r="I90" s="498">
        <v>531</v>
      </c>
      <c r="J90" s="97">
        <f>IF(H90&lt;&gt;0,I90/F90,"")</f>
        <v>177</v>
      </c>
      <c r="K90" s="221">
        <f>IF(H90&lt;&gt;0,H90/I90,"")</f>
        <v>7.7297551789077215</v>
      </c>
      <c r="L90" s="34">
        <f>699440.5+93480+55329+21058.5+2054+5186.5+3036+2522+4090+1329+2064+2423+H90</f>
        <v>896117</v>
      </c>
      <c r="M90" s="38">
        <f>74937+13125+8283+3296+346+1058+497+365+749+203+322+349+531</f>
        <v>104061</v>
      </c>
      <c r="N90" s="210">
        <f>IF(L90&lt;&gt;0,L90/M90,"")</f>
        <v>8.611458663668426</v>
      </c>
      <c r="O90" s="99">
        <v>80</v>
      </c>
    </row>
    <row r="91" spans="1:15" s="90" customFormat="1" ht="12" customHeight="1">
      <c r="A91" s="91">
        <v>81</v>
      </c>
      <c r="B91" s="200" t="s">
        <v>146</v>
      </c>
      <c r="C91" s="2">
        <v>40452</v>
      </c>
      <c r="D91" s="22" t="s">
        <v>21</v>
      </c>
      <c r="E91" s="3">
        <v>148</v>
      </c>
      <c r="F91" s="3">
        <v>1</v>
      </c>
      <c r="G91" s="3">
        <v>15</v>
      </c>
      <c r="H91" s="497">
        <v>528</v>
      </c>
      <c r="I91" s="498">
        <v>88</v>
      </c>
      <c r="J91" s="97">
        <f>IF(H91&lt;&gt;0,I91/F91,"")</f>
        <v>88</v>
      </c>
      <c r="K91" s="209">
        <f>IF(H91&lt;&gt;0,H91/I91,"")</f>
        <v>6</v>
      </c>
      <c r="L91" s="35">
        <f>896117+528</f>
        <v>896645</v>
      </c>
      <c r="M91" s="38">
        <f>104061+88</f>
        <v>104149</v>
      </c>
      <c r="N91" s="210">
        <f>IF(L91&lt;&gt;0,L91/M91,"")</f>
        <v>8.609252129161106</v>
      </c>
      <c r="O91" s="99">
        <v>81</v>
      </c>
    </row>
    <row r="92" spans="1:15" s="90" customFormat="1" ht="12" customHeight="1">
      <c r="A92" s="91">
        <v>82</v>
      </c>
      <c r="B92" s="202" t="s">
        <v>146</v>
      </c>
      <c r="C92" s="2">
        <v>40452</v>
      </c>
      <c r="D92" s="19" t="s">
        <v>21</v>
      </c>
      <c r="E92" s="3">
        <v>148</v>
      </c>
      <c r="F92" s="3">
        <v>1</v>
      </c>
      <c r="G92" s="3">
        <v>17</v>
      </c>
      <c r="H92" s="497">
        <v>468</v>
      </c>
      <c r="I92" s="498">
        <v>78</v>
      </c>
      <c r="J92" s="97">
        <f>IF(H92&lt;&gt;0,I92/F92,"")</f>
        <v>78</v>
      </c>
      <c r="K92" s="209">
        <f>IF(H92&lt;&gt;0,H92/I92,"")</f>
        <v>6</v>
      </c>
      <c r="L92" s="35">
        <f>896117+528+390+468</f>
        <v>897503</v>
      </c>
      <c r="M92" s="38">
        <f>104061+88+65+78</f>
        <v>104292</v>
      </c>
      <c r="N92" s="210">
        <f>IF(L92&lt;&gt;0,L92/M92,"")</f>
        <v>8.605674452498754</v>
      </c>
      <c r="O92" s="99">
        <v>82</v>
      </c>
    </row>
    <row r="93" spans="1:15" s="90" customFormat="1" ht="12" customHeight="1">
      <c r="A93" s="91">
        <v>83</v>
      </c>
      <c r="B93" s="205" t="s">
        <v>146</v>
      </c>
      <c r="C93" s="2">
        <v>40452</v>
      </c>
      <c r="D93" s="20" t="s">
        <v>21</v>
      </c>
      <c r="E93" s="5">
        <v>148</v>
      </c>
      <c r="F93" s="5">
        <v>1</v>
      </c>
      <c r="G93" s="5">
        <v>16</v>
      </c>
      <c r="H93" s="497">
        <v>390</v>
      </c>
      <c r="I93" s="498">
        <v>65</v>
      </c>
      <c r="J93" s="97">
        <f>+I93/F93</f>
        <v>65</v>
      </c>
      <c r="K93" s="209">
        <f>+H93/I93</f>
        <v>6</v>
      </c>
      <c r="L93" s="35">
        <f>896117+528+390</f>
        <v>897035</v>
      </c>
      <c r="M93" s="38">
        <f>104061+88+65</f>
        <v>104214</v>
      </c>
      <c r="N93" s="210">
        <f>IF(L93&lt;&gt;0,L93/M93,"")</f>
        <v>8.607624695338439</v>
      </c>
      <c r="O93" s="99">
        <v>83</v>
      </c>
    </row>
    <row r="94" spans="1:15" s="90" customFormat="1" ht="12" customHeight="1">
      <c r="A94" s="91">
        <v>84</v>
      </c>
      <c r="B94" s="177" t="s">
        <v>274</v>
      </c>
      <c r="C94" s="32">
        <v>40473</v>
      </c>
      <c r="D94" s="178" t="s">
        <v>31</v>
      </c>
      <c r="E94" s="33">
        <v>28</v>
      </c>
      <c r="F94" s="33">
        <v>1</v>
      </c>
      <c r="G94" s="33">
        <v>12</v>
      </c>
      <c r="H94" s="339">
        <v>2675</v>
      </c>
      <c r="I94" s="340">
        <v>301</v>
      </c>
      <c r="J94" s="108">
        <f>(I94/F94)</f>
        <v>301</v>
      </c>
      <c r="K94" s="174">
        <f>H94/I94</f>
        <v>8.887043189368772</v>
      </c>
      <c r="L94" s="12">
        <f>152569.5+122205.5+10562+6863.5+9619+5655+1726.5+3593+4508+310+2166+2675</f>
        <v>322453</v>
      </c>
      <c r="M94" s="13">
        <f>12992+10278+1201+886+1535+877+246+644+1351+56+302+301</f>
        <v>30669</v>
      </c>
      <c r="N94" s="176">
        <f>L94/M94</f>
        <v>10.51397176301803</v>
      </c>
      <c r="O94" s="99">
        <v>84</v>
      </c>
    </row>
    <row r="95" spans="1:15" s="90" customFormat="1" ht="12" customHeight="1">
      <c r="A95" s="91">
        <v>85</v>
      </c>
      <c r="B95" s="177" t="s">
        <v>274</v>
      </c>
      <c r="C95" s="32">
        <v>40473</v>
      </c>
      <c r="D95" s="178" t="s">
        <v>31</v>
      </c>
      <c r="E95" s="33">
        <v>28</v>
      </c>
      <c r="F95" s="33">
        <v>3</v>
      </c>
      <c r="G95" s="33">
        <v>11</v>
      </c>
      <c r="H95" s="509">
        <v>2166</v>
      </c>
      <c r="I95" s="340">
        <v>302</v>
      </c>
      <c r="J95" s="108">
        <f>(I95/F95)</f>
        <v>100.66666666666667</v>
      </c>
      <c r="K95" s="179">
        <f>H95/I95</f>
        <v>7.172185430463577</v>
      </c>
      <c r="L95" s="26">
        <f>152569.5+122205.5+10562+6863.5+9619+5655+1726.5+3593+4508+310+2166</f>
        <v>319778</v>
      </c>
      <c r="M95" s="13">
        <f>12992+10278+1201+886+1535+877+246+644+1351+56+302</f>
        <v>30368</v>
      </c>
      <c r="N95" s="176">
        <f>L95/M95</f>
        <v>10.53009747102213</v>
      </c>
      <c r="O95" s="99">
        <v>85</v>
      </c>
    </row>
    <row r="96" spans="1:15" s="90" customFormat="1" ht="12" customHeight="1">
      <c r="A96" s="91">
        <v>86</v>
      </c>
      <c r="B96" s="180" t="s">
        <v>274</v>
      </c>
      <c r="C96" s="32">
        <v>40473</v>
      </c>
      <c r="D96" s="178" t="s">
        <v>31</v>
      </c>
      <c r="E96" s="33">
        <v>28</v>
      </c>
      <c r="F96" s="33">
        <v>1</v>
      </c>
      <c r="G96" s="33">
        <v>13</v>
      </c>
      <c r="H96" s="339">
        <v>594</v>
      </c>
      <c r="I96" s="340">
        <v>115</v>
      </c>
      <c r="J96" s="108">
        <f>(I96/F96)</f>
        <v>115</v>
      </c>
      <c r="K96" s="174">
        <f>H96/I96</f>
        <v>5.165217391304348</v>
      </c>
      <c r="L96" s="12">
        <f>152569.5+122205.5+10562+6863.5+9619+5655+1726.5+3593+4508+310+2166+2675+594</f>
        <v>323047</v>
      </c>
      <c r="M96" s="13">
        <f>12992+10278+1201+886+1535+877+246+644+1351+56+302+301+115</f>
        <v>30784</v>
      </c>
      <c r="N96" s="176">
        <f>L96/M96</f>
        <v>10.493990384615385</v>
      </c>
      <c r="O96" s="99">
        <v>86</v>
      </c>
    </row>
    <row r="97" spans="1:15" s="90" customFormat="1" ht="12" customHeight="1">
      <c r="A97" s="91">
        <v>87</v>
      </c>
      <c r="B97" s="180" t="s">
        <v>274</v>
      </c>
      <c r="C97" s="32">
        <v>40473</v>
      </c>
      <c r="D97" s="30" t="s">
        <v>31</v>
      </c>
      <c r="E97" s="33">
        <v>28</v>
      </c>
      <c r="F97" s="33">
        <v>1</v>
      </c>
      <c r="G97" s="33">
        <v>14</v>
      </c>
      <c r="H97" s="339">
        <v>555.5</v>
      </c>
      <c r="I97" s="340">
        <v>69</v>
      </c>
      <c r="J97" s="108">
        <f>(I97/F97)</f>
        <v>69</v>
      </c>
      <c r="K97" s="174">
        <f>H97/I97</f>
        <v>8.05072463768116</v>
      </c>
      <c r="L97" s="12">
        <f>152569.5+122205.5+10562+6863.5+9619+5655+1726.5+3593+4508+310+2166+2675+594+555.5</f>
        <v>323602.5</v>
      </c>
      <c r="M97" s="13">
        <f>12992+10278+1201+886+1535+877+246+644+1351+56+302+301+115+69</f>
        <v>30853</v>
      </c>
      <c r="N97" s="176">
        <f>L97/M97</f>
        <v>10.488526237318899</v>
      </c>
      <c r="O97" s="99">
        <v>87</v>
      </c>
    </row>
    <row r="98" spans="1:15" s="90" customFormat="1" ht="12" customHeight="1">
      <c r="A98" s="91">
        <v>88</v>
      </c>
      <c r="B98" s="180" t="s">
        <v>275</v>
      </c>
      <c r="C98" s="32">
        <v>40333</v>
      </c>
      <c r="D98" s="178" t="s">
        <v>31</v>
      </c>
      <c r="E98" s="33">
        <v>5</v>
      </c>
      <c r="F98" s="33">
        <v>1</v>
      </c>
      <c r="G98" s="33">
        <v>17</v>
      </c>
      <c r="H98" s="339">
        <v>950.5</v>
      </c>
      <c r="I98" s="340">
        <v>238</v>
      </c>
      <c r="J98" s="108">
        <f>(I98/F98)</f>
        <v>238</v>
      </c>
      <c r="K98" s="174">
        <f>H98/I98</f>
        <v>3.9936974789915967</v>
      </c>
      <c r="L98" s="12">
        <f>36730.5+564+1413+1445+1680+605+2036+437+950.5</f>
        <v>45861</v>
      </c>
      <c r="M98" s="13">
        <f>3877+97+237+234+280+110+317+78+238</f>
        <v>5468</v>
      </c>
      <c r="N98" s="176">
        <f>L98/M98</f>
        <v>8.38716166788588</v>
      </c>
      <c r="O98" s="99">
        <v>88</v>
      </c>
    </row>
    <row r="99" spans="1:15" s="90" customFormat="1" ht="12" customHeight="1">
      <c r="A99" s="91">
        <v>89</v>
      </c>
      <c r="B99" s="180" t="s">
        <v>276</v>
      </c>
      <c r="C99" s="32">
        <v>40123</v>
      </c>
      <c r="D99" s="30" t="s">
        <v>138</v>
      </c>
      <c r="E99" s="33">
        <v>25</v>
      </c>
      <c r="F99" s="33">
        <v>1</v>
      </c>
      <c r="G99" s="33">
        <v>15</v>
      </c>
      <c r="H99" s="518">
        <v>712</v>
      </c>
      <c r="I99" s="519">
        <v>142</v>
      </c>
      <c r="J99" s="111">
        <v>142</v>
      </c>
      <c r="K99" s="406">
        <v>5.014084507042254</v>
      </c>
      <c r="L99" s="218">
        <v>274310</v>
      </c>
      <c r="M99" s="219">
        <v>22843</v>
      </c>
      <c r="N99" s="220">
        <v>12.008492754892089</v>
      </c>
      <c r="O99" s="99">
        <v>89</v>
      </c>
    </row>
    <row r="100" spans="1:15" s="90" customFormat="1" ht="12" customHeight="1">
      <c r="A100" s="91">
        <v>90</v>
      </c>
      <c r="B100" s="192" t="s">
        <v>277</v>
      </c>
      <c r="C100" s="32">
        <v>40102</v>
      </c>
      <c r="D100" s="178" t="s">
        <v>31</v>
      </c>
      <c r="E100" s="181">
        <v>22</v>
      </c>
      <c r="F100" s="181">
        <v>1</v>
      </c>
      <c r="G100" s="181">
        <v>13</v>
      </c>
      <c r="H100" s="339">
        <v>952</v>
      </c>
      <c r="I100" s="340">
        <v>238</v>
      </c>
      <c r="J100" s="108">
        <f>(I100/F100)</f>
        <v>238</v>
      </c>
      <c r="K100" s="174">
        <f>H100/I100</f>
        <v>4</v>
      </c>
      <c r="L100" s="12">
        <f>129717.5+110957+18478+6527+6853.5+1081.5+738.5+250+165+404+829.5+186+952</f>
        <v>277139.5</v>
      </c>
      <c r="M100" s="13">
        <f>10402+8975+1885+691+1109+369+262+48+23+69+109+24+238</f>
        <v>24204</v>
      </c>
      <c r="N100" s="176">
        <f>L100/M100</f>
        <v>11.450152867294662</v>
      </c>
      <c r="O100" s="99">
        <v>90</v>
      </c>
    </row>
    <row r="101" spans="1:15" s="90" customFormat="1" ht="12" customHeight="1">
      <c r="A101" s="91">
        <v>91</v>
      </c>
      <c r="B101" s="229" t="s">
        <v>147</v>
      </c>
      <c r="C101" s="2">
        <v>40529</v>
      </c>
      <c r="D101" s="24" t="s">
        <v>139</v>
      </c>
      <c r="E101" s="5">
        <v>81</v>
      </c>
      <c r="F101" s="5">
        <v>69</v>
      </c>
      <c r="G101" s="5">
        <v>3</v>
      </c>
      <c r="H101" s="520">
        <v>90040</v>
      </c>
      <c r="I101" s="521">
        <v>10688</v>
      </c>
      <c r="J101" s="224">
        <f>I101/F101</f>
        <v>154.8985507246377</v>
      </c>
      <c r="K101" s="238">
        <f>H101/I101</f>
        <v>8.42440119760479</v>
      </c>
      <c r="L101" s="267">
        <v>472298</v>
      </c>
      <c r="M101" s="227">
        <v>55934</v>
      </c>
      <c r="N101" s="228">
        <f>+L101/M101</f>
        <v>8.443844531054458</v>
      </c>
      <c r="O101" s="99">
        <v>91</v>
      </c>
    </row>
    <row r="102" spans="1:15" s="90" customFormat="1" ht="12" customHeight="1">
      <c r="A102" s="91">
        <v>92</v>
      </c>
      <c r="B102" s="205" t="s">
        <v>147</v>
      </c>
      <c r="C102" s="2">
        <v>40529</v>
      </c>
      <c r="D102" s="20" t="s">
        <v>139</v>
      </c>
      <c r="E102" s="5">
        <v>81</v>
      </c>
      <c r="F102" s="5">
        <v>5</v>
      </c>
      <c r="G102" s="5">
        <v>5</v>
      </c>
      <c r="H102" s="522">
        <v>5631</v>
      </c>
      <c r="I102" s="521">
        <v>879</v>
      </c>
      <c r="J102" s="224">
        <f>I102/F102</f>
        <v>175.8</v>
      </c>
      <c r="K102" s="225">
        <f>H102/I102</f>
        <v>6.406143344709897</v>
      </c>
      <c r="L102" s="226">
        <v>478360</v>
      </c>
      <c r="M102" s="227">
        <v>56856</v>
      </c>
      <c r="N102" s="228">
        <f>+L102/M102</f>
        <v>8.413535950471367</v>
      </c>
      <c r="O102" s="99">
        <v>92</v>
      </c>
    </row>
    <row r="103" spans="1:15" s="90" customFormat="1" ht="12" customHeight="1">
      <c r="A103" s="91">
        <v>93</v>
      </c>
      <c r="B103" s="229" t="s">
        <v>147</v>
      </c>
      <c r="C103" s="2">
        <v>40529</v>
      </c>
      <c r="D103" s="20" t="s">
        <v>139</v>
      </c>
      <c r="E103" s="5">
        <v>81</v>
      </c>
      <c r="F103" s="5">
        <v>4</v>
      </c>
      <c r="G103" s="5">
        <v>6</v>
      </c>
      <c r="H103" s="522">
        <v>2875</v>
      </c>
      <c r="I103" s="521">
        <v>650</v>
      </c>
      <c r="J103" s="108">
        <f>(I103/F103)</f>
        <v>162.5</v>
      </c>
      <c r="K103" s="174">
        <f>H103/I103</f>
        <v>4.423076923076923</v>
      </c>
      <c r="L103" s="226">
        <v>481235</v>
      </c>
      <c r="M103" s="227">
        <v>57506</v>
      </c>
      <c r="N103" s="176">
        <f>L103/M103</f>
        <v>8.368431120230932</v>
      </c>
      <c r="O103" s="99">
        <v>93</v>
      </c>
    </row>
    <row r="104" spans="1:15" s="90" customFormat="1" ht="12" customHeight="1">
      <c r="A104" s="91">
        <v>94</v>
      </c>
      <c r="B104" s="205" t="s">
        <v>147</v>
      </c>
      <c r="C104" s="2">
        <v>40529</v>
      </c>
      <c r="D104" s="20" t="s">
        <v>139</v>
      </c>
      <c r="E104" s="5">
        <v>81</v>
      </c>
      <c r="F104" s="5">
        <v>2</v>
      </c>
      <c r="G104" s="5">
        <v>7</v>
      </c>
      <c r="H104" s="522">
        <v>2351</v>
      </c>
      <c r="I104" s="521">
        <v>769</v>
      </c>
      <c r="J104" s="224">
        <f>I104/F104</f>
        <v>384.5</v>
      </c>
      <c r="K104" s="225">
        <f>H104/I104</f>
        <v>3.057217165149545</v>
      </c>
      <c r="L104" s="226">
        <v>483585</v>
      </c>
      <c r="M104" s="227">
        <v>58275</v>
      </c>
      <c r="N104" s="201">
        <f>+L104/M104</f>
        <v>8.298326898326899</v>
      </c>
      <c r="O104" s="99">
        <v>94</v>
      </c>
    </row>
    <row r="105" spans="1:15" s="90" customFormat="1" ht="12" customHeight="1">
      <c r="A105" s="91">
        <v>95</v>
      </c>
      <c r="B105" s="205" t="s">
        <v>147</v>
      </c>
      <c r="C105" s="2">
        <v>40529</v>
      </c>
      <c r="D105" s="20" t="s">
        <v>139</v>
      </c>
      <c r="E105" s="5">
        <v>81</v>
      </c>
      <c r="F105" s="5">
        <v>1</v>
      </c>
      <c r="G105" s="5">
        <v>8</v>
      </c>
      <c r="H105" s="522">
        <v>997</v>
      </c>
      <c r="I105" s="521">
        <v>367</v>
      </c>
      <c r="J105" s="224">
        <f>I105/F105</f>
        <v>367</v>
      </c>
      <c r="K105" s="225">
        <f>H105/I105</f>
        <v>2.7166212534059944</v>
      </c>
      <c r="L105" s="226">
        <v>485472</v>
      </c>
      <c r="M105" s="227">
        <v>58973</v>
      </c>
      <c r="N105" s="228">
        <f>+L105/M105</f>
        <v>8.232106218099808</v>
      </c>
      <c r="O105" s="99">
        <v>95</v>
      </c>
    </row>
    <row r="106" spans="1:15" s="90" customFormat="1" ht="12" customHeight="1">
      <c r="A106" s="91">
        <v>96</v>
      </c>
      <c r="B106" s="205" t="s">
        <v>147</v>
      </c>
      <c r="C106" s="2">
        <v>40529</v>
      </c>
      <c r="D106" s="24" t="s">
        <v>139</v>
      </c>
      <c r="E106" s="5">
        <v>81</v>
      </c>
      <c r="F106" s="5">
        <v>5</v>
      </c>
      <c r="G106" s="5">
        <v>4</v>
      </c>
      <c r="H106" s="522">
        <v>431</v>
      </c>
      <c r="I106" s="521">
        <v>43</v>
      </c>
      <c r="J106" s="224">
        <f>I106/F106</f>
        <v>8.6</v>
      </c>
      <c r="K106" s="225">
        <f>H106/I106</f>
        <v>10.023255813953488</v>
      </c>
      <c r="L106" s="226">
        <v>472729</v>
      </c>
      <c r="M106" s="227">
        <v>55977</v>
      </c>
      <c r="N106" s="228">
        <f>+L106/M106</f>
        <v>8.445057791592976</v>
      </c>
      <c r="O106" s="99">
        <v>96</v>
      </c>
    </row>
    <row r="107" spans="1:15" s="90" customFormat="1" ht="12" customHeight="1">
      <c r="A107" s="91">
        <v>97</v>
      </c>
      <c r="B107" s="205" t="s">
        <v>147</v>
      </c>
      <c r="C107" s="2">
        <v>40529</v>
      </c>
      <c r="D107" s="20" t="s">
        <v>139</v>
      </c>
      <c r="E107" s="5">
        <v>81</v>
      </c>
      <c r="F107" s="5">
        <v>1</v>
      </c>
      <c r="G107" s="5">
        <v>9</v>
      </c>
      <c r="H107" s="522">
        <v>427</v>
      </c>
      <c r="I107" s="521">
        <v>52</v>
      </c>
      <c r="J107" s="224">
        <f>I107/F107</f>
        <v>52</v>
      </c>
      <c r="K107" s="225">
        <f>H107/I107</f>
        <v>8.211538461538462</v>
      </c>
      <c r="L107" s="226">
        <v>484902</v>
      </c>
      <c r="M107" s="227">
        <v>58658</v>
      </c>
      <c r="N107" s="228">
        <f>+L107/M107</f>
        <v>8.266596201711616</v>
      </c>
      <c r="O107" s="99">
        <v>97</v>
      </c>
    </row>
    <row r="108" spans="1:15" s="90" customFormat="1" ht="12" customHeight="1">
      <c r="A108" s="91">
        <v>98</v>
      </c>
      <c r="B108" s="205" t="s">
        <v>147</v>
      </c>
      <c r="C108" s="2">
        <v>40529</v>
      </c>
      <c r="D108" s="20" t="s">
        <v>139</v>
      </c>
      <c r="E108" s="5">
        <v>81</v>
      </c>
      <c r="F108" s="5">
        <v>1</v>
      </c>
      <c r="G108" s="5">
        <v>12</v>
      </c>
      <c r="H108" s="522">
        <v>176</v>
      </c>
      <c r="I108" s="521">
        <v>26</v>
      </c>
      <c r="J108" s="224">
        <f>I108/F108</f>
        <v>26</v>
      </c>
      <c r="K108" s="225">
        <f>H108/I108</f>
        <v>6.769230769230769</v>
      </c>
      <c r="L108" s="226">
        <v>487699</v>
      </c>
      <c r="M108" s="227">
        <v>59278</v>
      </c>
      <c r="N108" s="228">
        <f>+L108/M108</f>
        <v>8.227318735449915</v>
      </c>
      <c r="O108" s="99">
        <v>98</v>
      </c>
    </row>
    <row r="109" spans="1:15" s="90" customFormat="1" ht="12" customHeight="1">
      <c r="A109" s="91">
        <v>99</v>
      </c>
      <c r="B109" s="466" t="s">
        <v>263</v>
      </c>
      <c r="C109" s="185">
        <v>40529</v>
      </c>
      <c r="D109" s="114" t="s">
        <v>31</v>
      </c>
      <c r="E109" s="186">
        <v>147</v>
      </c>
      <c r="F109" s="186">
        <v>1</v>
      </c>
      <c r="G109" s="186">
        <v>14</v>
      </c>
      <c r="H109" s="339">
        <v>1188</v>
      </c>
      <c r="I109" s="340">
        <v>297</v>
      </c>
      <c r="J109" s="97">
        <f>I109/F109</f>
        <v>297</v>
      </c>
      <c r="K109" s="96">
        <f>H109/I109</f>
        <v>4</v>
      </c>
      <c r="L109" s="12">
        <f>691567.5+648414.5+518408+71321.5+45526+17480+7409+4406.5+1874+5613.5+4027+1099+82+1188</f>
        <v>2018416.5</v>
      </c>
      <c r="M109" s="13">
        <f>79327+75064+61133+10266+7792+4345+1731+935+303+1204+784+172+12+297</f>
        <v>243365</v>
      </c>
      <c r="N109" s="122">
        <f>+L109/M109</f>
        <v>8.293783000842357</v>
      </c>
      <c r="O109" s="99">
        <v>99</v>
      </c>
    </row>
    <row r="110" spans="1:15" s="90" customFormat="1" ht="12" customHeight="1">
      <c r="A110" s="91">
        <v>100</v>
      </c>
      <c r="B110" s="693" t="s">
        <v>263</v>
      </c>
      <c r="C110" s="667">
        <v>40529</v>
      </c>
      <c r="D110" s="580" t="s">
        <v>31</v>
      </c>
      <c r="E110" s="668">
        <v>147</v>
      </c>
      <c r="F110" s="31">
        <v>1</v>
      </c>
      <c r="G110" s="668">
        <v>15</v>
      </c>
      <c r="H110" s="509">
        <v>713</v>
      </c>
      <c r="I110" s="523">
        <v>178</v>
      </c>
      <c r="J110" s="245">
        <f>I110/F110</f>
        <v>178</v>
      </c>
      <c r="K110" s="318">
        <f>H110/I110</f>
        <v>4.00561797752809</v>
      </c>
      <c r="L110" s="26">
        <f>691567.5+648414.5+518408+71321.5+45526+17480+7409+4406.5+1874+5613.5+4027+1099+82+1188+713</f>
        <v>2019129.5</v>
      </c>
      <c r="M110" s="27">
        <f>79327+75064+61133+10266+7792+4345+1731+935+303+1204+784+172+12+297+178</f>
        <v>243543</v>
      </c>
      <c r="N110" s="429">
        <f>+L110/M110</f>
        <v>8.290648879253355</v>
      </c>
      <c r="O110" s="99">
        <v>100</v>
      </c>
    </row>
    <row r="111" spans="1:15" s="90" customFormat="1" ht="12" customHeight="1">
      <c r="A111" s="91">
        <v>101</v>
      </c>
      <c r="B111" s="710" t="s">
        <v>263</v>
      </c>
      <c r="C111" s="671">
        <v>40529</v>
      </c>
      <c r="D111" s="580" t="s">
        <v>31</v>
      </c>
      <c r="E111" s="33">
        <v>147</v>
      </c>
      <c r="F111" s="33">
        <v>1</v>
      </c>
      <c r="G111" s="33">
        <v>16</v>
      </c>
      <c r="H111" s="339">
        <v>162</v>
      </c>
      <c r="I111" s="340">
        <v>26</v>
      </c>
      <c r="J111" s="97">
        <f>I111/F111</f>
        <v>26</v>
      </c>
      <c r="K111" s="96">
        <f>H111/I111</f>
        <v>6.230769230769231</v>
      </c>
      <c r="L111" s="12">
        <f>691567.5+648414.5+518408+71321.5+45526+17480+7409+4406.5+1874+5613.5+4027+1099+82+1188+713+162</f>
        <v>2019291.5</v>
      </c>
      <c r="M111" s="13">
        <f>79327+75064+61133+10266+7792+4345+1731+935+303+1204+784+172+12+297+178+26</f>
        <v>243569</v>
      </c>
      <c r="N111" s="122">
        <f>+L111/M111</f>
        <v>8.29042899547972</v>
      </c>
      <c r="O111" s="99">
        <v>101</v>
      </c>
    </row>
    <row r="112" spans="1:15" s="90" customFormat="1" ht="12" customHeight="1">
      <c r="A112" s="91">
        <v>102</v>
      </c>
      <c r="B112" s="184" t="s">
        <v>263</v>
      </c>
      <c r="C112" s="185">
        <v>40529</v>
      </c>
      <c r="D112" s="393" t="s">
        <v>135</v>
      </c>
      <c r="E112" s="186">
        <v>147</v>
      </c>
      <c r="F112" s="186">
        <v>1</v>
      </c>
      <c r="G112" s="186">
        <v>13</v>
      </c>
      <c r="H112" s="506">
        <v>82</v>
      </c>
      <c r="I112" s="512">
        <v>12</v>
      </c>
      <c r="J112" s="97">
        <f>I112/F112</f>
        <v>12</v>
      </c>
      <c r="K112" s="96">
        <f>H112/I112</f>
        <v>6.833333333333333</v>
      </c>
      <c r="L112" s="189">
        <f>691567.5+648414.5+518408+71321.5+45526+17480+7409+4406.5+1874+5613.5+4027+1099+82</f>
        <v>2017228.5</v>
      </c>
      <c r="M112" s="190">
        <f>79327+75064+61133+10266+7792+4345+1731+935+303+1204+784+172+12</f>
        <v>243068</v>
      </c>
      <c r="N112" s="122">
        <f>+L112/M112</f>
        <v>8.299029489690128</v>
      </c>
      <c r="O112" s="99">
        <v>102</v>
      </c>
    </row>
    <row r="113" spans="1:15" s="90" customFormat="1" ht="12" customHeight="1">
      <c r="A113" s="91">
        <v>103</v>
      </c>
      <c r="B113" s="177" t="s">
        <v>148</v>
      </c>
      <c r="C113" s="32">
        <v>40529</v>
      </c>
      <c r="D113" s="178" t="s">
        <v>31</v>
      </c>
      <c r="E113" s="33">
        <v>147</v>
      </c>
      <c r="F113" s="33">
        <v>147</v>
      </c>
      <c r="G113" s="33">
        <v>3</v>
      </c>
      <c r="H113" s="509">
        <v>518408</v>
      </c>
      <c r="I113" s="340">
        <v>61133</v>
      </c>
      <c r="J113" s="108">
        <f>(I113/F113)</f>
        <v>415.8707482993197</v>
      </c>
      <c r="K113" s="179">
        <f>H113/I113</f>
        <v>8.480002617244368</v>
      </c>
      <c r="L113" s="26">
        <f>691567.5+648414.5+518408</f>
        <v>1858390</v>
      </c>
      <c r="M113" s="13">
        <f>79327+75064+61133</f>
        <v>215524</v>
      </c>
      <c r="N113" s="176">
        <f>L113/M113</f>
        <v>8.622659193407694</v>
      </c>
      <c r="O113" s="99">
        <v>103</v>
      </c>
    </row>
    <row r="114" spans="1:15" s="90" customFormat="1" ht="12" customHeight="1">
      <c r="A114" s="91">
        <v>104</v>
      </c>
      <c r="B114" s="180" t="s">
        <v>148</v>
      </c>
      <c r="C114" s="32">
        <v>40529</v>
      </c>
      <c r="D114" s="178" t="s">
        <v>31</v>
      </c>
      <c r="E114" s="33">
        <v>147</v>
      </c>
      <c r="F114" s="33">
        <v>70</v>
      </c>
      <c r="G114" s="33">
        <v>4</v>
      </c>
      <c r="H114" s="339">
        <v>71112.5</v>
      </c>
      <c r="I114" s="340">
        <v>10235</v>
      </c>
      <c r="J114" s="108">
        <f>(I114/F114)</f>
        <v>146.21428571428572</v>
      </c>
      <c r="K114" s="174">
        <f>H114/I114</f>
        <v>6.947972642892037</v>
      </c>
      <c r="L114" s="12">
        <f>691567.5+648414.5+518408+71112.5</f>
        <v>1929502.5</v>
      </c>
      <c r="M114" s="13">
        <f>79327+75064+61133+10235</f>
        <v>225759</v>
      </c>
      <c r="N114" s="176">
        <f>L114/M114</f>
        <v>8.546735678311828</v>
      </c>
      <c r="O114" s="99">
        <v>104</v>
      </c>
    </row>
    <row r="115" spans="1:15" s="90" customFormat="1" ht="12" customHeight="1">
      <c r="A115" s="91">
        <v>105</v>
      </c>
      <c r="B115" s="184" t="s">
        <v>148</v>
      </c>
      <c r="C115" s="185">
        <v>40529</v>
      </c>
      <c r="D115" s="178" t="s">
        <v>31</v>
      </c>
      <c r="E115" s="186">
        <v>147</v>
      </c>
      <c r="F115" s="186">
        <v>41</v>
      </c>
      <c r="G115" s="186">
        <v>5</v>
      </c>
      <c r="H115" s="506">
        <v>45526</v>
      </c>
      <c r="I115" s="512">
        <v>7792</v>
      </c>
      <c r="J115" s="187">
        <f>(I115/F115)</f>
        <v>190.0487804878049</v>
      </c>
      <c r="K115" s="188">
        <f>H115/I115</f>
        <v>5.842659137577002</v>
      </c>
      <c r="L115" s="189">
        <f>691567.5+648414.5+518408+71321.5+45526</f>
        <v>1975237.5</v>
      </c>
      <c r="M115" s="190">
        <f>79327+75064+61133+10266+7792</f>
        <v>233582</v>
      </c>
      <c r="N115" s="191">
        <f>L115/M115</f>
        <v>8.456291580686868</v>
      </c>
      <c r="O115" s="99">
        <v>105</v>
      </c>
    </row>
    <row r="116" spans="1:15" s="90" customFormat="1" ht="12" customHeight="1">
      <c r="A116" s="91">
        <v>106</v>
      </c>
      <c r="B116" s="177" t="s">
        <v>148</v>
      </c>
      <c r="C116" s="32">
        <v>40529</v>
      </c>
      <c r="D116" s="178" t="s">
        <v>31</v>
      </c>
      <c r="E116" s="33">
        <v>147</v>
      </c>
      <c r="F116" s="33">
        <v>18</v>
      </c>
      <c r="G116" s="33">
        <v>6</v>
      </c>
      <c r="H116" s="339">
        <v>17480</v>
      </c>
      <c r="I116" s="340">
        <v>4345</v>
      </c>
      <c r="J116" s="108">
        <f>(I116/F116)</f>
        <v>241.38888888888889</v>
      </c>
      <c r="K116" s="174">
        <f>H116/I116</f>
        <v>4.02301495972382</v>
      </c>
      <c r="L116" s="12">
        <f>691567.5+648414.5+518408+71321.5+45526+17480</f>
        <v>1992717.5</v>
      </c>
      <c r="M116" s="13">
        <f>79327+75064+61133+10266+7792+4345</f>
        <v>237927</v>
      </c>
      <c r="N116" s="176">
        <f>L116/M116</f>
        <v>8.375331509244432</v>
      </c>
      <c r="O116" s="99">
        <v>106</v>
      </c>
    </row>
    <row r="117" spans="1:15" s="90" customFormat="1" ht="12" customHeight="1">
      <c r="A117" s="91">
        <v>107</v>
      </c>
      <c r="B117" s="180" t="s">
        <v>148</v>
      </c>
      <c r="C117" s="32">
        <v>40529</v>
      </c>
      <c r="D117" s="178" t="s">
        <v>31</v>
      </c>
      <c r="E117" s="33">
        <v>147</v>
      </c>
      <c r="F117" s="33">
        <v>7</v>
      </c>
      <c r="G117" s="33">
        <v>7</v>
      </c>
      <c r="H117" s="339">
        <v>7409</v>
      </c>
      <c r="I117" s="340">
        <v>1731</v>
      </c>
      <c r="J117" s="108">
        <f>(I117/F117)</f>
        <v>247.28571428571428</v>
      </c>
      <c r="K117" s="174">
        <f>H117/I117</f>
        <v>4.280184864240323</v>
      </c>
      <c r="L117" s="12">
        <f>691567.5+648414.5+518408+71321.5+45526+17480+7409</f>
        <v>2000126.5</v>
      </c>
      <c r="M117" s="13">
        <f>79327+75064+61133+10266+7792+4345+1731</f>
        <v>239658</v>
      </c>
      <c r="N117" s="176">
        <f>L117/M117</f>
        <v>8.345753114855336</v>
      </c>
      <c r="O117" s="99">
        <v>107</v>
      </c>
    </row>
    <row r="118" spans="1:15" s="90" customFormat="1" ht="12" customHeight="1">
      <c r="A118" s="91">
        <v>108</v>
      </c>
      <c r="B118" s="192" t="s">
        <v>148</v>
      </c>
      <c r="C118" s="32">
        <v>40529</v>
      </c>
      <c r="D118" s="178" t="s">
        <v>31</v>
      </c>
      <c r="E118" s="181">
        <v>147</v>
      </c>
      <c r="F118" s="181">
        <v>7</v>
      </c>
      <c r="G118" s="181">
        <v>10</v>
      </c>
      <c r="H118" s="339">
        <v>5445.5</v>
      </c>
      <c r="I118" s="340">
        <v>1176</v>
      </c>
      <c r="J118" s="108">
        <f>(I118/F118)</f>
        <v>168</v>
      </c>
      <c r="K118" s="174">
        <f>H118/I118</f>
        <v>4.630527210884353</v>
      </c>
      <c r="L118" s="12">
        <f>691567.5+648414.5+518408+71321.5+45526+17480+7409+4406.5+1874+5445.5</f>
        <v>2011852.5</v>
      </c>
      <c r="M118" s="13">
        <f>79327+75064+61133+10266+7792+4345+1731+935+303+1176</f>
        <v>242072</v>
      </c>
      <c r="N118" s="176">
        <f>L118/M118</f>
        <v>8.310967398129483</v>
      </c>
      <c r="O118" s="99">
        <v>108</v>
      </c>
    </row>
    <row r="119" spans="1:15" s="90" customFormat="1" ht="12" customHeight="1">
      <c r="A119" s="91">
        <v>109</v>
      </c>
      <c r="B119" s="192" t="s">
        <v>148</v>
      </c>
      <c r="C119" s="32">
        <v>40529</v>
      </c>
      <c r="D119" s="178" t="s">
        <v>31</v>
      </c>
      <c r="E119" s="181">
        <v>147</v>
      </c>
      <c r="F119" s="181">
        <v>4</v>
      </c>
      <c r="G119" s="181">
        <v>8</v>
      </c>
      <c r="H119" s="339">
        <v>4406.5</v>
      </c>
      <c r="I119" s="340">
        <v>935</v>
      </c>
      <c r="J119" s="108">
        <f>(I119/F119)</f>
        <v>233.75</v>
      </c>
      <c r="K119" s="174">
        <f>H119/I119</f>
        <v>4.7128342245989305</v>
      </c>
      <c r="L119" s="12">
        <f>691567.5+648414.5+518408+71321.5+45526+17480+7409+4406.5</f>
        <v>2004533</v>
      </c>
      <c r="M119" s="13">
        <f>79327+75064+61133+10266+7792+4345+1731+935</f>
        <v>240593</v>
      </c>
      <c r="N119" s="176">
        <f>L119/M119</f>
        <v>8.331634752465783</v>
      </c>
      <c r="O119" s="99">
        <v>109</v>
      </c>
    </row>
    <row r="120" spans="1:15" s="90" customFormat="1" ht="12" customHeight="1">
      <c r="A120" s="91">
        <v>110</v>
      </c>
      <c r="B120" s="192" t="s">
        <v>148</v>
      </c>
      <c r="C120" s="32">
        <v>40529</v>
      </c>
      <c r="D120" s="178" t="s">
        <v>31</v>
      </c>
      <c r="E120" s="181">
        <v>147</v>
      </c>
      <c r="F120" s="181">
        <v>5</v>
      </c>
      <c r="G120" s="181">
        <v>11</v>
      </c>
      <c r="H120" s="509">
        <v>4027</v>
      </c>
      <c r="I120" s="523">
        <v>784</v>
      </c>
      <c r="J120" s="182">
        <f>(I120/F120)</f>
        <v>156.8</v>
      </c>
      <c r="K120" s="179">
        <f>H120/I120</f>
        <v>5.136479591836735</v>
      </c>
      <c r="L120" s="26">
        <f>691567.5+648414.5+518408+71321.5+45526+17480+7409+4406.5+1874+5613.5+4027</f>
        <v>2016047.5</v>
      </c>
      <c r="M120" s="27">
        <f>79327+75064+61133+10266+7792+4345+1731+935+303+1204+784</f>
        <v>242884</v>
      </c>
      <c r="N120" s="176">
        <f>L120/M120</f>
        <v>8.300454126249567</v>
      </c>
      <c r="O120" s="99">
        <v>110</v>
      </c>
    </row>
    <row r="121" spans="1:15" s="90" customFormat="1" ht="12" customHeight="1">
      <c r="A121" s="91">
        <v>111</v>
      </c>
      <c r="B121" s="184" t="s">
        <v>148</v>
      </c>
      <c r="C121" s="185">
        <v>40529</v>
      </c>
      <c r="D121" s="178" t="s">
        <v>31</v>
      </c>
      <c r="E121" s="186">
        <v>147</v>
      </c>
      <c r="F121" s="186">
        <v>2</v>
      </c>
      <c r="G121" s="186">
        <v>9</v>
      </c>
      <c r="H121" s="506">
        <v>1874</v>
      </c>
      <c r="I121" s="512">
        <v>303</v>
      </c>
      <c r="J121" s="187">
        <f>(I121/F121)</f>
        <v>151.5</v>
      </c>
      <c r="K121" s="188">
        <f>H121/I121</f>
        <v>6.184818481848184</v>
      </c>
      <c r="L121" s="189">
        <f>691567.5+648414.5+518408+71321.5+45526+17480+7409+4406.5+1874</f>
        <v>2006407</v>
      </c>
      <c r="M121" s="190">
        <f>79327+75064+61133+10266+7792+4345+1731+935+303</f>
        <v>240896</v>
      </c>
      <c r="N121" s="191">
        <f>L121/M121</f>
        <v>8.328934477948991</v>
      </c>
      <c r="O121" s="99">
        <v>111</v>
      </c>
    </row>
    <row r="122" spans="1:15" s="90" customFormat="1" ht="12" customHeight="1">
      <c r="A122" s="91">
        <v>112</v>
      </c>
      <c r="B122" s="180" t="s">
        <v>148</v>
      </c>
      <c r="C122" s="32">
        <v>40529</v>
      </c>
      <c r="D122" s="30" t="s">
        <v>31</v>
      </c>
      <c r="E122" s="33">
        <v>147</v>
      </c>
      <c r="F122" s="33">
        <v>3</v>
      </c>
      <c r="G122" s="33">
        <v>12</v>
      </c>
      <c r="H122" s="339">
        <v>1099</v>
      </c>
      <c r="I122" s="340">
        <v>172</v>
      </c>
      <c r="J122" s="108">
        <f>(I122/F122)</f>
        <v>57.333333333333336</v>
      </c>
      <c r="K122" s="174">
        <f>H122/I122</f>
        <v>6.3895348837209305</v>
      </c>
      <c r="L122" s="12">
        <f>691567.5+648414.5+518408+71321.5+45526+17480+7409+4406.5+1874+5613.5+4027+1099</f>
        <v>2017146.5</v>
      </c>
      <c r="M122" s="13">
        <f>79327+75064+61133+10266+7792+4345+1731+935+303+1204+784+172</f>
        <v>243056</v>
      </c>
      <c r="N122" s="176">
        <f>L122/M122</f>
        <v>8.299101853070898</v>
      </c>
      <c r="O122" s="99">
        <v>112</v>
      </c>
    </row>
    <row r="123" spans="1:15" s="90" customFormat="1" ht="12" customHeight="1">
      <c r="A123" s="91">
        <v>113</v>
      </c>
      <c r="B123" s="205" t="s">
        <v>456</v>
      </c>
      <c r="C123" s="720">
        <v>40466</v>
      </c>
      <c r="D123" s="588" t="s">
        <v>28</v>
      </c>
      <c r="E123" s="24">
        <v>22</v>
      </c>
      <c r="F123" s="882">
        <v>1</v>
      </c>
      <c r="G123" s="882">
        <v>16</v>
      </c>
      <c r="H123" s="555">
        <v>3603</v>
      </c>
      <c r="I123" s="703">
        <v>720</v>
      </c>
      <c r="J123" s="245">
        <f>I123/F123</f>
        <v>720</v>
      </c>
      <c r="K123" s="221">
        <f>H123/I123</f>
        <v>5.004166666666666</v>
      </c>
      <c r="L123" s="557">
        <f>75899.5+52129.5+37227.5+14454+10905+6815+10220.5+4115+4193+1577.5+113+940+2002+820.5+11882+1358+3603</f>
        <v>238255</v>
      </c>
      <c r="M123" s="449">
        <f>7028+5164+3832+1471+1190+1095+1727+519+460+216+17+109+232+274+1318+127+720</f>
        <v>25499</v>
      </c>
      <c r="N123" s="944">
        <f>+L123/M123</f>
        <v>9.343699752931487</v>
      </c>
      <c r="O123" s="99">
        <v>113</v>
      </c>
    </row>
    <row r="124" spans="1:15" s="90" customFormat="1" ht="12" customHeight="1">
      <c r="A124" s="91">
        <v>114</v>
      </c>
      <c r="B124" s="230" t="s">
        <v>149</v>
      </c>
      <c r="C124" s="231">
        <v>40466</v>
      </c>
      <c r="D124" s="232" t="s">
        <v>28</v>
      </c>
      <c r="E124" s="233">
        <v>22</v>
      </c>
      <c r="F124" s="233">
        <v>19</v>
      </c>
      <c r="G124" s="233">
        <v>14</v>
      </c>
      <c r="H124" s="524">
        <v>11882</v>
      </c>
      <c r="I124" s="525">
        <v>1318</v>
      </c>
      <c r="J124" s="105">
        <v>69.36842105263158</v>
      </c>
      <c r="K124" s="183">
        <v>9.015174506828528</v>
      </c>
      <c r="L124" s="234">
        <v>233294</v>
      </c>
      <c r="M124" s="235">
        <v>24652</v>
      </c>
      <c r="N124" s="228">
        <v>9.463491805938666</v>
      </c>
      <c r="O124" s="99">
        <v>114</v>
      </c>
    </row>
    <row r="125" spans="1:15" s="90" customFormat="1" ht="12" customHeight="1">
      <c r="A125" s="91">
        <v>115</v>
      </c>
      <c r="B125" s="177" t="s">
        <v>149</v>
      </c>
      <c r="C125" s="32">
        <v>40466</v>
      </c>
      <c r="D125" s="31" t="s">
        <v>28</v>
      </c>
      <c r="E125" s="33">
        <v>22</v>
      </c>
      <c r="F125" s="33">
        <v>1</v>
      </c>
      <c r="G125" s="33">
        <v>12</v>
      </c>
      <c r="H125" s="526">
        <v>2002</v>
      </c>
      <c r="I125" s="500">
        <v>232</v>
      </c>
      <c r="J125" s="97">
        <f>IF(H125&lt;&gt;0,I125/F125,"")</f>
        <v>232</v>
      </c>
      <c r="K125" s="221">
        <f>IF(H125&lt;&gt;0,H125/I125,"")</f>
        <v>8.629310344827585</v>
      </c>
      <c r="L125" s="28">
        <f>75899.5+52129.5+37227.5+14454+10905+6815+10220.5+4115+4193+1577.5+113+940+2002</f>
        <v>220591.5</v>
      </c>
      <c r="M125" s="38">
        <f>7028+5164+3832+1471+1190+1095+1727+519+460+216+17+109+232</f>
        <v>23060</v>
      </c>
      <c r="N125" s="210">
        <f>IF(L125&lt;&gt;0,L125/M125,"")</f>
        <v>9.565980052038162</v>
      </c>
      <c r="O125" s="99">
        <v>115</v>
      </c>
    </row>
    <row r="126" spans="1:15" s="90" customFormat="1" ht="12" customHeight="1">
      <c r="A126" s="91">
        <v>116</v>
      </c>
      <c r="B126" s="180" t="s">
        <v>149</v>
      </c>
      <c r="C126" s="32">
        <v>40466</v>
      </c>
      <c r="D126" s="30" t="s">
        <v>28</v>
      </c>
      <c r="E126" s="33">
        <v>22</v>
      </c>
      <c r="F126" s="33">
        <v>3</v>
      </c>
      <c r="G126" s="33">
        <v>15</v>
      </c>
      <c r="H126" s="499">
        <v>1358</v>
      </c>
      <c r="I126" s="500">
        <v>127</v>
      </c>
      <c r="J126" s="38">
        <f>I126/F126</f>
        <v>42.333333333333336</v>
      </c>
      <c r="K126" s="236">
        <f>H126/I126</f>
        <v>10.692913385826772</v>
      </c>
      <c r="L126" s="36">
        <f>75899.5+52129.5+37227.5+14454+10905+6815+10220.5+4115+4193+1577.5+113+940+2002+820.5+11882+1358</f>
        <v>234652</v>
      </c>
      <c r="M126" s="38">
        <f>7028+5164+3832+1471+1190+1095+1727+519+460+216+17+109+232+274+1318+127</f>
        <v>24779</v>
      </c>
      <c r="N126" s="237">
        <f>L126/M126</f>
        <v>9.469792969853504</v>
      </c>
      <c r="O126" s="99">
        <v>116</v>
      </c>
    </row>
    <row r="127" spans="1:15" s="90" customFormat="1" ht="12" customHeight="1">
      <c r="A127" s="91">
        <v>117</v>
      </c>
      <c r="B127" s="180" t="s">
        <v>149</v>
      </c>
      <c r="C127" s="32">
        <v>40466</v>
      </c>
      <c r="D127" s="31" t="s">
        <v>28</v>
      </c>
      <c r="E127" s="33">
        <v>22</v>
      </c>
      <c r="F127" s="33">
        <v>1</v>
      </c>
      <c r="G127" s="33">
        <v>13</v>
      </c>
      <c r="H127" s="499">
        <v>820.5</v>
      </c>
      <c r="I127" s="500">
        <v>274</v>
      </c>
      <c r="J127" s="38">
        <f>I127/F127</f>
        <v>274</v>
      </c>
      <c r="K127" s="236">
        <f>H127/I127</f>
        <v>2.9945255474452557</v>
      </c>
      <c r="L127" s="36">
        <f>75899.5+52129.5+37227.5+14454+10905+6815+10220.5+4115+4193+1577.5+113+940+2002+820.5</f>
        <v>221412</v>
      </c>
      <c r="M127" s="38">
        <f>7028+5164+3832+1471+1190+1095+1727+519+460+216+17+109+232+274</f>
        <v>23334</v>
      </c>
      <c r="N127" s="237">
        <f>L127/M127</f>
        <v>9.48881460529699</v>
      </c>
      <c r="O127" s="99">
        <v>117</v>
      </c>
    </row>
    <row r="128" spans="1:15" s="90" customFormat="1" ht="12" customHeight="1">
      <c r="A128" s="91">
        <v>118</v>
      </c>
      <c r="B128" s="282" t="s">
        <v>355</v>
      </c>
      <c r="C128" s="113">
        <v>40263</v>
      </c>
      <c r="D128" s="114" t="s">
        <v>21</v>
      </c>
      <c r="E128" s="3">
        <v>286</v>
      </c>
      <c r="F128" s="3">
        <v>1</v>
      </c>
      <c r="G128" s="3">
        <v>25</v>
      </c>
      <c r="H128" s="497">
        <v>2376</v>
      </c>
      <c r="I128" s="498">
        <v>396</v>
      </c>
      <c r="J128" s="97">
        <f>I128/F128</f>
        <v>396</v>
      </c>
      <c r="K128" s="96">
        <f>H128/I128</f>
        <v>6</v>
      </c>
      <c r="L128" s="35">
        <f>9497151+1588+2376</f>
        <v>9501115</v>
      </c>
      <c r="M128" s="38">
        <f>1141258+190+396</f>
        <v>1141844</v>
      </c>
      <c r="N128" s="122">
        <f>+L128/M128</f>
        <v>8.320852060351502</v>
      </c>
      <c r="O128" s="99">
        <v>118</v>
      </c>
    </row>
    <row r="129" spans="1:15" s="90" customFormat="1" ht="12" customHeight="1">
      <c r="A129" s="91">
        <v>119</v>
      </c>
      <c r="B129" s="205" t="s">
        <v>150</v>
      </c>
      <c r="C129" s="2">
        <v>40501</v>
      </c>
      <c r="D129" s="20" t="s">
        <v>139</v>
      </c>
      <c r="E129" s="5">
        <v>261</v>
      </c>
      <c r="F129" s="5">
        <v>1</v>
      </c>
      <c r="G129" s="5">
        <v>65</v>
      </c>
      <c r="H129" s="522">
        <v>723.6</v>
      </c>
      <c r="I129" s="521">
        <v>200</v>
      </c>
      <c r="J129" s="224">
        <f>I129/F129</f>
        <v>200</v>
      </c>
      <c r="K129" s="238">
        <f>H129/I129</f>
        <v>3.6180000000000003</v>
      </c>
      <c r="L129" s="10">
        <v>5323397</v>
      </c>
      <c r="M129" s="11">
        <v>861323</v>
      </c>
      <c r="N129" s="228">
        <f>+L129/M129</f>
        <v>6.180488620413016</v>
      </c>
      <c r="O129" s="99">
        <v>119</v>
      </c>
    </row>
    <row r="130" spans="1:15" s="90" customFormat="1" ht="12" customHeight="1">
      <c r="A130" s="91">
        <v>120</v>
      </c>
      <c r="B130" s="214" t="s">
        <v>278</v>
      </c>
      <c r="C130" s="631">
        <v>40424</v>
      </c>
      <c r="D130" s="580" t="s">
        <v>23</v>
      </c>
      <c r="E130" s="31">
        <v>107</v>
      </c>
      <c r="F130" s="31">
        <v>1</v>
      </c>
      <c r="G130" s="31">
        <v>51</v>
      </c>
      <c r="H130" s="526">
        <v>1204</v>
      </c>
      <c r="I130" s="532">
        <v>350</v>
      </c>
      <c r="J130" s="245">
        <f>I130/F130</f>
        <v>350</v>
      </c>
      <c r="K130" s="318">
        <f>H130/I130</f>
        <v>3.44</v>
      </c>
      <c r="L130" s="28">
        <v>2171165</v>
      </c>
      <c r="M130" s="449">
        <v>197141</v>
      </c>
      <c r="N130" s="429">
        <f>+L130/M130</f>
        <v>11.013259545198615</v>
      </c>
      <c r="O130" s="99">
        <v>120</v>
      </c>
    </row>
    <row r="131" spans="1:15" s="90" customFormat="1" ht="12" customHeight="1">
      <c r="A131" s="91">
        <v>121</v>
      </c>
      <c r="B131" s="404" t="s">
        <v>278</v>
      </c>
      <c r="C131" s="407">
        <v>40424</v>
      </c>
      <c r="D131" s="408" t="s">
        <v>23</v>
      </c>
      <c r="E131" s="240">
        <v>107</v>
      </c>
      <c r="F131" s="240">
        <v>1</v>
      </c>
      <c r="G131" s="240">
        <v>20</v>
      </c>
      <c r="H131" s="380">
        <v>1204</v>
      </c>
      <c r="I131" s="381">
        <v>350</v>
      </c>
      <c r="J131" s="241">
        <f>I131/F131</f>
        <v>350</v>
      </c>
      <c r="K131" s="409">
        <f>+H131/I131</f>
        <v>3.44</v>
      </c>
      <c r="L131" s="242">
        <v>2167551</v>
      </c>
      <c r="M131" s="216">
        <v>196093</v>
      </c>
      <c r="N131" s="410">
        <f>+L131/M131</f>
        <v>11.053688810921349</v>
      </c>
      <c r="O131" s="99">
        <v>121</v>
      </c>
    </row>
    <row r="132" spans="1:15" s="90" customFormat="1" ht="12" customHeight="1">
      <c r="A132" s="91">
        <v>122</v>
      </c>
      <c r="B132" s="171" t="s">
        <v>278</v>
      </c>
      <c r="C132" s="32">
        <v>40424</v>
      </c>
      <c r="D132" s="239" t="s">
        <v>23</v>
      </c>
      <c r="E132" s="33">
        <v>107</v>
      </c>
      <c r="F132" s="33">
        <v>1</v>
      </c>
      <c r="G132" s="33">
        <v>19</v>
      </c>
      <c r="H132" s="499">
        <v>1204</v>
      </c>
      <c r="I132" s="500">
        <v>350</v>
      </c>
      <c r="J132" s="38">
        <f>I132/F132</f>
        <v>350</v>
      </c>
      <c r="K132" s="236">
        <f>+H132/I132</f>
        <v>3.44</v>
      </c>
      <c r="L132" s="36">
        <v>2166347</v>
      </c>
      <c r="M132" s="39">
        <v>195743</v>
      </c>
      <c r="N132" s="237">
        <f>+L132/M132</f>
        <v>11.067302534445677</v>
      </c>
      <c r="O132" s="99">
        <v>122</v>
      </c>
    </row>
    <row r="133" spans="1:15" s="90" customFormat="1" ht="12" customHeight="1">
      <c r="A133" s="91">
        <v>123</v>
      </c>
      <c r="B133" s="411" t="s">
        <v>279</v>
      </c>
      <c r="C133" s="412">
        <v>40396</v>
      </c>
      <c r="D133" s="178" t="s">
        <v>31</v>
      </c>
      <c r="E133" s="413">
        <v>4</v>
      </c>
      <c r="F133" s="413">
        <v>2</v>
      </c>
      <c r="G133" s="413">
        <v>22</v>
      </c>
      <c r="H133" s="339">
        <v>1323</v>
      </c>
      <c r="I133" s="340">
        <v>206</v>
      </c>
      <c r="J133" s="108">
        <f>(I133/F133)</f>
        <v>103</v>
      </c>
      <c r="K133" s="174">
        <f>H133/I133</f>
        <v>6.422330097087379</v>
      </c>
      <c r="L133" s="12">
        <f>14959+9646+7725+4386+3960+14571+6049+4818+2605+3811+4797+6372+2996+165+950.5+1598.5+276+381+768+800+1224+1323</f>
        <v>94181</v>
      </c>
      <c r="M133" s="13">
        <f>1646+1123+1125+547+522+2218+896+595+438+656+743+1047+452+23+148+219+42+85+83+91+196+206</f>
        <v>13101</v>
      </c>
      <c r="N133" s="176">
        <f>L133/M133</f>
        <v>7.188840546523166</v>
      </c>
      <c r="O133" s="99">
        <v>123</v>
      </c>
    </row>
    <row r="134" spans="1:15" s="90" customFormat="1" ht="12" customHeight="1">
      <c r="A134" s="91">
        <v>124</v>
      </c>
      <c r="B134" s="414" t="s">
        <v>279</v>
      </c>
      <c r="C134" s="415">
        <v>40396</v>
      </c>
      <c r="D134" s="178" t="s">
        <v>31</v>
      </c>
      <c r="E134" s="416">
        <v>4</v>
      </c>
      <c r="F134" s="416">
        <v>1</v>
      </c>
      <c r="G134" s="416">
        <v>21</v>
      </c>
      <c r="H134" s="506">
        <v>1224</v>
      </c>
      <c r="I134" s="512">
        <v>196</v>
      </c>
      <c r="J134" s="187">
        <f>(I134/F134)</f>
        <v>196</v>
      </c>
      <c r="K134" s="188">
        <f>H134/I134</f>
        <v>6.244897959183674</v>
      </c>
      <c r="L134" s="189">
        <f>14959+9646+7725+4386+3960+14571+6049+4818+2605+3811+4797+6372+2996+165+950.5+1598.5+276+381+768+800+1224</f>
        <v>92858</v>
      </c>
      <c r="M134" s="190">
        <f>1646+1123+1125+547+522+2218+896+595+438+656+743+1047+452+23+148+219+42+85+83+91+196</f>
        <v>12895</v>
      </c>
      <c r="N134" s="191">
        <f>L134/M134</f>
        <v>7.201085692128732</v>
      </c>
      <c r="O134" s="99">
        <v>124</v>
      </c>
    </row>
    <row r="135" spans="1:15" s="90" customFormat="1" ht="12" customHeight="1">
      <c r="A135" s="91">
        <v>125</v>
      </c>
      <c r="B135" s="417" t="s">
        <v>279</v>
      </c>
      <c r="C135" s="412">
        <v>40396</v>
      </c>
      <c r="D135" s="30" t="s">
        <v>31</v>
      </c>
      <c r="E135" s="418">
        <v>4</v>
      </c>
      <c r="F135" s="418">
        <v>1</v>
      </c>
      <c r="G135" s="418">
        <v>24</v>
      </c>
      <c r="H135" s="339">
        <v>915</v>
      </c>
      <c r="I135" s="340">
        <v>126</v>
      </c>
      <c r="J135" s="108">
        <f>(I135/F135)</f>
        <v>126</v>
      </c>
      <c r="K135" s="174">
        <f>H135/I135</f>
        <v>7.261904761904762</v>
      </c>
      <c r="L135" s="12">
        <f>14959+9646+7725+4386+3960+14571+6049+4818+2605+3811+4797+6372+2996+165+950.5+1598.5+276+381+768+800+1224+1323+280+915</f>
        <v>95376</v>
      </c>
      <c r="M135" s="13">
        <f>1646+1123+1125+547+522+2218+896+595+438+656+743+1047+452+23+148+219+42+85+83+91+196+206+40+126</f>
        <v>13267</v>
      </c>
      <c r="N135" s="176">
        <f>L135/M135</f>
        <v>7.188965101379362</v>
      </c>
      <c r="O135" s="99">
        <v>125</v>
      </c>
    </row>
    <row r="136" spans="1:15" s="90" customFormat="1" ht="12" customHeight="1">
      <c r="A136" s="91">
        <v>126</v>
      </c>
      <c r="B136" s="419" t="s">
        <v>279</v>
      </c>
      <c r="C136" s="412">
        <v>40396</v>
      </c>
      <c r="D136" s="178" t="s">
        <v>31</v>
      </c>
      <c r="E136" s="418">
        <v>4</v>
      </c>
      <c r="F136" s="418">
        <v>1</v>
      </c>
      <c r="G136" s="418">
        <v>20</v>
      </c>
      <c r="H136" s="339">
        <v>800</v>
      </c>
      <c r="I136" s="340">
        <v>91</v>
      </c>
      <c r="J136" s="108">
        <f>(I136/F136)</f>
        <v>91</v>
      </c>
      <c r="K136" s="174">
        <f>H136/I136</f>
        <v>8.791208791208792</v>
      </c>
      <c r="L136" s="12">
        <f>14959+9646+7725+4386+3960+14571+6049+4818+2605+3811+4797+6372+2996+165+950.5+1598.5+276+381+768+800</f>
        <v>91634</v>
      </c>
      <c r="M136" s="13">
        <f>1646+1123+1125+547+522+2218+896+595+438+656+743+1047+452+23+148+219+42+85+83+91</f>
        <v>12699</v>
      </c>
      <c r="N136" s="176">
        <f>L136/M136</f>
        <v>7.215843767225766</v>
      </c>
      <c r="O136" s="99">
        <v>126</v>
      </c>
    </row>
    <row r="137" spans="1:15" s="90" customFormat="1" ht="12" customHeight="1">
      <c r="A137" s="91">
        <v>127</v>
      </c>
      <c r="B137" s="414" t="s">
        <v>279</v>
      </c>
      <c r="C137" s="415">
        <v>40396</v>
      </c>
      <c r="D137" s="178" t="s">
        <v>31</v>
      </c>
      <c r="E137" s="416">
        <v>4</v>
      </c>
      <c r="F137" s="416">
        <v>1</v>
      </c>
      <c r="G137" s="416">
        <v>19</v>
      </c>
      <c r="H137" s="506">
        <v>768</v>
      </c>
      <c r="I137" s="512">
        <v>83</v>
      </c>
      <c r="J137" s="187">
        <f>(I137/F137)</f>
        <v>83</v>
      </c>
      <c r="K137" s="188">
        <f>H137/I137</f>
        <v>9.25301204819277</v>
      </c>
      <c r="L137" s="189">
        <f>14959+9646+7725+4386+3960+14571+6049+4818+2605+3811+4797+6372+2996+165+950.5+1598.5+276+381+768</f>
        <v>90834</v>
      </c>
      <c r="M137" s="190">
        <f>1646+1123+1125+547+522+2218+896+595+438+656+743+1047+452+23+148+219+42+85+83</f>
        <v>12608</v>
      </c>
      <c r="N137" s="191">
        <f>L137/M137</f>
        <v>7.204473350253807</v>
      </c>
      <c r="O137" s="99">
        <v>127</v>
      </c>
    </row>
    <row r="138" spans="1:15" s="90" customFormat="1" ht="12" customHeight="1">
      <c r="A138" s="91">
        <v>128</v>
      </c>
      <c r="B138" s="417" t="s">
        <v>279</v>
      </c>
      <c r="C138" s="412">
        <v>40396</v>
      </c>
      <c r="D138" s="30" t="s">
        <v>31</v>
      </c>
      <c r="E138" s="418">
        <v>4</v>
      </c>
      <c r="F138" s="418">
        <v>1</v>
      </c>
      <c r="G138" s="418">
        <v>25</v>
      </c>
      <c r="H138" s="339">
        <v>691</v>
      </c>
      <c r="I138" s="340">
        <v>100</v>
      </c>
      <c r="J138" s="108">
        <f>(I138/F138)</f>
        <v>100</v>
      </c>
      <c r="K138" s="174">
        <f>H138/I138</f>
        <v>6.91</v>
      </c>
      <c r="L138" s="12">
        <f>14959+9646+7725+4386+3960+14571+6049+4818+2605+3811+4797+6372+2996+165+950.5+1598.5+276+381+768+800+1224+1323+280+915+691</f>
        <v>96067</v>
      </c>
      <c r="M138" s="13">
        <f>1646+1123+1125+547+522+2218+896+595+438+656+743+1047+452+23+148+219+42+85+83+91+196+206+40+126+100</f>
        <v>13367</v>
      </c>
      <c r="N138" s="176">
        <f>L138/M138</f>
        <v>7.186878132714895</v>
      </c>
      <c r="O138" s="99">
        <v>128</v>
      </c>
    </row>
    <row r="139" spans="1:15" s="90" customFormat="1" ht="12" customHeight="1">
      <c r="A139" s="91">
        <v>129</v>
      </c>
      <c r="B139" s="411" t="s">
        <v>279</v>
      </c>
      <c r="C139" s="412">
        <v>40396</v>
      </c>
      <c r="D139" s="178" t="s">
        <v>31</v>
      </c>
      <c r="E139" s="413">
        <v>4</v>
      </c>
      <c r="F139" s="413">
        <v>1</v>
      </c>
      <c r="G139" s="413">
        <v>23</v>
      </c>
      <c r="H139" s="509">
        <v>280</v>
      </c>
      <c r="I139" s="523">
        <v>40</v>
      </c>
      <c r="J139" s="182">
        <f>(I139/F139)</f>
        <v>40</v>
      </c>
      <c r="K139" s="179">
        <f>H139/I139</f>
        <v>7</v>
      </c>
      <c r="L139" s="26">
        <f>14959+9646+7725+4386+3960+14571+6049+4818+2605+3811+4797+6372+2996+165+950.5+1598.5+276+381+768+800+1224+1323+280</f>
        <v>94461</v>
      </c>
      <c r="M139" s="27">
        <f>1646+1123+1125+547+522+2218+896+595+438+656+743+1047+452+23+148+219+42+85+83+91+196+206+40</f>
        <v>13141</v>
      </c>
      <c r="N139" s="176">
        <f>L139/M139</f>
        <v>7.188265733201431</v>
      </c>
      <c r="O139" s="99">
        <v>129</v>
      </c>
    </row>
    <row r="140" spans="1:15" s="90" customFormat="1" ht="12" customHeight="1">
      <c r="A140" s="91">
        <v>130</v>
      </c>
      <c r="B140" s="192" t="s">
        <v>280</v>
      </c>
      <c r="C140" s="32">
        <v>40430</v>
      </c>
      <c r="D140" s="178" t="s">
        <v>31</v>
      </c>
      <c r="E140" s="181">
        <v>57</v>
      </c>
      <c r="F140" s="181">
        <v>2</v>
      </c>
      <c r="G140" s="181">
        <v>17</v>
      </c>
      <c r="H140" s="339">
        <v>4752</v>
      </c>
      <c r="I140" s="340">
        <v>1188</v>
      </c>
      <c r="J140" s="108">
        <f>(I140/F140)</f>
        <v>594</v>
      </c>
      <c r="K140" s="174">
        <f>H140/I140</f>
        <v>4</v>
      </c>
      <c r="L140" s="12">
        <f>15818.5+150711.5+75138.5+33591.5+30249.5+17415.5+8294.5+10566+6016+6121.5+888.5+2484+322+4243.5+950.5+1782+1782+4752</f>
        <v>371127.5</v>
      </c>
      <c r="M140" s="13">
        <f>1512+15643+7345+4634+4073+2646+1136+2027+1109+1483+117+572+47+1041+237+445+446+1188</f>
        <v>45701</v>
      </c>
      <c r="N140" s="176">
        <f>L140/M140</f>
        <v>8.120774162490974</v>
      </c>
      <c r="O140" s="99">
        <v>130</v>
      </c>
    </row>
    <row r="141" spans="1:15" s="90" customFormat="1" ht="12" customHeight="1">
      <c r="A141" s="91">
        <v>131</v>
      </c>
      <c r="B141" s="180" t="s">
        <v>280</v>
      </c>
      <c r="C141" s="32">
        <v>40430</v>
      </c>
      <c r="D141" s="178" t="s">
        <v>31</v>
      </c>
      <c r="E141" s="33">
        <v>57</v>
      </c>
      <c r="F141" s="33">
        <v>1</v>
      </c>
      <c r="G141" s="33">
        <v>16</v>
      </c>
      <c r="H141" s="339">
        <v>1782</v>
      </c>
      <c r="I141" s="340">
        <v>446</v>
      </c>
      <c r="J141" s="108">
        <f>(I141/F141)</f>
        <v>446</v>
      </c>
      <c r="K141" s="174">
        <f>H141/I141</f>
        <v>3.995515695067265</v>
      </c>
      <c r="L141" s="12">
        <f>15818.5+150711.5+75138.5+33591.5+30249.5+17415.5+8294.5+10566+6016+6121.5+888.5+2484+322+4243.5+950.5+1782+1782</f>
        <v>366375.5</v>
      </c>
      <c r="M141" s="13">
        <f>1512+15643+7345+4634+4073+2646+1136+2027+1109+1483+117+572+47+1041+237+445+446</f>
        <v>44513</v>
      </c>
      <c r="N141" s="176">
        <f>L141/M141</f>
        <v>8.230752813784736</v>
      </c>
      <c r="O141" s="99">
        <v>131</v>
      </c>
    </row>
    <row r="142" spans="1:15" s="90" customFormat="1" ht="12" customHeight="1">
      <c r="A142" s="91">
        <v>132</v>
      </c>
      <c r="B142" s="180" t="s">
        <v>280</v>
      </c>
      <c r="C142" s="32">
        <v>40430</v>
      </c>
      <c r="D142" s="178" t="s">
        <v>31</v>
      </c>
      <c r="E142" s="33">
        <v>57</v>
      </c>
      <c r="F142" s="33">
        <v>1</v>
      </c>
      <c r="G142" s="33">
        <v>15</v>
      </c>
      <c r="H142" s="339">
        <v>1782</v>
      </c>
      <c r="I142" s="340">
        <v>445</v>
      </c>
      <c r="J142" s="108">
        <f>(I142/F142)</f>
        <v>445</v>
      </c>
      <c r="K142" s="174">
        <f>H142/I142</f>
        <v>4.004494382022472</v>
      </c>
      <c r="L142" s="12">
        <f>15818.5+150711.5+75138.5+33591.5+30249.5+17415.5+8294.5+10566+6016+6121.5+888.5+2484+322+4243.5+950.5+1782</f>
        <v>364593.5</v>
      </c>
      <c r="M142" s="13">
        <f>1512+15643+7345+4634+4073+2646+1136+2027+1109+1483+117+572+47+1041+237+445</f>
        <v>44067</v>
      </c>
      <c r="N142" s="176">
        <f>L142/M142</f>
        <v>8.273617446161527</v>
      </c>
      <c r="O142" s="99">
        <v>132</v>
      </c>
    </row>
    <row r="143" spans="1:15" s="90" customFormat="1" ht="12" customHeight="1">
      <c r="A143" s="91">
        <v>133</v>
      </c>
      <c r="B143" s="192" t="s">
        <v>281</v>
      </c>
      <c r="C143" s="32">
        <v>40319</v>
      </c>
      <c r="D143" s="178" t="s">
        <v>28</v>
      </c>
      <c r="E143" s="181">
        <v>55</v>
      </c>
      <c r="F143" s="181">
        <v>1</v>
      </c>
      <c r="G143" s="181">
        <v>18</v>
      </c>
      <c r="H143" s="499">
        <v>4324</v>
      </c>
      <c r="I143" s="500">
        <v>864</v>
      </c>
      <c r="J143" s="105">
        <f>I143/F143</f>
        <v>864</v>
      </c>
      <c r="K143" s="206">
        <f>H143/I143</f>
        <v>5.00462962962963</v>
      </c>
      <c r="L143" s="36">
        <f>65145+41204+28599.5+10743+2405+0.5+2368+274+127+891+124+545+573+114+1943+465+416+216+4324</f>
        <v>160477</v>
      </c>
      <c r="M143" s="38">
        <f>6350+4165+3879+1659+455+341+36+22+135+21+109+98+19+321+74+58+35+864</f>
        <v>18641</v>
      </c>
      <c r="N143" s="201">
        <f>+L143/M143</f>
        <v>8.608819269352503</v>
      </c>
      <c r="O143" s="99">
        <v>133</v>
      </c>
    </row>
    <row r="144" spans="1:15" s="90" customFormat="1" ht="12" customHeight="1">
      <c r="A144" s="91">
        <v>134</v>
      </c>
      <c r="B144" s="202" t="s">
        <v>282</v>
      </c>
      <c r="C144" s="2">
        <v>40508</v>
      </c>
      <c r="D144" s="22" t="s">
        <v>10</v>
      </c>
      <c r="E144" s="3">
        <v>72</v>
      </c>
      <c r="F144" s="3">
        <v>12</v>
      </c>
      <c r="G144" s="3">
        <v>6</v>
      </c>
      <c r="H144" s="513">
        <v>10277</v>
      </c>
      <c r="I144" s="379">
        <v>1355</v>
      </c>
      <c r="J144" s="105">
        <f>I144/F144</f>
        <v>112.91666666666667</v>
      </c>
      <c r="K144" s="203">
        <f>H144/I144</f>
        <v>7.58450184501845</v>
      </c>
      <c r="L144" s="204">
        <v>1208960</v>
      </c>
      <c r="M144" s="46">
        <v>105047</v>
      </c>
      <c r="N144" s="201">
        <f>+L144/M144</f>
        <v>11.508753224747018</v>
      </c>
      <c r="O144" s="99">
        <v>134</v>
      </c>
    </row>
    <row r="145" spans="1:15" s="90" customFormat="1" ht="12" customHeight="1">
      <c r="A145" s="91">
        <v>135</v>
      </c>
      <c r="B145" s="205" t="s">
        <v>282</v>
      </c>
      <c r="C145" s="2">
        <v>40508</v>
      </c>
      <c r="D145" s="20" t="s">
        <v>10</v>
      </c>
      <c r="E145" s="5">
        <v>72</v>
      </c>
      <c r="F145" s="5">
        <v>2</v>
      </c>
      <c r="G145" s="5">
        <v>8</v>
      </c>
      <c r="H145" s="378">
        <v>2043</v>
      </c>
      <c r="I145" s="379">
        <v>282</v>
      </c>
      <c r="J145" s="105">
        <f>I145/F145</f>
        <v>141</v>
      </c>
      <c r="K145" s="183">
        <f>H145/I145</f>
        <v>7.24468085106383</v>
      </c>
      <c r="L145" s="44">
        <v>1211516</v>
      </c>
      <c r="M145" s="46">
        <v>105388</v>
      </c>
      <c r="N145" s="201">
        <f>+L145/M145</f>
        <v>11.495768019129313</v>
      </c>
      <c r="O145" s="99">
        <v>135</v>
      </c>
    </row>
    <row r="146" spans="1:15" s="90" customFormat="1" ht="12" customHeight="1">
      <c r="A146" s="91">
        <v>136</v>
      </c>
      <c r="B146" s="200" t="s">
        <v>282</v>
      </c>
      <c r="C146" s="2">
        <v>40508</v>
      </c>
      <c r="D146" s="22" t="s">
        <v>10</v>
      </c>
      <c r="E146" s="3">
        <v>72</v>
      </c>
      <c r="F146" s="3">
        <v>1</v>
      </c>
      <c r="G146" s="3">
        <v>7</v>
      </c>
      <c r="H146" s="378">
        <v>513</v>
      </c>
      <c r="I146" s="379">
        <v>59</v>
      </c>
      <c r="J146" s="105">
        <f>I146/F146</f>
        <v>59</v>
      </c>
      <c r="K146" s="183">
        <f>H146/I146</f>
        <v>8.694915254237289</v>
      </c>
      <c r="L146" s="44">
        <v>1209473</v>
      </c>
      <c r="M146" s="46">
        <v>105106</v>
      </c>
      <c r="N146" s="201">
        <f>+L146/M146</f>
        <v>11.507173710349551</v>
      </c>
      <c r="O146" s="99">
        <v>136</v>
      </c>
    </row>
    <row r="147" spans="1:15" s="90" customFormat="1" ht="12" customHeight="1">
      <c r="A147" s="91">
        <v>137</v>
      </c>
      <c r="B147" s="202" t="s">
        <v>283</v>
      </c>
      <c r="C147" s="2">
        <v>40459</v>
      </c>
      <c r="D147" s="22" t="s">
        <v>10</v>
      </c>
      <c r="E147" s="3">
        <v>55</v>
      </c>
      <c r="F147" s="3">
        <v>3</v>
      </c>
      <c r="G147" s="3">
        <v>13</v>
      </c>
      <c r="H147" s="513">
        <v>2794</v>
      </c>
      <c r="I147" s="379">
        <v>385</v>
      </c>
      <c r="J147" s="105">
        <f>I147/F147</f>
        <v>128.33333333333334</v>
      </c>
      <c r="K147" s="203">
        <f>H147/I147</f>
        <v>7.257142857142857</v>
      </c>
      <c r="L147" s="204">
        <v>2711808</v>
      </c>
      <c r="M147" s="46">
        <v>235959</v>
      </c>
      <c r="N147" s="201">
        <f>+L147/M147</f>
        <v>11.492708479015421</v>
      </c>
      <c r="O147" s="99">
        <v>137</v>
      </c>
    </row>
    <row r="148" spans="1:15" s="90" customFormat="1" ht="12" customHeight="1">
      <c r="A148" s="91">
        <v>138</v>
      </c>
      <c r="B148" s="200" t="s">
        <v>283</v>
      </c>
      <c r="C148" s="2">
        <v>40459</v>
      </c>
      <c r="D148" s="19" t="s">
        <v>10</v>
      </c>
      <c r="E148" s="3">
        <v>55</v>
      </c>
      <c r="F148" s="3">
        <v>2</v>
      </c>
      <c r="G148" s="3">
        <v>17</v>
      </c>
      <c r="H148" s="378">
        <v>1379</v>
      </c>
      <c r="I148" s="379">
        <v>340</v>
      </c>
      <c r="J148" s="105">
        <f>I148/F148</f>
        <v>170</v>
      </c>
      <c r="K148" s="183">
        <f>H148/I148</f>
        <v>4.055882352941176</v>
      </c>
      <c r="L148" s="44">
        <v>2715672</v>
      </c>
      <c r="M148" s="46">
        <v>237405</v>
      </c>
      <c r="N148" s="201">
        <f>+L148/M148</f>
        <v>11.438984014658494</v>
      </c>
      <c r="O148" s="99">
        <v>138</v>
      </c>
    </row>
    <row r="149" spans="1:15" s="90" customFormat="1" ht="12" customHeight="1">
      <c r="A149" s="91">
        <v>139</v>
      </c>
      <c r="B149" s="205" t="s">
        <v>283</v>
      </c>
      <c r="C149" s="2">
        <v>40459</v>
      </c>
      <c r="D149" s="20" t="s">
        <v>10</v>
      </c>
      <c r="E149" s="5">
        <v>55</v>
      </c>
      <c r="F149" s="5">
        <v>1</v>
      </c>
      <c r="G149" s="5">
        <v>14</v>
      </c>
      <c r="H149" s="378">
        <v>1190</v>
      </c>
      <c r="I149" s="379">
        <v>238</v>
      </c>
      <c r="J149" s="105">
        <f>I149/F149</f>
        <v>238</v>
      </c>
      <c r="K149" s="183">
        <f>H149/I149</f>
        <v>5</v>
      </c>
      <c r="L149" s="44">
        <v>2712998</v>
      </c>
      <c r="M149" s="46">
        <v>236197</v>
      </c>
      <c r="N149" s="201">
        <f>+L149/M149</f>
        <v>11.486166208715606</v>
      </c>
      <c r="O149" s="99">
        <v>139</v>
      </c>
    </row>
    <row r="150" spans="1:15" s="90" customFormat="1" ht="12" customHeight="1">
      <c r="A150" s="91">
        <v>140</v>
      </c>
      <c r="B150" s="420" t="s">
        <v>283</v>
      </c>
      <c r="C150" s="243">
        <v>40459</v>
      </c>
      <c r="D150" s="421" t="s">
        <v>10</v>
      </c>
      <c r="E150" s="422">
        <v>55</v>
      </c>
      <c r="F150" s="422">
        <v>1</v>
      </c>
      <c r="G150" s="422">
        <v>16</v>
      </c>
      <c r="H150" s="378">
        <v>182</v>
      </c>
      <c r="I150" s="379">
        <v>40</v>
      </c>
      <c r="J150" s="105">
        <v>40</v>
      </c>
      <c r="K150" s="183">
        <v>4.55</v>
      </c>
      <c r="L150" s="44">
        <v>2714293</v>
      </c>
      <c r="M150" s="46">
        <v>237065</v>
      </c>
      <c r="N150" s="201">
        <v>11.449572901946723</v>
      </c>
      <c r="O150" s="99">
        <v>140</v>
      </c>
    </row>
    <row r="151" spans="1:15" s="90" customFormat="1" ht="12" customHeight="1">
      <c r="A151" s="91">
        <v>141</v>
      </c>
      <c r="B151" s="192" t="s">
        <v>284</v>
      </c>
      <c r="C151" s="32">
        <v>40333</v>
      </c>
      <c r="D151" s="178" t="s">
        <v>31</v>
      </c>
      <c r="E151" s="181">
        <v>2</v>
      </c>
      <c r="F151" s="181">
        <v>1</v>
      </c>
      <c r="G151" s="181">
        <v>18</v>
      </c>
      <c r="H151" s="509">
        <v>1307</v>
      </c>
      <c r="I151" s="523">
        <v>327</v>
      </c>
      <c r="J151" s="182">
        <f>(I151/F151)</f>
        <v>327</v>
      </c>
      <c r="K151" s="179">
        <f>H151/I151</f>
        <v>3.996941896024465</v>
      </c>
      <c r="L151" s="26">
        <f>20966+1047+769+1091.5+1901+1090.5+330+94+107+1307</f>
        <v>28703</v>
      </c>
      <c r="M151" s="27">
        <f>2304+127+92+121+475+146+92+18+21+327</f>
        <v>3723</v>
      </c>
      <c r="N151" s="176">
        <f>L151/M151</f>
        <v>7.7096427612140745</v>
      </c>
      <c r="O151" s="99">
        <v>141</v>
      </c>
    </row>
    <row r="152" spans="1:15" s="90" customFormat="1" ht="12" customHeight="1">
      <c r="A152" s="91">
        <v>142</v>
      </c>
      <c r="B152" s="387" t="s">
        <v>245</v>
      </c>
      <c r="C152" s="273">
        <v>40242</v>
      </c>
      <c r="D152" s="114" t="s">
        <v>21</v>
      </c>
      <c r="E152" s="274">
        <v>125</v>
      </c>
      <c r="F152" s="274">
        <v>1</v>
      </c>
      <c r="G152" s="386">
        <v>24</v>
      </c>
      <c r="H152" s="497">
        <v>2376</v>
      </c>
      <c r="I152" s="498">
        <v>475</v>
      </c>
      <c r="J152" s="97">
        <f>I152/F152</f>
        <v>475</v>
      </c>
      <c r="K152" s="96">
        <f>H152/I152</f>
        <v>5.002105263157895</v>
      </c>
      <c r="L152" s="35">
        <f>3052174.5+368+334+926+8316+2376</f>
        <v>3064494.5</v>
      </c>
      <c r="M152" s="38">
        <f>484917+57+56+140+1663+475</f>
        <v>487308</v>
      </c>
      <c r="N152" s="122">
        <f>+L152/M152</f>
        <v>6.288619312631846</v>
      </c>
      <c r="O152" s="99">
        <v>142</v>
      </c>
    </row>
    <row r="153" spans="1:15" s="90" customFormat="1" ht="12" customHeight="1">
      <c r="A153" s="91">
        <v>143</v>
      </c>
      <c r="B153" s="202" t="s">
        <v>285</v>
      </c>
      <c r="C153" s="2">
        <v>40207</v>
      </c>
      <c r="D153" s="22" t="s">
        <v>21</v>
      </c>
      <c r="E153" s="3">
        <v>47</v>
      </c>
      <c r="F153" s="3">
        <v>2</v>
      </c>
      <c r="G153" s="3">
        <v>40</v>
      </c>
      <c r="H153" s="515">
        <v>1782</v>
      </c>
      <c r="I153" s="498">
        <v>356</v>
      </c>
      <c r="J153" s="97">
        <f>IF(H153&lt;&gt;0,I153/F153,"")</f>
        <v>178</v>
      </c>
      <c r="K153" s="221">
        <f>IF(H153&lt;&gt;0,H153/I153,"")</f>
        <v>5.00561797752809</v>
      </c>
      <c r="L153" s="34">
        <f>1873890.5+5542+564+70+558+190+292+283.5+618+H153</f>
        <v>1883790</v>
      </c>
      <c r="M153" s="38">
        <f>160830+1202+112+10+80+27+42+44+119+I153</f>
        <v>162822</v>
      </c>
      <c r="N153" s="210">
        <f>IF(L153&lt;&gt;0,L153/M153,"")</f>
        <v>11.569628182923683</v>
      </c>
      <c r="O153" s="99">
        <v>143</v>
      </c>
    </row>
    <row r="154" spans="1:15" s="90" customFormat="1" ht="12" customHeight="1">
      <c r="A154" s="91">
        <v>144</v>
      </c>
      <c r="B154" s="244" t="s">
        <v>285</v>
      </c>
      <c r="C154" s="2">
        <v>40207</v>
      </c>
      <c r="D154" s="19" t="s">
        <v>21</v>
      </c>
      <c r="E154" s="3">
        <v>47</v>
      </c>
      <c r="F154" s="3">
        <v>1</v>
      </c>
      <c r="G154" s="3">
        <v>45</v>
      </c>
      <c r="H154" s="497">
        <v>450</v>
      </c>
      <c r="I154" s="498">
        <v>29</v>
      </c>
      <c r="J154" s="97">
        <f>IF(H154&lt;&gt;0,I154/F154,"")</f>
        <v>29</v>
      </c>
      <c r="K154" s="209">
        <f>IF(H154&lt;&gt;0,H154/I154,"")</f>
        <v>15.517241379310345</v>
      </c>
      <c r="L154" s="35">
        <f>1883790+184+100+80+110+450</f>
        <v>1884714</v>
      </c>
      <c r="M154" s="38">
        <f>162822+46+10+8+11+29</f>
        <v>162926</v>
      </c>
      <c r="N154" s="210">
        <f>IF(L154&lt;&gt;0,L154/M154,"")</f>
        <v>11.567914267827112</v>
      </c>
      <c r="O154" s="99">
        <v>144</v>
      </c>
    </row>
    <row r="155" spans="1:15" s="90" customFormat="1" ht="12" customHeight="1">
      <c r="A155" s="91">
        <v>145</v>
      </c>
      <c r="B155" s="200" t="s">
        <v>285</v>
      </c>
      <c r="C155" s="2">
        <v>40207</v>
      </c>
      <c r="D155" s="22" t="s">
        <v>21</v>
      </c>
      <c r="E155" s="3">
        <v>47</v>
      </c>
      <c r="F155" s="3">
        <v>1</v>
      </c>
      <c r="G155" s="3">
        <v>41</v>
      </c>
      <c r="H155" s="497">
        <v>184</v>
      </c>
      <c r="I155" s="498">
        <v>46</v>
      </c>
      <c r="J155" s="97">
        <f>IF(H155&lt;&gt;0,I155/F155,"")</f>
        <v>46</v>
      </c>
      <c r="K155" s="209">
        <f>IF(H155&lt;&gt;0,H155/I155,"")</f>
        <v>4</v>
      </c>
      <c r="L155" s="35">
        <f>1883790+184</f>
        <v>1883974</v>
      </c>
      <c r="M155" s="38">
        <f>162822+46</f>
        <v>162868</v>
      </c>
      <c r="N155" s="210">
        <f>IF(L155&lt;&gt;0,L155/M155,"")</f>
        <v>11.567490237492938</v>
      </c>
      <c r="O155" s="99">
        <v>145</v>
      </c>
    </row>
    <row r="156" spans="1:15" s="90" customFormat="1" ht="12" customHeight="1">
      <c r="A156" s="91">
        <v>146</v>
      </c>
      <c r="B156" s="200" t="s">
        <v>285</v>
      </c>
      <c r="C156" s="2">
        <v>40207</v>
      </c>
      <c r="D156" s="19" t="s">
        <v>21</v>
      </c>
      <c r="E156" s="3">
        <v>47</v>
      </c>
      <c r="F156" s="3">
        <v>1</v>
      </c>
      <c r="G156" s="3">
        <v>44</v>
      </c>
      <c r="H156" s="497">
        <v>110</v>
      </c>
      <c r="I156" s="498">
        <v>11</v>
      </c>
      <c r="J156" s="97">
        <f>IF(H156&lt;&gt;0,I156/F156,"")</f>
        <v>11</v>
      </c>
      <c r="K156" s="209">
        <f>IF(H156&lt;&gt;0,H156/I156,"")</f>
        <v>10</v>
      </c>
      <c r="L156" s="35">
        <f>1883790+184+100+80+110</f>
        <v>1884264</v>
      </c>
      <c r="M156" s="38">
        <f>162822+46+10+8+11</f>
        <v>162897</v>
      </c>
      <c r="N156" s="210">
        <f>IF(L156&lt;&gt;0,L156/M156,"")</f>
        <v>11.567211182526382</v>
      </c>
      <c r="O156" s="99">
        <v>146</v>
      </c>
    </row>
    <row r="157" spans="1:15" s="90" customFormat="1" ht="12" customHeight="1">
      <c r="A157" s="91">
        <v>147</v>
      </c>
      <c r="B157" s="205" t="s">
        <v>285</v>
      </c>
      <c r="C157" s="2">
        <v>40207</v>
      </c>
      <c r="D157" s="20" t="s">
        <v>21</v>
      </c>
      <c r="E157" s="5">
        <v>47</v>
      </c>
      <c r="F157" s="5">
        <v>1</v>
      </c>
      <c r="G157" s="5">
        <v>42</v>
      </c>
      <c r="H157" s="497">
        <v>100</v>
      </c>
      <c r="I157" s="498">
        <v>10</v>
      </c>
      <c r="J157" s="97">
        <f>IF(H157&lt;&gt;0,I157/F157,"")</f>
        <v>10</v>
      </c>
      <c r="K157" s="209">
        <f>IF(H157&lt;&gt;0,H157/I157,"")</f>
        <v>10</v>
      </c>
      <c r="L157" s="35">
        <f>1883790+184+100</f>
        <v>1884074</v>
      </c>
      <c r="M157" s="38">
        <f>162822+46+10</f>
        <v>162878</v>
      </c>
      <c r="N157" s="210">
        <f>IF(L157&lt;&gt;0,L157/M157,"")</f>
        <v>11.56739400041749</v>
      </c>
      <c r="O157" s="99">
        <v>147</v>
      </c>
    </row>
    <row r="158" spans="1:15" s="90" customFormat="1" ht="12" customHeight="1">
      <c r="A158" s="91">
        <v>148</v>
      </c>
      <c r="B158" s="205" t="s">
        <v>285</v>
      </c>
      <c r="C158" s="2">
        <v>40207</v>
      </c>
      <c r="D158" s="20" t="s">
        <v>21</v>
      </c>
      <c r="E158" s="5">
        <v>47</v>
      </c>
      <c r="F158" s="5">
        <v>1</v>
      </c>
      <c r="G158" s="5">
        <v>43</v>
      </c>
      <c r="H158" s="515">
        <v>80</v>
      </c>
      <c r="I158" s="527">
        <v>8</v>
      </c>
      <c r="J158" s="245">
        <f>IF(H158&lt;&gt;0,I158/F158,"")</f>
        <v>8</v>
      </c>
      <c r="K158" s="221">
        <f>IF(H158&lt;&gt;0,H158/I158,"")</f>
        <v>10</v>
      </c>
      <c r="L158" s="34">
        <f>1883790+184+100+80</f>
        <v>1884154</v>
      </c>
      <c r="M158" s="29">
        <f>162822+46+10+8</f>
        <v>162886</v>
      </c>
      <c r="N158" s="210">
        <f>IF(L158&lt;&gt;0,L158/M158,"")</f>
        <v>11.567317019265007</v>
      </c>
      <c r="O158" s="99">
        <v>148</v>
      </c>
    </row>
    <row r="159" spans="1:15" s="90" customFormat="1" ht="12" customHeight="1">
      <c r="A159" s="91">
        <v>149</v>
      </c>
      <c r="B159" s="192" t="s">
        <v>151</v>
      </c>
      <c r="C159" s="32">
        <v>39766</v>
      </c>
      <c r="D159" s="178" t="s">
        <v>138</v>
      </c>
      <c r="E159" s="181">
        <v>17</v>
      </c>
      <c r="F159" s="181">
        <v>1</v>
      </c>
      <c r="G159" s="181">
        <v>27</v>
      </c>
      <c r="H159" s="518">
        <v>403</v>
      </c>
      <c r="I159" s="519">
        <v>2016</v>
      </c>
      <c r="J159" s="111">
        <v>2016</v>
      </c>
      <c r="K159" s="246">
        <v>0.19990079365079366</v>
      </c>
      <c r="L159" s="218">
        <v>93607</v>
      </c>
      <c r="M159" s="219">
        <v>13556</v>
      </c>
      <c r="N159" s="220">
        <v>6.9052080259663615</v>
      </c>
      <c r="O159" s="99">
        <v>149</v>
      </c>
    </row>
    <row r="160" spans="1:15" s="90" customFormat="1" ht="12" customHeight="1">
      <c r="A160" s="91">
        <v>150</v>
      </c>
      <c r="B160" s="180" t="s">
        <v>286</v>
      </c>
      <c r="C160" s="32">
        <v>39878</v>
      </c>
      <c r="D160" s="30" t="s">
        <v>31</v>
      </c>
      <c r="E160" s="33">
        <v>39</v>
      </c>
      <c r="F160" s="33">
        <v>1</v>
      </c>
      <c r="G160" s="33">
        <v>38</v>
      </c>
      <c r="H160" s="339">
        <v>708</v>
      </c>
      <c r="I160" s="340">
        <v>164</v>
      </c>
      <c r="J160" s="108">
        <f>(I160/F160)</f>
        <v>164</v>
      </c>
      <c r="K160" s="174">
        <f>H160/I160</f>
        <v>4.317073170731708</v>
      </c>
      <c r="L160" s="12">
        <f>143992.5+82756.5+42509+41229+27290.5+16668+27602+17675+4710+8504.5+2403+4164+2272+3469+1997+135+299+674+178+30+240+1413+1006+209+393+680+1780+4040+1780+1780+952+745+2376+2376+2376+4752+2376+708</f>
        <v>458540</v>
      </c>
      <c r="M160" s="13">
        <f>15320+9228+5096+5970+4485+3115+5134+3946+1139+2307+509+879+411+637+472+29+62+165+32+6+48+348+139+43+54+68+445+1010+445+445+238+149+594+594+594+1188+594+164</f>
        <v>66102</v>
      </c>
      <c r="N160" s="176">
        <f>L160/M160</f>
        <v>6.93685516323258</v>
      </c>
      <c r="O160" s="99">
        <v>150</v>
      </c>
    </row>
    <row r="161" spans="1:15" s="90" customFormat="1" ht="12" customHeight="1">
      <c r="A161" s="91">
        <v>151</v>
      </c>
      <c r="B161" s="202" t="s">
        <v>287</v>
      </c>
      <c r="C161" s="2">
        <v>40499</v>
      </c>
      <c r="D161" s="22" t="s">
        <v>10</v>
      </c>
      <c r="E161" s="3">
        <v>216</v>
      </c>
      <c r="F161" s="3">
        <v>34</v>
      </c>
      <c r="G161" s="3">
        <v>7</v>
      </c>
      <c r="H161" s="513">
        <v>30434</v>
      </c>
      <c r="I161" s="379">
        <v>4757</v>
      </c>
      <c r="J161" s="105">
        <f>I161/F161</f>
        <v>139.91176470588235</v>
      </c>
      <c r="K161" s="203">
        <f>H161/I161</f>
        <v>6.397729661551398</v>
      </c>
      <c r="L161" s="204">
        <v>7544141</v>
      </c>
      <c r="M161" s="46">
        <v>795478</v>
      </c>
      <c r="N161" s="201">
        <f>+L161/M161</f>
        <v>9.4837833353028</v>
      </c>
      <c r="O161" s="99">
        <v>151</v>
      </c>
    </row>
    <row r="162" spans="1:15" s="90" customFormat="1" ht="12" customHeight="1">
      <c r="A162" s="91">
        <v>152</v>
      </c>
      <c r="B162" s="200" t="s">
        <v>287</v>
      </c>
      <c r="C162" s="2">
        <v>40499</v>
      </c>
      <c r="D162" s="22" t="s">
        <v>10</v>
      </c>
      <c r="E162" s="3">
        <v>216</v>
      </c>
      <c r="F162" s="3">
        <v>6</v>
      </c>
      <c r="G162" s="3">
        <v>8</v>
      </c>
      <c r="H162" s="378">
        <v>5700</v>
      </c>
      <c r="I162" s="379">
        <v>1097</v>
      </c>
      <c r="J162" s="105">
        <f>I162/F162</f>
        <v>182.83333333333334</v>
      </c>
      <c r="K162" s="183">
        <f>H162/I162</f>
        <v>5.195989061075661</v>
      </c>
      <c r="L162" s="44">
        <v>7549841</v>
      </c>
      <c r="M162" s="46">
        <v>796575</v>
      </c>
      <c r="N162" s="201">
        <f>+L162/M162</f>
        <v>9.477878416972665</v>
      </c>
      <c r="O162" s="99">
        <v>152</v>
      </c>
    </row>
    <row r="163" spans="1:15" s="90" customFormat="1" ht="12" customHeight="1">
      <c r="A163" s="91">
        <v>153</v>
      </c>
      <c r="B163" s="205" t="s">
        <v>287</v>
      </c>
      <c r="C163" s="2">
        <v>40499</v>
      </c>
      <c r="D163" s="20" t="s">
        <v>10</v>
      </c>
      <c r="E163" s="5">
        <v>216</v>
      </c>
      <c r="F163" s="5">
        <v>6</v>
      </c>
      <c r="G163" s="5">
        <v>9</v>
      </c>
      <c r="H163" s="378">
        <v>5414</v>
      </c>
      <c r="I163" s="379">
        <v>1277</v>
      </c>
      <c r="J163" s="105">
        <f>I163/F163</f>
        <v>212.83333333333334</v>
      </c>
      <c r="K163" s="183">
        <f>H163/I163</f>
        <v>4.239624119028974</v>
      </c>
      <c r="L163" s="44">
        <v>7555255</v>
      </c>
      <c r="M163" s="46">
        <v>797852</v>
      </c>
      <c r="N163" s="201">
        <f>+L163/M163</f>
        <v>9.4694943423091</v>
      </c>
      <c r="O163" s="99">
        <v>153</v>
      </c>
    </row>
    <row r="164" spans="1:15" s="90" customFormat="1" ht="12" customHeight="1">
      <c r="A164" s="91">
        <v>154</v>
      </c>
      <c r="B164" s="200" t="s">
        <v>287</v>
      </c>
      <c r="C164" s="2">
        <v>40499</v>
      </c>
      <c r="D164" s="19" t="s">
        <v>10</v>
      </c>
      <c r="E164" s="3">
        <v>216</v>
      </c>
      <c r="F164" s="3">
        <v>3</v>
      </c>
      <c r="G164" s="3">
        <v>13</v>
      </c>
      <c r="H164" s="378">
        <v>1907</v>
      </c>
      <c r="I164" s="379">
        <v>449</v>
      </c>
      <c r="J164" s="105">
        <f>I164/F164</f>
        <v>149.66666666666666</v>
      </c>
      <c r="K164" s="183">
        <f>H164/I164</f>
        <v>4.247216035634744</v>
      </c>
      <c r="L164" s="44">
        <v>7557967</v>
      </c>
      <c r="M164" s="46">
        <v>798432</v>
      </c>
      <c r="N164" s="201">
        <f>+L164/M164</f>
        <v>9.466012133782213</v>
      </c>
      <c r="O164" s="99">
        <v>154</v>
      </c>
    </row>
    <row r="165" spans="1:15" s="90" customFormat="1" ht="12" customHeight="1">
      <c r="A165" s="91">
        <v>155</v>
      </c>
      <c r="B165" s="202" t="s">
        <v>287</v>
      </c>
      <c r="C165" s="2">
        <v>40499</v>
      </c>
      <c r="D165" s="19" t="s">
        <v>10</v>
      </c>
      <c r="E165" s="3">
        <v>216</v>
      </c>
      <c r="F165" s="3">
        <v>1</v>
      </c>
      <c r="G165" s="3">
        <v>10</v>
      </c>
      <c r="H165" s="378">
        <v>280</v>
      </c>
      <c r="I165" s="379">
        <v>46</v>
      </c>
      <c r="J165" s="105">
        <f>I165/F165</f>
        <v>46</v>
      </c>
      <c r="K165" s="183">
        <f>H165/I165</f>
        <v>6.086956521739131</v>
      </c>
      <c r="L165" s="44">
        <v>7555535</v>
      </c>
      <c r="M165" s="46">
        <v>797898</v>
      </c>
      <c r="N165" s="201">
        <f>+L165/M165</f>
        <v>9.469299334000086</v>
      </c>
      <c r="O165" s="99">
        <v>155</v>
      </c>
    </row>
    <row r="166" spans="1:15" s="90" customFormat="1" ht="12" customHeight="1">
      <c r="A166" s="91">
        <v>156</v>
      </c>
      <c r="B166" s="205" t="s">
        <v>287</v>
      </c>
      <c r="C166" s="2">
        <v>40499</v>
      </c>
      <c r="D166" s="20" t="s">
        <v>10</v>
      </c>
      <c r="E166" s="5">
        <v>216</v>
      </c>
      <c r="F166" s="5">
        <v>1</v>
      </c>
      <c r="G166" s="5">
        <v>12</v>
      </c>
      <c r="H166" s="378">
        <v>265</v>
      </c>
      <c r="I166" s="379">
        <v>42</v>
      </c>
      <c r="J166" s="105">
        <f>I166/F166</f>
        <v>42</v>
      </c>
      <c r="K166" s="183">
        <f>H166/I166</f>
        <v>6.309523809523809</v>
      </c>
      <c r="L166" s="44">
        <v>7556060</v>
      </c>
      <c r="M166" s="46">
        <v>797983</v>
      </c>
      <c r="N166" s="201">
        <f>+L166/M166</f>
        <v>9.468948586624025</v>
      </c>
      <c r="O166" s="99">
        <v>156</v>
      </c>
    </row>
    <row r="167" spans="1:15" s="90" customFormat="1" ht="12" customHeight="1">
      <c r="A167" s="91">
        <v>157</v>
      </c>
      <c r="B167" s="200" t="s">
        <v>287</v>
      </c>
      <c r="C167" s="2">
        <v>40499</v>
      </c>
      <c r="D167" s="19" t="s">
        <v>10</v>
      </c>
      <c r="E167" s="3">
        <v>216</v>
      </c>
      <c r="F167" s="3">
        <v>1</v>
      </c>
      <c r="G167" s="3">
        <v>11</v>
      </c>
      <c r="H167" s="378">
        <v>260</v>
      </c>
      <c r="I167" s="379">
        <v>43</v>
      </c>
      <c r="J167" s="105">
        <f>I167/F167</f>
        <v>43</v>
      </c>
      <c r="K167" s="183">
        <f>H167/I167</f>
        <v>6.046511627906977</v>
      </c>
      <c r="L167" s="44">
        <v>7555795</v>
      </c>
      <c r="M167" s="46">
        <v>797941</v>
      </c>
      <c r="N167" s="201">
        <f>+L167/M167</f>
        <v>9.46911488443381</v>
      </c>
      <c r="O167" s="99">
        <v>157</v>
      </c>
    </row>
    <row r="168" spans="1:15" s="90" customFormat="1" ht="12" customHeight="1">
      <c r="A168" s="91">
        <v>158</v>
      </c>
      <c r="B168" s="180" t="s">
        <v>152</v>
      </c>
      <c r="C168" s="32">
        <v>39899</v>
      </c>
      <c r="D168" s="178" t="s">
        <v>31</v>
      </c>
      <c r="E168" s="33">
        <v>16</v>
      </c>
      <c r="F168" s="33">
        <v>1</v>
      </c>
      <c r="G168" s="33">
        <v>22</v>
      </c>
      <c r="H168" s="339">
        <v>2140</v>
      </c>
      <c r="I168" s="340">
        <v>535</v>
      </c>
      <c r="J168" s="108">
        <f>(I168/F168)</f>
        <v>535</v>
      </c>
      <c r="K168" s="174">
        <f>H168/I168</f>
        <v>4</v>
      </c>
      <c r="L168" s="12">
        <f>31480+15536+8716+2149+2897+1360+2390+1251+322+381+329+492+928+436+1103+1913+46+240+669.28+648.46+226+2140</f>
        <v>75652.74</v>
      </c>
      <c r="M168" s="13">
        <f>3450+1778+1361+440+508+248+548+290+68+72+58+96+96+70+137+309+9+48+150+151+48+535</f>
        <v>10470</v>
      </c>
      <c r="N168" s="176">
        <f>L168/M168</f>
        <v>7.225667621776505</v>
      </c>
      <c r="O168" s="99">
        <v>158</v>
      </c>
    </row>
    <row r="169" spans="1:15" s="90" customFormat="1" ht="12" customHeight="1">
      <c r="A169" s="91">
        <v>159</v>
      </c>
      <c r="B169" s="194" t="s">
        <v>288</v>
      </c>
      <c r="C169" s="250">
        <v>39892</v>
      </c>
      <c r="D169" s="178" t="s">
        <v>31</v>
      </c>
      <c r="E169" s="196">
        <v>5</v>
      </c>
      <c r="F169" s="196">
        <v>1</v>
      </c>
      <c r="G169" s="196">
        <v>24</v>
      </c>
      <c r="H169" s="537">
        <v>952</v>
      </c>
      <c r="I169" s="536">
        <v>238</v>
      </c>
      <c r="J169" s="778">
        <f>(I169/F169)</f>
        <v>238</v>
      </c>
      <c r="K169" s="942">
        <f>H169/I169</f>
        <v>4</v>
      </c>
      <c r="L169" s="7">
        <f>18881.5+13473+6553+4173.5+2378+3269+2172+792+240+60+1236+552+1321+1757+465+884+565+65+261+952+114+51+2376+952</f>
        <v>63543</v>
      </c>
      <c r="M169" s="8">
        <f>2268+1745+795+568+579+610+541+209+80+20+215+68+169+337+93+144+93+15+56+238+23+20+594+238</f>
        <v>9718</v>
      </c>
      <c r="N169" s="423">
        <f>L169/M169</f>
        <v>6.538691088701379</v>
      </c>
      <c r="O169" s="99">
        <v>159</v>
      </c>
    </row>
    <row r="170" spans="1:15" s="90" customFormat="1" ht="12" customHeight="1">
      <c r="A170" s="91">
        <v>160</v>
      </c>
      <c r="B170" s="263" t="s">
        <v>289</v>
      </c>
      <c r="C170" s="250">
        <v>40004</v>
      </c>
      <c r="D170" s="30" t="s">
        <v>31</v>
      </c>
      <c r="E170" s="208">
        <v>20</v>
      </c>
      <c r="F170" s="208">
        <v>1</v>
      </c>
      <c r="G170" s="208">
        <v>15</v>
      </c>
      <c r="H170" s="537">
        <v>952</v>
      </c>
      <c r="I170" s="536">
        <v>238</v>
      </c>
      <c r="J170" s="778">
        <f>(I170/F170)</f>
        <v>238</v>
      </c>
      <c r="K170" s="942">
        <f>H170/I170</f>
        <v>4</v>
      </c>
      <c r="L170" s="7">
        <f>27239+16683+9866+18646.5+11021.5+18905.5+11305+6948.5+5971.5+3862.5+1777+1145+520+193+952</f>
        <v>135036</v>
      </c>
      <c r="M170" s="8">
        <f>2632+2092+1344+2829+1912+3115+1963+1173+1001+690+304+193+74+27+238</f>
        <v>19587</v>
      </c>
      <c r="N170" s="423">
        <f>L170/M170</f>
        <v>6.894164496860163</v>
      </c>
      <c r="O170" s="99">
        <v>160</v>
      </c>
    </row>
    <row r="171" spans="1:15" s="90" customFormat="1" ht="12" customHeight="1">
      <c r="A171" s="91">
        <v>161</v>
      </c>
      <c r="B171" s="609" t="s">
        <v>290</v>
      </c>
      <c r="C171" s="725">
        <v>39995</v>
      </c>
      <c r="D171" s="580" t="s">
        <v>31</v>
      </c>
      <c r="E171" s="585">
        <v>209</v>
      </c>
      <c r="F171" s="585">
        <v>2</v>
      </c>
      <c r="G171" s="585">
        <v>68</v>
      </c>
      <c r="H171" s="509">
        <v>3019.5</v>
      </c>
      <c r="I171" s="523">
        <v>734</v>
      </c>
      <c r="J171" s="245">
        <f>I171/F171</f>
        <v>367</v>
      </c>
      <c r="K171" s="318">
        <f>H171/I171</f>
        <v>4.113760217983652</v>
      </c>
      <c r="L171" s="26">
        <f>11405777.5+385+1188+6614+2968+1417+277+2612+1424+952+1780+952+364.5+1188+1188+2852+3019.5</f>
        <v>11434958.5</v>
      </c>
      <c r="M171" s="27">
        <f>1424397+63+297+1638+742+364+66+653+356+238+445+238+27+297+297+713+734</f>
        <v>1431565</v>
      </c>
      <c r="N171" s="329">
        <f>+L171/M171</f>
        <v>7.987732656218894</v>
      </c>
      <c r="O171" s="99">
        <v>161</v>
      </c>
    </row>
    <row r="172" spans="1:15" s="90" customFormat="1" ht="12" customHeight="1">
      <c r="A172" s="91">
        <v>162</v>
      </c>
      <c r="B172" s="609" t="s">
        <v>290</v>
      </c>
      <c r="C172" s="185">
        <v>39995</v>
      </c>
      <c r="D172" s="580" t="s">
        <v>31</v>
      </c>
      <c r="E172" s="585">
        <v>209</v>
      </c>
      <c r="F172" s="585">
        <v>1</v>
      </c>
      <c r="G172" s="585">
        <v>67</v>
      </c>
      <c r="H172" s="509">
        <v>2852</v>
      </c>
      <c r="I172" s="523">
        <v>713</v>
      </c>
      <c r="J172" s="245">
        <f>I172/F172</f>
        <v>713</v>
      </c>
      <c r="K172" s="318">
        <f>H172/I172</f>
        <v>4</v>
      </c>
      <c r="L172" s="26">
        <f>11405777.5+385+1188+6614+2968+1417+277+2612+1424+952+1780+952+364.5+1188+1188+2852</f>
        <v>11431939</v>
      </c>
      <c r="M172" s="27">
        <f>1424397+63+297+1638+742+364+66+653+356+238+445+238+27+297+297+713</f>
        <v>1430831</v>
      </c>
      <c r="N172" s="429">
        <f>+L172/M172</f>
        <v>7.989719959939364</v>
      </c>
      <c r="O172" s="99">
        <v>162</v>
      </c>
    </row>
    <row r="173" spans="1:15" s="90" customFormat="1" ht="12" customHeight="1">
      <c r="A173" s="91">
        <v>163</v>
      </c>
      <c r="B173" s="411" t="s">
        <v>290</v>
      </c>
      <c r="C173" s="412">
        <v>39995</v>
      </c>
      <c r="D173" s="178" t="s">
        <v>31</v>
      </c>
      <c r="E173" s="413">
        <v>209</v>
      </c>
      <c r="F173" s="413">
        <v>1</v>
      </c>
      <c r="G173" s="413">
        <v>62</v>
      </c>
      <c r="H173" s="509">
        <v>1780</v>
      </c>
      <c r="I173" s="523">
        <v>445</v>
      </c>
      <c r="J173" s="182">
        <f>(I173/F173)</f>
        <v>445</v>
      </c>
      <c r="K173" s="179">
        <f>H173/I173</f>
        <v>4</v>
      </c>
      <c r="L173" s="26">
        <f>11405777.5+385+1188+6614+2968+1417+277+2612+1424+952+1780</f>
        <v>11425394.5</v>
      </c>
      <c r="M173" s="27">
        <f>1424397+63+297+1638+742+364+66+653+356+238+445</f>
        <v>1429259</v>
      </c>
      <c r="N173" s="176">
        <f>L173/M173</f>
        <v>7.993928672130104</v>
      </c>
      <c r="O173" s="99">
        <v>163</v>
      </c>
    </row>
    <row r="174" spans="1:15" s="90" customFormat="1" ht="12" customHeight="1">
      <c r="A174" s="91">
        <v>164</v>
      </c>
      <c r="B174" s="466" t="s">
        <v>290</v>
      </c>
      <c r="C174" s="185">
        <v>39995</v>
      </c>
      <c r="D174" s="114" t="s">
        <v>31</v>
      </c>
      <c r="E174" s="186">
        <v>209</v>
      </c>
      <c r="F174" s="186">
        <v>1</v>
      </c>
      <c r="G174" s="186">
        <v>66</v>
      </c>
      <c r="H174" s="339">
        <v>1188</v>
      </c>
      <c r="I174" s="340">
        <v>297</v>
      </c>
      <c r="J174" s="97">
        <f>I174/F174</f>
        <v>297</v>
      </c>
      <c r="K174" s="96">
        <f>H174/I174</f>
        <v>4</v>
      </c>
      <c r="L174" s="12">
        <f>11405777.5+385+1188+6614+2968+1417+277+2612+1424+952+1780+952+364.5+1188+1188</f>
        <v>11429087</v>
      </c>
      <c r="M174" s="13">
        <f>1424397+63+297+1638+742+364+66+653+356+238+445+238+27+297+297</f>
        <v>1430118</v>
      </c>
      <c r="N174" s="124">
        <f>L174/M174</f>
        <v>7.991709075754588</v>
      </c>
      <c r="O174" s="99">
        <v>164</v>
      </c>
    </row>
    <row r="175" spans="1:15" s="90" customFormat="1" ht="12" customHeight="1">
      <c r="A175" s="91">
        <v>165</v>
      </c>
      <c r="B175" s="424" t="s">
        <v>290</v>
      </c>
      <c r="C175" s="425">
        <v>39995</v>
      </c>
      <c r="D175" s="426" t="s">
        <v>135</v>
      </c>
      <c r="E175" s="427">
        <v>209</v>
      </c>
      <c r="F175" s="186">
        <v>1</v>
      </c>
      <c r="G175" s="427">
        <v>65</v>
      </c>
      <c r="H175" s="339">
        <v>1188</v>
      </c>
      <c r="I175" s="340">
        <v>297</v>
      </c>
      <c r="J175" s="245">
        <f>I175/F175</f>
        <v>297</v>
      </c>
      <c r="K175" s="318">
        <f>H175/I175</f>
        <v>4</v>
      </c>
      <c r="L175" s="12">
        <f>11405777.5+385+1188+6614+2968+1417+277+2612+1424+952+1780+952+364.5+1188</f>
        <v>11427899</v>
      </c>
      <c r="M175" s="13">
        <f>1424397+63+297+1638+742+364+66+653+356+238+445+238+27+297</f>
        <v>1429821</v>
      </c>
      <c r="N175" s="122">
        <f>+L175/M175</f>
        <v>7.992538226813006</v>
      </c>
      <c r="O175" s="99">
        <v>165</v>
      </c>
    </row>
    <row r="176" spans="1:15" s="90" customFormat="1" ht="12" customHeight="1">
      <c r="A176" s="91">
        <v>166</v>
      </c>
      <c r="B176" s="417" t="s">
        <v>290</v>
      </c>
      <c r="C176" s="412">
        <v>39995</v>
      </c>
      <c r="D176" s="30" t="s">
        <v>31</v>
      </c>
      <c r="E176" s="936">
        <v>209</v>
      </c>
      <c r="F176" s="418">
        <v>1</v>
      </c>
      <c r="G176" s="936">
        <v>63</v>
      </c>
      <c r="H176" s="339">
        <v>952</v>
      </c>
      <c r="I176" s="501">
        <v>238</v>
      </c>
      <c r="J176" s="108">
        <f>(I176/F176)</f>
        <v>238</v>
      </c>
      <c r="K176" s="197">
        <f>H176/I176</f>
        <v>4</v>
      </c>
      <c r="L176" s="12">
        <f>11405777.5+385+1188+6614+2968+1417+277+2612+1424+952+1780+952</f>
        <v>11426346.5</v>
      </c>
      <c r="M176" s="9">
        <f>1424397+63+297+1638+742+364+66+653+356+238+445+238</f>
        <v>1429497</v>
      </c>
      <c r="N176" s="176">
        <f>L176/M176</f>
        <v>7.993263714439415</v>
      </c>
      <c r="O176" s="99">
        <v>166</v>
      </c>
    </row>
    <row r="177" spans="1:15" s="90" customFormat="1" ht="12" customHeight="1">
      <c r="A177" s="91">
        <v>167</v>
      </c>
      <c r="B177" s="417" t="s">
        <v>290</v>
      </c>
      <c r="C177" s="412">
        <v>39995</v>
      </c>
      <c r="D177" s="178" t="s">
        <v>31</v>
      </c>
      <c r="E177" s="936">
        <v>209</v>
      </c>
      <c r="F177" s="418">
        <v>1</v>
      </c>
      <c r="G177" s="936">
        <v>61</v>
      </c>
      <c r="H177" s="339">
        <v>952</v>
      </c>
      <c r="I177" s="501">
        <v>238</v>
      </c>
      <c r="J177" s="108">
        <f>(I177/F177)</f>
        <v>238</v>
      </c>
      <c r="K177" s="197">
        <f>H177/I177</f>
        <v>4</v>
      </c>
      <c r="L177" s="12">
        <f>11405777.5+385+1188+6614+2968+1417+277+2612+1424+952</f>
        <v>11423614.5</v>
      </c>
      <c r="M177" s="9">
        <f>1424397+63+297+1638+742+364+66+653+356+238</f>
        <v>1428814</v>
      </c>
      <c r="N177" s="176">
        <f>L177/M177</f>
        <v>7.995172569697665</v>
      </c>
      <c r="O177" s="99">
        <v>167</v>
      </c>
    </row>
    <row r="178" spans="1:15" s="90" customFormat="1" ht="12" customHeight="1">
      <c r="A178" s="91">
        <v>168</v>
      </c>
      <c r="B178" s="417" t="s">
        <v>290</v>
      </c>
      <c r="C178" s="412">
        <v>39995</v>
      </c>
      <c r="D178" s="428" t="s">
        <v>135</v>
      </c>
      <c r="E178" s="418">
        <v>209</v>
      </c>
      <c r="F178" s="418">
        <v>1</v>
      </c>
      <c r="G178" s="418">
        <v>64</v>
      </c>
      <c r="H178" s="509">
        <v>364.5</v>
      </c>
      <c r="I178" s="523">
        <v>27</v>
      </c>
      <c r="J178" s="245">
        <f>I178/F178</f>
        <v>27</v>
      </c>
      <c r="K178" s="318">
        <f>H178/I178</f>
        <v>13.5</v>
      </c>
      <c r="L178" s="26">
        <f>11405777.5+385+1188+6614+2968+1417+277+2612+1424+952+1780+952+364.5</f>
        <v>11426711</v>
      </c>
      <c r="M178" s="27">
        <f>1424397+63+297+1638+742+364+66+653+356+238+445+238+27</f>
        <v>1429524</v>
      </c>
      <c r="N178" s="429">
        <f>L178/M178</f>
        <v>7.993367722402702</v>
      </c>
      <c r="O178" s="99">
        <v>168</v>
      </c>
    </row>
    <row r="179" spans="1:15" s="90" customFormat="1" ht="12" customHeight="1">
      <c r="A179" s="91">
        <v>169</v>
      </c>
      <c r="B179" s="716" t="s">
        <v>290</v>
      </c>
      <c r="C179" s="671">
        <v>39995</v>
      </c>
      <c r="D179" s="580" t="s">
        <v>31</v>
      </c>
      <c r="E179" s="208">
        <v>209</v>
      </c>
      <c r="F179" s="33">
        <v>1</v>
      </c>
      <c r="G179" s="208">
        <v>69</v>
      </c>
      <c r="H179" s="339">
        <v>305</v>
      </c>
      <c r="I179" s="501">
        <v>61</v>
      </c>
      <c r="J179" s="97">
        <f>I179/F179</f>
        <v>61</v>
      </c>
      <c r="K179" s="96">
        <f>H179/I179</f>
        <v>5</v>
      </c>
      <c r="L179" s="12">
        <f>11405777.5+385+1188+6614+2968+1417+277+2612+1424+952+1780+952+364.5+1188+1188+2852+3019.5+305</f>
        <v>11435263.5</v>
      </c>
      <c r="M179" s="9">
        <f>1424397+63+297+1638+742+364+66+653+356+238+445+238+27+297+297+713+734+61</f>
        <v>1431626</v>
      </c>
      <c r="N179" s="122">
        <f>+L179/M179</f>
        <v>7.98760535223585</v>
      </c>
      <c r="O179" s="99">
        <v>169</v>
      </c>
    </row>
    <row r="180" spans="1:15" s="90" customFormat="1" ht="12" customHeight="1">
      <c r="A180" s="91">
        <v>170</v>
      </c>
      <c r="B180" s="192" t="s">
        <v>291</v>
      </c>
      <c r="C180" s="32">
        <v>39738</v>
      </c>
      <c r="D180" s="178" t="s">
        <v>31</v>
      </c>
      <c r="E180" s="181">
        <v>67</v>
      </c>
      <c r="F180" s="181">
        <v>1</v>
      </c>
      <c r="G180" s="181">
        <v>44</v>
      </c>
      <c r="H180" s="339">
        <v>1780</v>
      </c>
      <c r="I180" s="340">
        <v>445</v>
      </c>
      <c r="J180" s="108">
        <f>(I180/F180)</f>
        <v>445</v>
      </c>
      <c r="K180" s="197">
        <f>H180/I180</f>
        <v>4</v>
      </c>
      <c r="L180" s="12">
        <f>575413.5+2968+2376+2737+2376+2376+4752+2376+952+1780</f>
        <v>598106.5</v>
      </c>
      <c r="M180" s="13">
        <f>83313+742+594+635+594+594+1188+594+238+445</f>
        <v>88937</v>
      </c>
      <c r="N180" s="176">
        <f>L180/M180</f>
        <v>6.725058187256147</v>
      </c>
      <c r="O180" s="99">
        <v>170</v>
      </c>
    </row>
    <row r="181" spans="1:15" s="90" customFormat="1" ht="12" customHeight="1">
      <c r="A181" s="91">
        <v>171</v>
      </c>
      <c r="B181" s="180" t="s">
        <v>291</v>
      </c>
      <c r="C181" s="32">
        <v>39738</v>
      </c>
      <c r="D181" s="178" t="s">
        <v>31</v>
      </c>
      <c r="E181" s="208">
        <v>67</v>
      </c>
      <c r="F181" s="33">
        <v>1</v>
      </c>
      <c r="G181" s="208">
        <v>43</v>
      </c>
      <c r="H181" s="339">
        <v>952</v>
      </c>
      <c r="I181" s="501">
        <v>238</v>
      </c>
      <c r="J181" s="108">
        <f>(I181/F181)</f>
        <v>238</v>
      </c>
      <c r="K181" s="197">
        <f>H181/I181</f>
        <v>4</v>
      </c>
      <c r="L181" s="12">
        <f>575413.5+2968+2376+2737+2376+2376+4752+2376+952</f>
        <v>596326.5</v>
      </c>
      <c r="M181" s="9">
        <f>83313+742+594+635+594+594+1188+594+238</f>
        <v>88492</v>
      </c>
      <c r="N181" s="176">
        <f>L181/M181</f>
        <v>6.738761695972517</v>
      </c>
      <c r="O181" s="99">
        <v>171</v>
      </c>
    </row>
    <row r="182" spans="1:15" s="90" customFormat="1" ht="12" customHeight="1">
      <c r="A182" s="91">
        <v>172</v>
      </c>
      <c r="B182" s="180" t="s">
        <v>291</v>
      </c>
      <c r="C182" s="32">
        <v>39738</v>
      </c>
      <c r="D182" s="588" t="s">
        <v>31</v>
      </c>
      <c r="E182" s="33">
        <v>67</v>
      </c>
      <c r="F182" s="33">
        <v>1</v>
      </c>
      <c r="G182" s="33">
        <v>46</v>
      </c>
      <c r="H182" s="339">
        <v>286</v>
      </c>
      <c r="I182" s="340">
        <v>42</v>
      </c>
      <c r="J182" s="97">
        <f>I182/F182</f>
        <v>42</v>
      </c>
      <c r="K182" s="209">
        <f>H182/I182</f>
        <v>6.809523809523809</v>
      </c>
      <c r="L182" s="12">
        <f>575413.5+2968+2376+2737+2376+2376+4752+2376+952+1780+226+286</f>
        <v>598618.5</v>
      </c>
      <c r="M182" s="13">
        <f>83313+742+594+635+594+594+1188+594+238+445+36+42</f>
        <v>89015</v>
      </c>
      <c r="N182" s="220">
        <f>L182/M182</f>
        <v>6.7249171487951465</v>
      </c>
      <c r="O182" s="99">
        <v>172</v>
      </c>
    </row>
    <row r="183" spans="1:15" s="90" customFormat="1" ht="12" customHeight="1">
      <c r="A183" s="91">
        <v>173</v>
      </c>
      <c r="B183" s="180" t="s">
        <v>291</v>
      </c>
      <c r="C183" s="671">
        <v>39738</v>
      </c>
      <c r="D183" s="588" t="s">
        <v>31</v>
      </c>
      <c r="E183" s="31">
        <v>67</v>
      </c>
      <c r="F183" s="31">
        <v>1</v>
      </c>
      <c r="G183" s="31">
        <v>45</v>
      </c>
      <c r="H183" s="509">
        <v>226</v>
      </c>
      <c r="I183" s="523">
        <v>36</v>
      </c>
      <c r="J183" s="245">
        <f>I183/F183</f>
        <v>36</v>
      </c>
      <c r="K183" s="221">
        <f>H183/I183</f>
        <v>6.277777777777778</v>
      </c>
      <c r="L183" s="26">
        <f>575413.5+2968+2376+2737+2376+2376+4752+2376+952+1780+226</f>
        <v>598332.5</v>
      </c>
      <c r="M183" s="27">
        <f>83313+742+594+635+594+594+1188+594+238+445+36</f>
        <v>88973</v>
      </c>
      <c r="N183" s="945">
        <f>L183/M183</f>
        <v>6.724877209940094</v>
      </c>
      <c r="O183" s="99">
        <v>173</v>
      </c>
    </row>
    <row r="184" spans="1:15" s="90" customFormat="1" ht="12" customHeight="1">
      <c r="A184" s="91">
        <v>174</v>
      </c>
      <c r="B184" s="200" t="s">
        <v>292</v>
      </c>
      <c r="C184" s="2">
        <v>40389</v>
      </c>
      <c r="D184" s="19" t="s">
        <v>10</v>
      </c>
      <c r="E184" s="3">
        <v>139</v>
      </c>
      <c r="F184" s="3">
        <v>1</v>
      </c>
      <c r="G184" s="3">
        <v>23</v>
      </c>
      <c r="H184" s="378">
        <v>9523</v>
      </c>
      <c r="I184" s="379">
        <v>1587</v>
      </c>
      <c r="J184" s="105">
        <f>I184/F184</f>
        <v>1587</v>
      </c>
      <c r="K184" s="183">
        <f>H184/I184</f>
        <v>6.000630119722747</v>
      </c>
      <c r="L184" s="44">
        <v>11041118</v>
      </c>
      <c r="M184" s="46">
        <v>1103147</v>
      </c>
      <c r="N184" s="201">
        <f>+L184/M184</f>
        <v>10.008745887900705</v>
      </c>
      <c r="O184" s="99">
        <v>174</v>
      </c>
    </row>
    <row r="185" spans="1:15" s="90" customFormat="1" ht="12" customHeight="1">
      <c r="A185" s="91">
        <v>175</v>
      </c>
      <c r="B185" s="200" t="s">
        <v>292</v>
      </c>
      <c r="C185" s="2">
        <v>40389</v>
      </c>
      <c r="D185" s="19" t="s">
        <v>10</v>
      </c>
      <c r="E185" s="3">
        <v>139</v>
      </c>
      <c r="F185" s="3">
        <v>2</v>
      </c>
      <c r="G185" s="3">
        <v>22</v>
      </c>
      <c r="H185" s="378">
        <v>1178</v>
      </c>
      <c r="I185" s="379">
        <v>911</v>
      </c>
      <c r="J185" s="105">
        <f>I185/F185</f>
        <v>455.5</v>
      </c>
      <c r="K185" s="183">
        <f>H185/I185</f>
        <v>1.2930845225027443</v>
      </c>
      <c r="L185" s="44">
        <v>11031595</v>
      </c>
      <c r="M185" s="46">
        <v>1101560</v>
      </c>
      <c r="N185" s="201">
        <f>+L185/M185</f>
        <v>10.014520316641853</v>
      </c>
      <c r="O185" s="99">
        <v>175</v>
      </c>
    </row>
    <row r="186" spans="1:15" s="90" customFormat="1" ht="12" customHeight="1">
      <c r="A186" s="91">
        <v>176</v>
      </c>
      <c r="B186" s="430" t="s">
        <v>293</v>
      </c>
      <c r="C186" s="377">
        <v>40480</v>
      </c>
      <c r="D186" s="118" t="s">
        <v>8</v>
      </c>
      <c r="E186" s="119">
        <v>1</v>
      </c>
      <c r="F186" s="5">
        <v>1</v>
      </c>
      <c r="G186" s="5">
        <v>15</v>
      </c>
      <c r="H186" s="494">
        <v>961</v>
      </c>
      <c r="I186" s="495">
        <v>135</v>
      </c>
      <c r="J186" s="245">
        <f>I186/F186</f>
        <v>135</v>
      </c>
      <c r="K186" s="318">
        <f>H186/I186</f>
        <v>7.118518518518519</v>
      </c>
      <c r="L186" s="10">
        <v>16922</v>
      </c>
      <c r="M186" s="11">
        <v>1420</v>
      </c>
      <c r="N186" s="122">
        <f>+L186/M186</f>
        <v>11.916901408450704</v>
      </c>
      <c r="O186" s="99">
        <v>176</v>
      </c>
    </row>
    <row r="187" spans="1:15" s="90" customFormat="1" ht="12" customHeight="1">
      <c r="A187" s="91">
        <v>177</v>
      </c>
      <c r="B187" s="602" t="s">
        <v>293</v>
      </c>
      <c r="C187" s="658">
        <v>40480</v>
      </c>
      <c r="D187" s="594" t="s">
        <v>8</v>
      </c>
      <c r="E187" s="24">
        <v>1</v>
      </c>
      <c r="F187" s="24">
        <v>1</v>
      </c>
      <c r="G187" s="24">
        <v>20</v>
      </c>
      <c r="H187" s="528">
        <v>898</v>
      </c>
      <c r="I187" s="529">
        <v>122</v>
      </c>
      <c r="J187" s="245">
        <f>I187/F187</f>
        <v>122</v>
      </c>
      <c r="K187" s="318">
        <f>H187/I187</f>
        <v>7.360655737704918</v>
      </c>
      <c r="L187" s="23">
        <v>19242</v>
      </c>
      <c r="M187" s="431">
        <v>1707</v>
      </c>
      <c r="N187" s="329">
        <f>+L187/M187</f>
        <v>11.272407732864675</v>
      </c>
      <c r="O187" s="99">
        <v>177</v>
      </c>
    </row>
    <row r="188" spans="1:15" s="90" customFormat="1" ht="12" customHeight="1">
      <c r="A188" s="91">
        <v>178</v>
      </c>
      <c r="B188" s="430" t="s">
        <v>293</v>
      </c>
      <c r="C188" s="113">
        <v>40480</v>
      </c>
      <c r="D188" s="118" t="s">
        <v>8</v>
      </c>
      <c r="E188" s="119">
        <v>1</v>
      </c>
      <c r="F188" s="5">
        <v>1</v>
      </c>
      <c r="G188" s="343">
        <v>16</v>
      </c>
      <c r="H188" s="494">
        <v>574</v>
      </c>
      <c r="I188" s="495">
        <v>81</v>
      </c>
      <c r="J188" s="97">
        <f>I188/F188</f>
        <v>81</v>
      </c>
      <c r="K188" s="96">
        <f>H188/I188</f>
        <v>7.08641975308642</v>
      </c>
      <c r="L188" s="10">
        <v>17076</v>
      </c>
      <c r="M188" s="11">
        <v>1441</v>
      </c>
      <c r="N188" s="122">
        <f>+L188/M188</f>
        <v>11.850104094378903</v>
      </c>
      <c r="O188" s="99">
        <v>178</v>
      </c>
    </row>
    <row r="189" spans="1:15" s="90" customFormat="1" ht="12" customHeight="1">
      <c r="A189" s="91">
        <v>179</v>
      </c>
      <c r="B189" s="430" t="s">
        <v>293</v>
      </c>
      <c r="C189" s="113">
        <v>40480</v>
      </c>
      <c r="D189" s="118" t="s">
        <v>8</v>
      </c>
      <c r="E189" s="119">
        <v>1</v>
      </c>
      <c r="F189" s="119">
        <v>1</v>
      </c>
      <c r="G189" s="119">
        <v>13</v>
      </c>
      <c r="H189" s="528">
        <v>492</v>
      </c>
      <c r="I189" s="529">
        <v>72</v>
      </c>
      <c r="J189" s="245">
        <f>I189/F189</f>
        <v>72</v>
      </c>
      <c r="K189" s="318">
        <f>H189/I189</f>
        <v>6.833333333333333</v>
      </c>
      <c r="L189" s="23">
        <v>15720</v>
      </c>
      <c r="M189" s="431">
        <v>1252</v>
      </c>
      <c r="N189" s="329">
        <f>+L189/M189</f>
        <v>12.55591054313099</v>
      </c>
      <c r="O189" s="99">
        <v>179</v>
      </c>
    </row>
    <row r="190" spans="1:15" s="90" customFormat="1" ht="12" customHeight="1">
      <c r="A190" s="91">
        <v>180</v>
      </c>
      <c r="B190" s="602" t="s">
        <v>293</v>
      </c>
      <c r="C190" s="113">
        <v>40480</v>
      </c>
      <c r="D190" s="594" t="s">
        <v>8</v>
      </c>
      <c r="E190" s="24">
        <v>1</v>
      </c>
      <c r="F190" s="24">
        <v>1</v>
      </c>
      <c r="G190" s="24">
        <v>19</v>
      </c>
      <c r="H190" s="528">
        <v>453</v>
      </c>
      <c r="I190" s="529">
        <v>47</v>
      </c>
      <c r="J190" s="245">
        <f>I190/F190</f>
        <v>47</v>
      </c>
      <c r="K190" s="318">
        <f>H190/I190</f>
        <v>9.638297872340425</v>
      </c>
      <c r="L190" s="23">
        <v>18344</v>
      </c>
      <c r="M190" s="431">
        <v>1585</v>
      </c>
      <c r="N190" s="329">
        <f>+L190/M190</f>
        <v>11.573501577287066</v>
      </c>
      <c r="O190" s="99">
        <v>180</v>
      </c>
    </row>
    <row r="191" spans="1:15" s="90" customFormat="1" ht="12" customHeight="1">
      <c r="A191" s="91">
        <v>181</v>
      </c>
      <c r="B191" s="602" t="s">
        <v>293</v>
      </c>
      <c r="C191" s="113">
        <v>40480</v>
      </c>
      <c r="D191" s="594" t="s">
        <v>8</v>
      </c>
      <c r="E191" s="24">
        <v>1</v>
      </c>
      <c r="F191" s="24">
        <v>1</v>
      </c>
      <c r="G191" s="24">
        <v>18</v>
      </c>
      <c r="H191" s="494">
        <v>436</v>
      </c>
      <c r="I191" s="495">
        <v>49</v>
      </c>
      <c r="J191" s="97">
        <f>I191/F191</f>
        <v>49</v>
      </c>
      <c r="K191" s="96">
        <f>H191/I191</f>
        <v>8.89795918367347</v>
      </c>
      <c r="L191" s="10">
        <v>17891</v>
      </c>
      <c r="M191" s="11">
        <v>1538</v>
      </c>
      <c r="N191" s="122">
        <f>+L191/M191</f>
        <v>11.632639791937581</v>
      </c>
      <c r="O191" s="99">
        <v>181</v>
      </c>
    </row>
    <row r="192" spans="1:15" s="90" customFormat="1" ht="12" customHeight="1">
      <c r="A192" s="91">
        <v>182</v>
      </c>
      <c r="B192" s="205" t="s">
        <v>293</v>
      </c>
      <c r="C192" s="2">
        <v>40480</v>
      </c>
      <c r="D192" s="21" t="s">
        <v>8</v>
      </c>
      <c r="E192" s="5">
        <v>1</v>
      </c>
      <c r="F192" s="5">
        <v>1</v>
      </c>
      <c r="G192" s="5">
        <v>9</v>
      </c>
      <c r="H192" s="494">
        <v>368</v>
      </c>
      <c r="I192" s="495">
        <v>57</v>
      </c>
      <c r="J192" s="97">
        <f>+I192/F192</f>
        <v>57</v>
      </c>
      <c r="K192" s="209">
        <f>+H192/I192</f>
        <v>6.456140350877193</v>
      </c>
      <c r="L192" s="10">
        <v>14543</v>
      </c>
      <c r="M192" s="11">
        <v>1072</v>
      </c>
      <c r="N192" s="210">
        <f>+L192/M192</f>
        <v>13.566231343283581</v>
      </c>
      <c r="O192" s="99">
        <v>182</v>
      </c>
    </row>
    <row r="193" spans="1:15" s="90" customFormat="1" ht="12" customHeight="1">
      <c r="A193" s="91">
        <v>183</v>
      </c>
      <c r="B193" s="205" t="s">
        <v>293</v>
      </c>
      <c r="C193" s="2">
        <v>40480</v>
      </c>
      <c r="D193" s="21" t="s">
        <v>8</v>
      </c>
      <c r="E193" s="5">
        <v>1</v>
      </c>
      <c r="F193" s="5">
        <v>1</v>
      </c>
      <c r="G193" s="5">
        <v>11</v>
      </c>
      <c r="H193" s="494">
        <v>341</v>
      </c>
      <c r="I193" s="495">
        <v>57</v>
      </c>
      <c r="J193" s="97">
        <f>+I193/F193</f>
        <v>57</v>
      </c>
      <c r="K193" s="209">
        <f>+H193/I193</f>
        <v>5.982456140350878</v>
      </c>
      <c r="L193" s="10">
        <v>15150</v>
      </c>
      <c r="M193" s="11">
        <v>1167</v>
      </c>
      <c r="N193" s="210">
        <f>+L193/M193</f>
        <v>12.982005141388175</v>
      </c>
      <c r="O193" s="99">
        <v>183</v>
      </c>
    </row>
    <row r="194" spans="1:15" s="90" customFormat="1" ht="12" customHeight="1">
      <c r="A194" s="91">
        <v>184</v>
      </c>
      <c r="B194" s="430" t="s">
        <v>293</v>
      </c>
      <c r="C194" s="113">
        <v>40480</v>
      </c>
      <c r="D194" s="118" t="s">
        <v>8</v>
      </c>
      <c r="E194" s="5">
        <v>1</v>
      </c>
      <c r="F194" s="5">
        <v>1</v>
      </c>
      <c r="G194" s="5">
        <v>16</v>
      </c>
      <c r="H194" s="494">
        <v>288</v>
      </c>
      <c r="I194" s="495">
        <v>32</v>
      </c>
      <c r="J194" s="97">
        <f>I194/F194</f>
        <v>32</v>
      </c>
      <c r="K194" s="96">
        <f>H194/I194</f>
        <v>9</v>
      </c>
      <c r="L194" s="10">
        <v>1473</v>
      </c>
      <c r="M194" s="11">
        <v>17363</v>
      </c>
      <c r="N194" s="124">
        <f>L194/M194</f>
        <v>0.08483556988999597</v>
      </c>
      <c r="O194" s="99">
        <v>184</v>
      </c>
    </row>
    <row r="195" spans="1:15" s="90" customFormat="1" ht="12" customHeight="1">
      <c r="A195" s="91">
        <v>185</v>
      </c>
      <c r="B195" s="205" t="s">
        <v>293</v>
      </c>
      <c r="C195" s="2">
        <v>40480</v>
      </c>
      <c r="D195" s="21" t="s">
        <v>8</v>
      </c>
      <c r="E195" s="5">
        <v>1</v>
      </c>
      <c r="F195" s="5">
        <v>1</v>
      </c>
      <c r="G195" s="5">
        <v>10</v>
      </c>
      <c r="H195" s="494">
        <v>266</v>
      </c>
      <c r="I195" s="495">
        <v>38</v>
      </c>
      <c r="J195" s="97">
        <f>+I195/F195</f>
        <v>38</v>
      </c>
      <c r="K195" s="209">
        <f>+H195/I195</f>
        <v>7</v>
      </c>
      <c r="L195" s="10">
        <v>14809</v>
      </c>
      <c r="M195" s="11">
        <v>1110</v>
      </c>
      <c r="N195" s="210">
        <f>+L195/M195</f>
        <v>13.341441441441441</v>
      </c>
      <c r="O195" s="99">
        <v>185</v>
      </c>
    </row>
    <row r="196" spans="1:15" s="90" customFormat="1" ht="12" customHeight="1">
      <c r="A196" s="91">
        <v>186</v>
      </c>
      <c r="B196" s="474" t="s">
        <v>293</v>
      </c>
      <c r="C196" s="475">
        <v>40480</v>
      </c>
      <c r="D196" s="476" t="s">
        <v>8</v>
      </c>
      <c r="E196" s="334">
        <v>1</v>
      </c>
      <c r="F196" s="6">
        <v>1</v>
      </c>
      <c r="G196" s="6">
        <v>14</v>
      </c>
      <c r="H196" s="537">
        <v>241</v>
      </c>
      <c r="I196" s="536">
        <v>33</v>
      </c>
      <c r="J196" s="280">
        <f>I196/F196</f>
        <v>33</v>
      </c>
      <c r="K196" s="317">
        <f>H196/I196</f>
        <v>7.303030303030303</v>
      </c>
      <c r="L196" s="7">
        <v>15961</v>
      </c>
      <c r="M196" s="8">
        <v>1285</v>
      </c>
      <c r="N196" s="101">
        <f>L196/M196</f>
        <v>12.421011673151751</v>
      </c>
      <c r="O196" s="99">
        <v>186</v>
      </c>
    </row>
    <row r="197" spans="1:15" s="90" customFormat="1" ht="12" customHeight="1">
      <c r="A197" s="91">
        <v>187</v>
      </c>
      <c r="B197" s="474" t="s">
        <v>293</v>
      </c>
      <c r="C197" s="475">
        <v>40480</v>
      </c>
      <c r="D197" s="476" t="s">
        <v>8</v>
      </c>
      <c r="E197" s="6">
        <v>1</v>
      </c>
      <c r="F197" s="6">
        <v>1</v>
      </c>
      <c r="G197" s="6">
        <v>17</v>
      </c>
      <c r="H197" s="537">
        <v>92</v>
      </c>
      <c r="I197" s="536">
        <v>16</v>
      </c>
      <c r="J197" s="94">
        <f>I197/F197</f>
        <v>16</v>
      </c>
      <c r="K197" s="95">
        <f>H197/I197</f>
        <v>5.75</v>
      </c>
      <c r="L197" s="7">
        <v>17455</v>
      </c>
      <c r="M197" s="8">
        <v>1489</v>
      </c>
      <c r="N197" s="98">
        <f>+L197/M197</f>
        <v>11.722632639355272</v>
      </c>
      <c r="O197" s="99">
        <v>187</v>
      </c>
    </row>
    <row r="198" spans="1:15" s="90" customFormat="1" ht="12" customHeight="1">
      <c r="A198" s="91">
        <v>188</v>
      </c>
      <c r="B198" s="205" t="s">
        <v>293</v>
      </c>
      <c r="C198" s="2">
        <v>40480</v>
      </c>
      <c r="D198" s="21" t="s">
        <v>8</v>
      </c>
      <c r="E198" s="5">
        <v>21</v>
      </c>
      <c r="F198" s="5">
        <v>1</v>
      </c>
      <c r="G198" s="5">
        <v>12</v>
      </c>
      <c r="H198" s="494">
        <v>78</v>
      </c>
      <c r="I198" s="495">
        <v>13</v>
      </c>
      <c r="J198" s="105">
        <f>I198/F198</f>
        <v>13</v>
      </c>
      <c r="K198" s="183">
        <f>H198/I198</f>
        <v>6</v>
      </c>
      <c r="L198" s="10">
        <v>15228</v>
      </c>
      <c r="M198" s="11">
        <v>1180</v>
      </c>
      <c r="N198" s="210">
        <f>+L198/M198</f>
        <v>12.905084745762712</v>
      </c>
      <c r="O198" s="99">
        <v>188</v>
      </c>
    </row>
    <row r="199" spans="1:15" s="90" customFormat="1" ht="12" customHeight="1">
      <c r="A199" s="91">
        <v>189</v>
      </c>
      <c r="B199" s="229" t="s">
        <v>293</v>
      </c>
      <c r="C199" s="2">
        <v>40480</v>
      </c>
      <c r="D199" s="25" t="s">
        <v>8</v>
      </c>
      <c r="E199" s="5">
        <v>1</v>
      </c>
      <c r="F199" s="5">
        <v>1</v>
      </c>
      <c r="G199" s="5">
        <v>8</v>
      </c>
      <c r="H199" s="528">
        <v>42</v>
      </c>
      <c r="I199" s="495">
        <v>6</v>
      </c>
      <c r="J199" s="97">
        <f>+I199/F199</f>
        <v>6</v>
      </c>
      <c r="K199" s="221">
        <f>+H199/I199</f>
        <v>7</v>
      </c>
      <c r="L199" s="23">
        <v>14175</v>
      </c>
      <c r="M199" s="11">
        <v>1015</v>
      </c>
      <c r="N199" s="210">
        <f>+L199/M199</f>
        <v>13.96551724137931</v>
      </c>
      <c r="O199" s="99">
        <v>189</v>
      </c>
    </row>
    <row r="200" spans="1:15" s="90" customFormat="1" ht="12" customHeight="1">
      <c r="A200" s="91">
        <v>190</v>
      </c>
      <c r="B200" s="192" t="s">
        <v>294</v>
      </c>
      <c r="C200" s="32">
        <v>39710</v>
      </c>
      <c r="D200" s="178" t="s">
        <v>31</v>
      </c>
      <c r="E200" s="181">
        <v>1</v>
      </c>
      <c r="F200" s="181">
        <v>1</v>
      </c>
      <c r="G200" s="181">
        <v>16</v>
      </c>
      <c r="H200" s="509">
        <v>236</v>
      </c>
      <c r="I200" s="523">
        <v>59</v>
      </c>
      <c r="J200" s="182">
        <f>(I200/F200)</f>
        <v>59</v>
      </c>
      <c r="K200" s="179">
        <f>H200/I200</f>
        <v>4</v>
      </c>
      <c r="L200" s="26">
        <f>11305+5960+2538+2056+455+891+1621+1302+712+1484+1484+1424+1188+1188+1188+236</f>
        <v>35032</v>
      </c>
      <c r="M200" s="27">
        <f>835+676+295+239+136+275+187+148+178+371+371+356+297+297+297+59</f>
        <v>5017</v>
      </c>
      <c r="N200" s="176">
        <f>L200/M200</f>
        <v>6.982658959537572</v>
      </c>
      <c r="O200" s="99">
        <v>190</v>
      </c>
    </row>
    <row r="201" spans="1:15" s="90" customFormat="1" ht="12" customHeight="1">
      <c r="A201" s="91">
        <v>191</v>
      </c>
      <c r="B201" s="192" t="s">
        <v>295</v>
      </c>
      <c r="C201" s="32">
        <v>39997</v>
      </c>
      <c r="D201" s="178" t="s">
        <v>31</v>
      </c>
      <c r="E201" s="181">
        <v>5</v>
      </c>
      <c r="F201" s="181">
        <v>1</v>
      </c>
      <c r="G201" s="181">
        <v>21</v>
      </c>
      <c r="H201" s="339">
        <v>952</v>
      </c>
      <c r="I201" s="340">
        <v>238</v>
      </c>
      <c r="J201" s="108">
        <f>(I201/F201)</f>
        <v>238</v>
      </c>
      <c r="K201" s="174">
        <f>H201/I201</f>
        <v>4</v>
      </c>
      <c r="L201" s="12">
        <f>18914.5+7321+4028.5+1674+6130+4818.5+6984.5+5012.5+1695+4556+3587.5+1286+2931+2868+2878.5+3369+1780+1780+162+63+952</f>
        <v>82791.5</v>
      </c>
      <c r="M201" s="13">
        <f>1467+674+673+324+645+765+779+620+311+670+508+195+503+424+502+755+445+445+35+21+238</f>
        <v>10999</v>
      </c>
      <c r="N201" s="176">
        <f>L201/M201</f>
        <v>7.527184289480862</v>
      </c>
      <c r="O201" s="99">
        <v>191</v>
      </c>
    </row>
    <row r="202" spans="1:15" s="90" customFormat="1" ht="12" customHeight="1">
      <c r="A202" s="91">
        <v>192</v>
      </c>
      <c r="B202" s="282" t="s">
        <v>260</v>
      </c>
      <c r="C202" s="113">
        <v>40445</v>
      </c>
      <c r="D202" s="114" t="s">
        <v>261</v>
      </c>
      <c r="E202" s="119">
        <v>3</v>
      </c>
      <c r="F202" s="119">
        <v>1</v>
      </c>
      <c r="G202" s="119">
        <v>11</v>
      </c>
      <c r="H202" s="339">
        <v>968</v>
      </c>
      <c r="I202" s="340">
        <v>96</v>
      </c>
      <c r="J202" s="97">
        <f>I202/F202</f>
        <v>96</v>
      </c>
      <c r="K202" s="96">
        <f>H202/I202</f>
        <v>10.083333333333334</v>
      </c>
      <c r="L202" s="242">
        <v>25133</v>
      </c>
      <c r="M202" s="241">
        <v>2678</v>
      </c>
      <c r="N202" s="124">
        <f>L202/M202</f>
        <v>9.384988797610157</v>
      </c>
      <c r="O202" s="99">
        <v>192</v>
      </c>
    </row>
    <row r="203" spans="1:15" s="90" customFormat="1" ht="12" customHeight="1">
      <c r="A203" s="91">
        <v>193</v>
      </c>
      <c r="B203" s="282" t="s">
        <v>260</v>
      </c>
      <c r="C203" s="113">
        <v>40445</v>
      </c>
      <c r="D203" s="114" t="s">
        <v>261</v>
      </c>
      <c r="E203" s="119">
        <v>3</v>
      </c>
      <c r="F203" s="119">
        <v>1</v>
      </c>
      <c r="G203" s="119">
        <v>12</v>
      </c>
      <c r="H203" s="383">
        <v>844</v>
      </c>
      <c r="I203" s="384">
        <v>84</v>
      </c>
      <c r="J203" s="97">
        <f>I203/F203</f>
        <v>84</v>
      </c>
      <c r="K203" s="96">
        <f>H203/I203</f>
        <v>10.047619047619047</v>
      </c>
      <c r="L203" s="375">
        <v>25977</v>
      </c>
      <c r="M203" s="376">
        <v>9405</v>
      </c>
      <c r="N203" s="122">
        <f>+L203/M203</f>
        <v>2.762041467304625</v>
      </c>
      <c r="O203" s="99">
        <v>193</v>
      </c>
    </row>
    <row r="204" spans="1:15" s="90" customFormat="1" ht="12" customHeight="1">
      <c r="A204" s="91">
        <v>194</v>
      </c>
      <c r="B204" s="716" t="s">
        <v>296</v>
      </c>
      <c r="C204" s="671">
        <v>40424</v>
      </c>
      <c r="D204" s="580" t="s">
        <v>31</v>
      </c>
      <c r="E204" s="33">
        <v>5</v>
      </c>
      <c r="F204" s="33">
        <v>2</v>
      </c>
      <c r="G204" s="33">
        <v>11</v>
      </c>
      <c r="H204" s="339">
        <v>1435</v>
      </c>
      <c r="I204" s="340">
        <v>183</v>
      </c>
      <c r="J204" s="97">
        <f>I204/F204</f>
        <v>91.5</v>
      </c>
      <c r="K204" s="96">
        <f>H204/I204</f>
        <v>7.841530054644808</v>
      </c>
      <c r="L204" s="12">
        <f>11822.5+3468.5+3273+3742.5+3152+1092+927+1058+2153.5+1188+1435</f>
        <v>33312</v>
      </c>
      <c r="M204" s="13">
        <f>827+293+410+398+368+137+124+170+462+297+183</f>
        <v>3669</v>
      </c>
      <c r="N204" s="122">
        <f>+L204/M204</f>
        <v>9.079313164349958</v>
      </c>
      <c r="O204" s="99">
        <v>194</v>
      </c>
    </row>
    <row r="205" spans="1:15" s="90" customFormat="1" ht="12" customHeight="1">
      <c r="A205" s="91">
        <v>195</v>
      </c>
      <c r="B205" s="180" t="s">
        <v>296</v>
      </c>
      <c r="C205" s="32">
        <v>40424</v>
      </c>
      <c r="D205" s="178" t="s">
        <v>31</v>
      </c>
      <c r="E205" s="33">
        <v>5</v>
      </c>
      <c r="F205" s="33">
        <v>1</v>
      </c>
      <c r="G205" s="33">
        <v>10</v>
      </c>
      <c r="H205" s="339">
        <v>1188</v>
      </c>
      <c r="I205" s="340">
        <v>297</v>
      </c>
      <c r="J205" s="108">
        <f>(I205/F205)</f>
        <v>297</v>
      </c>
      <c r="K205" s="174">
        <f>H205/I205</f>
        <v>4</v>
      </c>
      <c r="L205" s="12">
        <f>11822.5+3468.5+3273+3742.5+3152+1092+927+1058+2153.5+1188</f>
        <v>31877</v>
      </c>
      <c r="M205" s="13">
        <f>827+293+410+398+368+137+124+170+462+297</f>
        <v>3486</v>
      </c>
      <c r="N205" s="176">
        <f>L205/M205</f>
        <v>9.144291451520367</v>
      </c>
      <c r="O205" s="99">
        <v>195</v>
      </c>
    </row>
    <row r="206" spans="1:15" s="90" customFormat="1" ht="12" customHeight="1">
      <c r="A206" s="91">
        <v>196</v>
      </c>
      <c r="B206" s="205" t="s">
        <v>297</v>
      </c>
      <c r="C206" s="2">
        <v>39647</v>
      </c>
      <c r="D206" s="20" t="s">
        <v>21</v>
      </c>
      <c r="E206" s="5">
        <v>108</v>
      </c>
      <c r="F206" s="5">
        <v>1</v>
      </c>
      <c r="G206" s="5">
        <v>20</v>
      </c>
      <c r="H206" s="497">
        <v>3020</v>
      </c>
      <c r="I206" s="498">
        <v>604</v>
      </c>
      <c r="J206" s="97">
        <f>+I206/F206</f>
        <v>604</v>
      </c>
      <c r="K206" s="209">
        <f>+H206/I206</f>
        <v>5</v>
      </c>
      <c r="L206" s="35">
        <f>4275145.5+3020</f>
        <v>4278165.5</v>
      </c>
      <c r="M206" s="38">
        <f>437002+604</f>
        <v>437606</v>
      </c>
      <c r="N206" s="210">
        <f>IF(L206&lt;&gt;0,L206/M206,"")</f>
        <v>9.776295343299681</v>
      </c>
      <c r="O206" s="99">
        <v>196</v>
      </c>
    </row>
    <row r="207" spans="1:15" s="90" customFormat="1" ht="12" customHeight="1">
      <c r="A207" s="91">
        <v>197</v>
      </c>
      <c r="B207" s="202" t="s">
        <v>153</v>
      </c>
      <c r="C207" s="2">
        <v>40452</v>
      </c>
      <c r="D207" s="19" t="s">
        <v>21</v>
      </c>
      <c r="E207" s="3">
        <v>67</v>
      </c>
      <c r="F207" s="3">
        <v>3</v>
      </c>
      <c r="G207" s="3">
        <v>12</v>
      </c>
      <c r="H207" s="497">
        <v>1188</v>
      </c>
      <c r="I207" s="498">
        <v>297</v>
      </c>
      <c r="J207" s="97">
        <f>IF(H207&lt;&gt;0,I207/F207,"")</f>
        <v>99</v>
      </c>
      <c r="K207" s="209">
        <f>IF(H207&lt;&gt;0,H207/I207,"")</f>
        <v>4</v>
      </c>
      <c r="L207" s="35">
        <f>148907+7057+8529+4040+573.5+1227+412+727+521+258+1188</f>
        <v>173439.5</v>
      </c>
      <c r="M207" s="38">
        <f>14954+1128+1323+621+141+331+59+105+73+51+297</f>
        <v>19083</v>
      </c>
      <c r="N207" s="210">
        <f>IF(L207&lt;&gt;0,L207/M207,"")</f>
        <v>9.08869150552848</v>
      </c>
      <c r="O207" s="99">
        <v>197</v>
      </c>
    </row>
    <row r="208" spans="1:15" s="90" customFormat="1" ht="12" customHeight="1">
      <c r="A208" s="91">
        <v>198</v>
      </c>
      <c r="B208" s="202" t="s">
        <v>153</v>
      </c>
      <c r="C208" s="2">
        <v>40452</v>
      </c>
      <c r="D208" s="22" t="s">
        <v>21</v>
      </c>
      <c r="E208" s="3">
        <v>67</v>
      </c>
      <c r="F208" s="3">
        <v>3</v>
      </c>
      <c r="G208" s="3">
        <v>11</v>
      </c>
      <c r="H208" s="515">
        <v>258</v>
      </c>
      <c r="I208" s="498">
        <v>51</v>
      </c>
      <c r="J208" s="97">
        <f>IF(H208&lt;&gt;0,I208/F208,"")</f>
        <v>17</v>
      </c>
      <c r="K208" s="221">
        <f>IF(H208&lt;&gt;0,H208/I208,"")</f>
        <v>5.0588235294117645</v>
      </c>
      <c r="L208" s="34">
        <f>148907+7057+8529+4040+573.5+1227+412+727+521+H208</f>
        <v>172251.5</v>
      </c>
      <c r="M208" s="38">
        <f>14954+1128+1323+621+141+331+59+105+73+I208</f>
        <v>18786</v>
      </c>
      <c r="N208" s="210">
        <f>IF(L208&lt;&gt;0,L208/M208,"")</f>
        <v>9.16914191419142</v>
      </c>
      <c r="O208" s="99">
        <v>198</v>
      </c>
    </row>
    <row r="209" spans="1:15" s="90" customFormat="1" ht="12" customHeight="1">
      <c r="A209" s="91">
        <v>199</v>
      </c>
      <c r="B209" s="205" t="s">
        <v>153</v>
      </c>
      <c r="C209" s="2">
        <v>40452</v>
      </c>
      <c r="D209" s="20" t="s">
        <v>21</v>
      </c>
      <c r="E209" s="5">
        <v>67</v>
      </c>
      <c r="F209" s="5">
        <v>1</v>
      </c>
      <c r="G209" s="5">
        <v>13</v>
      </c>
      <c r="H209" s="515">
        <v>129</v>
      </c>
      <c r="I209" s="527">
        <v>19</v>
      </c>
      <c r="J209" s="245">
        <f>IF(H209&lt;&gt;0,I209/F209,"")</f>
        <v>19</v>
      </c>
      <c r="K209" s="221">
        <f>IF(H209&lt;&gt;0,H209/I209,"")</f>
        <v>6.7894736842105265</v>
      </c>
      <c r="L209" s="34">
        <f>148907+7057+8529+4040+573.5+1227+412+727+521+258+1188+129</f>
        <v>173568.5</v>
      </c>
      <c r="M209" s="29">
        <f>14954+1128+1323+621+141+331+59+105+73+51+297+19</f>
        <v>19102</v>
      </c>
      <c r="N209" s="210">
        <f>IF(L209&lt;&gt;0,L209/M209,"")</f>
        <v>9.086404564967019</v>
      </c>
      <c r="O209" s="99">
        <v>199</v>
      </c>
    </row>
    <row r="210" spans="1:15" s="90" customFormat="1" ht="12" customHeight="1">
      <c r="A210" s="91">
        <v>200</v>
      </c>
      <c r="B210" s="411" t="s">
        <v>298</v>
      </c>
      <c r="C210" s="412">
        <v>40368</v>
      </c>
      <c r="D210" s="178" t="s">
        <v>31</v>
      </c>
      <c r="E210" s="413">
        <v>126</v>
      </c>
      <c r="F210" s="413">
        <v>1</v>
      </c>
      <c r="G210" s="413">
        <v>23</v>
      </c>
      <c r="H210" s="339">
        <v>1782</v>
      </c>
      <c r="I210" s="340">
        <v>445</v>
      </c>
      <c r="J210" s="108">
        <f>(I210/F210)</f>
        <v>445</v>
      </c>
      <c r="K210" s="174">
        <f>H210/I210</f>
        <v>4.004494382022472</v>
      </c>
      <c r="L210" s="12">
        <f>2106797.5+50230.5+32558.5+15249.5+15137+17418.5+7784.5+2808+2841.5+1328+2453+1693+613+726+713+1425.5+1782+1437+1782</f>
        <v>2264778</v>
      </c>
      <c r="M210" s="13">
        <f>220679+7944+5486+2451+2714+3159+1414+494+658+202+452+398+85+227+178+356+445+228+445</f>
        <v>248015</v>
      </c>
      <c r="N210" s="176">
        <f>L210/M210</f>
        <v>9.131617039291978</v>
      </c>
      <c r="O210" s="99">
        <v>200</v>
      </c>
    </row>
    <row r="211" spans="1:15" s="90" customFormat="1" ht="12" customHeight="1">
      <c r="A211" s="91">
        <v>201</v>
      </c>
      <c r="B211" s="466" t="s">
        <v>298</v>
      </c>
      <c r="C211" s="185">
        <v>40368</v>
      </c>
      <c r="D211" s="114" t="s">
        <v>31</v>
      </c>
      <c r="E211" s="186">
        <v>126</v>
      </c>
      <c r="F211" s="186">
        <v>1</v>
      </c>
      <c r="G211" s="186">
        <v>25</v>
      </c>
      <c r="H211" s="339">
        <v>1544.5</v>
      </c>
      <c r="I211" s="340">
        <v>386</v>
      </c>
      <c r="J211" s="97">
        <f>I211/F211</f>
        <v>386</v>
      </c>
      <c r="K211" s="96">
        <f>H211/I211</f>
        <v>4.001295336787565</v>
      </c>
      <c r="L211" s="12">
        <f>2106797.5+50230.5+32558.5+15249.5+15137+17418.5+7784.5+2808+2841.5+1328+2453+1693+613+726+713+1425.5+1782+1437+1782+2376+1544.5</f>
        <v>2268698.5</v>
      </c>
      <c r="M211" s="13">
        <f>220679+7944+5486+2451+2714+3159+1414+494+658+202+452+398+85+227+178+356+445+228+445+594+386</f>
        <v>248995</v>
      </c>
      <c r="N211" s="122">
        <f>+L211/M211</f>
        <v>9.111421916102733</v>
      </c>
      <c r="O211" s="99">
        <v>201</v>
      </c>
    </row>
    <row r="212" spans="1:15" s="90" customFormat="1" ht="12" customHeight="1">
      <c r="A212" s="91">
        <v>202</v>
      </c>
      <c r="B212" s="466" t="s">
        <v>299</v>
      </c>
      <c r="C212" s="185">
        <v>40368</v>
      </c>
      <c r="D212" s="114" t="s">
        <v>31</v>
      </c>
      <c r="E212" s="186">
        <v>126</v>
      </c>
      <c r="F212" s="186">
        <v>1</v>
      </c>
      <c r="G212" s="186">
        <v>26</v>
      </c>
      <c r="H212" s="339">
        <v>2376</v>
      </c>
      <c r="I212" s="340">
        <v>594</v>
      </c>
      <c r="J212" s="245">
        <f>I212/F212</f>
        <v>594</v>
      </c>
      <c r="K212" s="318">
        <f>H212/I212</f>
        <v>4</v>
      </c>
      <c r="L212" s="12">
        <f>2106797.5+50230.5+32558.5+15249.5+15137+17418.5+7784.5+2808+2841.5+1328+2453+1693+613+726+713+1425.5+1782+1437+1782+2376+1544.5+2376</f>
        <v>2271074.5</v>
      </c>
      <c r="M212" s="13">
        <f>220679+7944+5486+2451+2714+3159+1414+494+658+202+452+398+85+227+178+356+445+228+445+594+386+594</f>
        <v>249589</v>
      </c>
      <c r="N212" s="124">
        <f>+L212/M212</f>
        <v>9.09925717880195</v>
      </c>
      <c r="O212" s="99">
        <v>202</v>
      </c>
    </row>
    <row r="213" spans="1:15" s="90" customFormat="1" ht="12" customHeight="1">
      <c r="A213" s="91">
        <v>203</v>
      </c>
      <c r="B213" s="424" t="s">
        <v>299</v>
      </c>
      <c r="C213" s="425">
        <v>40368</v>
      </c>
      <c r="D213" s="114" t="s">
        <v>31</v>
      </c>
      <c r="E213" s="427">
        <v>126</v>
      </c>
      <c r="F213" s="186">
        <v>1</v>
      </c>
      <c r="G213" s="337">
        <v>24</v>
      </c>
      <c r="H213" s="339">
        <v>2376</v>
      </c>
      <c r="I213" s="340">
        <v>594</v>
      </c>
      <c r="J213" s="97">
        <f>I213/F213</f>
        <v>594</v>
      </c>
      <c r="K213" s="96">
        <f>H213/I213</f>
        <v>4</v>
      </c>
      <c r="L213" s="12">
        <f>2106797.5+50230.5+32558.5+15249.5+15137+17418.5+7784.5+2808+2841.5+1328+2453+1693+613+726+713+1425.5+1782+1437+1782+2376</f>
        <v>2267154</v>
      </c>
      <c r="M213" s="13">
        <f>220679+7944+5486+2451+2714+3159+1414+494+658+202+452+398+85+227+178+356+445+228+445+594</f>
        <v>248609</v>
      </c>
      <c r="N213" s="124">
        <f>L213/M213</f>
        <v>9.11935609732552</v>
      </c>
      <c r="O213" s="99">
        <v>203</v>
      </c>
    </row>
    <row r="214" spans="1:15" s="90" customFormat="1" ht="12" customHeight="1">
      <c r="A214" s="91">
        <v>204</v>
      </c>
      <c r="B214" s="609" t="s">
        <v>299</v>
      </c>
      <c r="C214" s="185">
        <v>40368</v>
      </c>
      <c r="D214" s="580" t="s">
        <v>31</v>
      </c>
      <c r="E214" s="585">
        <v>126</v>
      </c>
      <c r="F214" s="585">
        <v>1</v>
      </c>
      <c r="G214" s="585">
        <v>28</v>
      </c>
      <c r="H214" s="509">
        <v>1188</v>
      </c>
      <c r="I214" s="523">
        <v>297</v>
      </c>
      <c r="J214" s="245">
        <f>I214/F214</f>
        <v>297</v>
      </c>
      <c r="K214" s="318">
        <f>H214/I214</f>
        <v>4</v>
      </c>
      <c r="L214" s="26">
        <f>2106797.5+50230.5+32558.5+15249.5+15137+17418.5+7784.5+2808+2841.5+1328+2453+1693+613+726+713+1425.5+1782+1437+1782+2376+1544.5+2376+1188+1188</f>
        <v>2273450.5</v>
      </c>
      <c r="M214" s="27">
        <f>220679+7944+5486+2451+2714+3159+1414+494+658+202+452+398+85+227+178+356+445+228+445+594+386+594+297+297</f>
        <v>250183</v>
      </c>
      <c r="N214" s="429">
        <f>+L214/M214</f>
        <v>9.087150206049172</v>
      </c>
      <c r="O214" s="99">
        <v>204</v>
      </c>
    </row>
    <row r="215" spans="1:15" s="90" customFormat="1" ht="12" customHeight="1">
      <c r="A215" s="91">
        <v>205</v>
      </c>
      <c r="B215" s="600" t="s">
        <v>299</v>
      </c>
      <c r="C215" s="425">
        <v>40368</v>
      </c>
      <c r="D215" s="114" t="s">
        <v>31</v>
      </c>
      <c r="E215" s="427">
        <v>126</v>
      </c>
      <c r="F215" s="186">
        <v>1</v>
      </c>
      <c r="G215" s="427">
        <v>27</v>
      </c>
      <c r="H215" s="339">
        <v>1188</v>
      </c>
      <c r="I215" s="340">
        <v>297</v>
      </c>
      <c r="J215" s="97">
        <f>I215/F215</f>
        <v>297</v>
      </c>
      <c r="K215" s="96">
        <f>H215/I215</f>
        <v>4</v>
      </c>
      <c r="L215" s="12">
        <f>2106797.5+50230.5+32558.5+15249.5+15137+17418.5+7784.5+2808+2841.5+1328+2453+1693+613+726+713+1425.5+1782+1437+1782+2376+1544.5+2376+1188</f>
        <v>2272262.5</v>
      </c>
      <c r="M215" s="13">
        <f>220679+7944+5486+2451+2714+3159+1414+494+658+202+452+398+85+227+178+356+445+228+445+594+386+594+297</f>
        <v>249886</v>
      </c>
      <c r="N215" s="122">
        <f>+L215/M215</f>
        <v>9.093196497602907</v>
      </c>
      <c r="O215" s="99">
        <v>205</v>
      </c>
    </row>
    <row r="216" spans="1:15" s="90" customFormat="1" ht="12" customHeight="1">
      <c r="A216" s="91">
        <v>206</v>
      </c>
      <c r="B216" s="262" t="s">
        <v>299</v>
      </c>
      <c r="C216" s="671">
        <v>40368</v>
      </c>
      <c r="D216" s="588" t="s">
        <v>31</v>
      </c>
      <c r="E216" s="31">
        <v>126</v>
      </c>
      <c r="F216" s="31">
        <v>1</v>
      </c>
      <c r="G216" s="31">
        <v>29</v>
      </c>
      <c r="H216" s="509">
        <v>1188</v>
      </c>
      <c r="I216" s="523">
        <v>297</v>
      </c>
      <c r="J216" s="245">
        <f>I216/F216</f>
        <v>297</v>
      </c>
      <c r="K216" s="221">
        <f>H216/I216</f>
        <v>4</v>
      </c>
      <c r="L216" s="26">
        <f>2106797.5+50230.5+32558.5+15249.5+15137+17418.5+7784.5+2808+2841.5+1328+2453+1693+613+726+713+1425.5+1782+1437+1782+2376+1544.5+2376+1188+1188+1188</f>
        <v>2274638.5</v>
      </c>
      <c r="M216" s="27">
        <f>220679+7944+5486+2451+2714+3159+1414+494+658+202+452+398+85+227+178+356+445+228+445+594+386+594+297+297+297</f>
        <v>250480</v>
      </c>
      <c r="N216" s="945">
        <f>+L216/M216</f>
        <v>9.081118252954328</v>
      </c>
      <c r="O216" s="99">
        <v>206</v>
      </c>
    </row>
    <row r="217" spans="1:15" s="90" customFormat="1" ht="12" customHeight="1">
      <c r="A217" s="91">
        <v>207</v>
      </c>
      <c r="B217" s="466" t="s">
        <v>356</v>
      </c>
      <c r="C217" s="185">
        <v>40284</v>
      </c>
      <c r="D217" s="114" t="s">
        <v>31</v>
      </c>
      <c r="E217" s="186">
        <v>14</v>
      </c>
      <c r="F217" s="186">
        <v>1</v>
      </c>
      <c r="G217" s="186">
        <v>23</v>
      </c>
      <c r="H217" s="339">
        <v>1425.5</v>
      </c>
      <c r="I217" s="340">
        <v>356</v>
      </c>
      <c r="J217" s="97">
        <f>I217/F217</f>
        <v>356</v>
      </c>
      <c r="K217" s="96">
        <f>H217/I217</f>
        <v>4.004213483146067</v>
      </c>
      <c r="L217" s="12">
        <f>45403.5+26416+19522+5885+5520+2576+2604+1325+840+957.5+196+2970+1095+960+1330+1159+1173+1901+475+2019.5+1188+1307+1425.5</f>
        <v>128248</v>
      </c>
      <c r="M217" s="13">
        <f>4053+2594+2599+732+962+495+470+215+146+347+28+743+229+194+270+236+188+475+119+505+297+327+356</f>
        <v>16580</v>
      </c>
      <c r="N217" s="124">
        <f>L217/M217</f>
        <v>7.735102533172497</v>
      </c>
      <c r="O217" s="99">
        <v>207</v>
      </c>
    </row>
    <row r="218" spans="1:15" s="90" customFormat="1" ht="12" customHeight="1">
      <c r="A218" s="91">
        <v>208</v>
      </c>
      <c r="B218" s="180" t="s">
        <v>154</v>
      </c>
      <c r="C218" s="32">
        <v>40284</v>
      </c>
      <c r="D218" s="30" t="s">
        <v>31</v>
      </c>
      <c r="E218" s="33">
        <v>14</v>
      </c>
      <c r="F218" s="33">
        <v>1</v>
      </c>
      <c r="G218" s="33">
        <v>22</v>
      </c>
      <c r="H218" s="339">
        <v>1307</v>
      </c>
      <c r="I218" s="340">
        <v>327</v>
      </c>
      <c r="J218" s="108">
        <f>(I218/F218)</f>
        <v>327</v>
      </c>
      <c r="K218" s="174">
        <f>H218/I218</f>
        <v>3.996941896024465</v>
      </c>
      <c r="L218" s="12">
        <f>45403.5+26416+19522+5885+5520+2576+2604+1325+840+957.5+196+2970+1095+960+1330+1159+1173+1901+475+2019.5+1188+1307</f>
        <v>126822.5</v>
      </c>
      <c r="M218" s="13">
        <f>4053+2594+2599+732+962+495+470+215+146+347+28+743+229+194+270+236+188+475+119+505+297+327</f>
        <v>16224</v>
      </c>
      <c r="N218" s="176">
        <f>L218/M218</f>
        <v>7.816968688362919</v>
      </c>
      <c r="O218" s="99">
        <v>208</v>
      </c>
    </row>
    <row r="219" spans="1:15" s="90" customFormat="1" ht="12" customHeight="1">
      <c r="A219" s="91">
        <v>209</v>
      </c>
      <c r="B219" s="205" t="s">
        <v>155</v>
      </c>
      <c r="C219" s="2">
        <v>40480</v>
      </c>
      <c r="D219" s="20" t="s">
        <v>21</v>
      </c>
      <c r="E219" s="5">
        <v>71</v>
      </c>
      <c r="F219" s="5">
        <v>2</v>
      </c>
      <c r="G219" s="5">
        <v>11</v>
      </c>
      <c r="H219" s="497">
        <v>3270</v>
      </c>
      <c r="I219" s="498">
        <v>654</v>
      </c>
      <c r="J219" s="97">
        <f>IF(H219&lt;&gt;0,I219/F219,"")</f>
        <v>327</v>
      </c>
      <c r="K219" s="209">
        <f>IF(H219&lt;&gt;0,H219/I219,"")</f>
        <v>5</v>
      </c>
      <c r="L219" s="35">
        <f>72774.5+23673+5827+3625+7534.5+38620+936+11563+4979+496.5+3270</f>
        <v>173298.5</v>
      </c>
      <c r="M219" s="38">
        <f>8533+3652+916+601+1795+7393+145+2290+697+79+654</f>
        <v>26755</v>
      </c>
      <c r="N219" s="210">
        <f>IF(L219&lt;&gt;0,L219/M219,"")</f>
        <v>6.4772378994580455</v>
      </c>
      <c r="O219" s="99">
        <v>209</v>
      </c>
    </row>
    <row r="220" spans="1:15" s="90" customFormat="1" ht="12" customHeight="1">
      <c r="A220" s="91">
        <v>210</v>
      </c>
      <c r="B220" s="202" t="s">
        <v>155</v>
      </c>
      <c r="C220" s="2">
        <v>40480</v>
      </c>
      <c r="D220" s="19" t="s">
        <v>21</v>
      </c>
      <c r="E220" s="3">
        <v>71</v>
      </c>
      <c r="F220" s="3">
        <v>1</v>
      </c>
      <c r="G220" s="3">
        <v>12</v>
      </c>
      <c r="H220" s="497">
        <v>526</v>
      </c>
      <c r="I220" s="498">
        <v>85</v>
      </c>
      <c r="J220" s="97">
        <f>IF(H220&lt;&gt;0,I220/F220,"")</f>
        <v>85</v>
      </c>
      <c r="K220" s="209">
        <f>IF(H220&lt;&gt;0,H220/I220,"")</f>
        <v>6.188235294117647</v>
      </c>
      <c r="L220" s="35">
        <f>72774.5+23673+5827+3625+7534.5+38620+936+11563+4979+496.5+3270+526</f>
        <v>173824.5</v>
      </c>
      <c r="M220" s="38">
        <f>8533+3652+916+601+1795+7393+145+2290+697+79+654+85</f>
        <v>26840</v>
      </c>
      <c r="N220" s="210">
        <f>IF(L220&lt;&gt;0,L220/M220,"")</f>
        <v>6.476322652757079</v>
      </c>
      <c r="O220" s="99">
        <v>210</v>
      </c>
    </row>
    <row r="221" spans="1:15" s="90" customFormat="1" ht="12" customHeight="1">
      <c r="A221" s="91">
        <v>211</v>
      </c>
      <c r="B221" s="202" t="s">
        <v>155</v>
      </c>
      <c r="C221" s="2">
        <v>40480</v>
      </c>
      <c r="D221" s="22" t="s">
        <v>21</v>
      </c>
      <c r="E221" s="3">
        <v>71</v>
      </c>
      <c r="F221" s="3">
        <v>8</v>
      </c>
      <c r="G221" s="3">
        <v>10</v>
      </c>
      <c r="H221" s="515">
        <v>496.5</v>
      </c>
      <c r="I221" s="498">
        <v>79</v>
      </c>
      <c r="J221" s="97">
        <f>IF(H221&lt;&gt;0,I221/F221,"")</f>
        <v>9.875</v>
      </c>
      <c r="K221" s="221">
        <f>IF(H221&lt;&gt;0,H221/I221,"")</f>
        <v>6.284810126582278</v>
      </c>
      <c r="L221" s="34">
        <f>72774.5+23673+5827+3625+7534.5+38620+936+11563+4979+H221</f>
        <v>170028.5</v>
      </c>
      <c r="M221" s="38">
        <f>8533+3652+916+601+1795+7393+145+2290+697+I221</f>
        <v>26101</v>
      </c>
      <c r="N221" s="210">
        <f>IF(L221&lt;&gt;0,L221/M221,"")</f>
        <v>6.514252327497031</v>
      </c>
      <c r="O221" s="99">
        <v>211</v>
      </c>
    </row>
    <row r="222" spans="1:15" s="90" customFormat="1" ht="12" customHeight="1">
      <c r="A222" s="91">
        <v>212</v>
      </c>
      <c r="B222" s="244" t="s">
        <v>300</v>
      </c>
      <c r="C222" s="2">
        <v>40067</v>
      </c>
      <c r="D222" s="19" t="s">
        <v>21</v>
      </c>
      <c r="E222" s="3">
        <v>105</v>
      </c>
      <c r="F222" s="3">
        <v>2</v>
      </c>
      <c r="G222" s="3">
        <v>48</v>
      </c>
      <c r="H222" s="497">
        <v>3071</v>
      </c>
      <c r="I222" s="498">
        <v>592</v>
      </c>
      <c r="J222" s="97">
        <f>IF(H222&lt;&gt;0,I222/F222,"")</f>
        <v>296</v>
      </c>
      <c r="K222" s="209">
        <f>IF(H222&lt;&gt;0,H222/I222,"")</f>
        <v>5.1875</v>
      </c>
      <c r="L222" s="35">
        <f>645861.5+391+1223+705+141+3564+3071</f>
        <v>654956.5</v>
      </c>
      <c r="M222" s="38">
        <f>78550+64+202+109+20+713+592</f>
        <v>80250</v>
      </c>
      <c r="N222" s="210">
        <f>IF(L222&lt;&gt;0,L222/M222,"")</f>
        <v>8.161451713395639</v>
      </c>
      <c r="O222" s="99">
        <v>212</v>
      </c>
    </row>
    <row r="223" spans="1:15" s="90" customFormat="1" ht="12" customHeight="1">
      <c r="A223" s="91">
        <v>213</v>
      </c>
      <c r="B223" s="177" t="s">
        <v>301</v>
      </c>
      <c r="C223" s="32">
        <v>40473</v>
      </c>
      <c r="D223" s="178" t="s">
        <v>31</v>
      </c>
      <c r="E223" s="33">
        <v>30</v>
      </c>
      <c r="F223" s="33">
        <v>10</v>
      </c>
      <c r="G223" s="33">
        <v>11</v>
      </c>
      <c r="H223" s="509">
        <v>8357</v>
      </c>
      <c r="I223" s="340">
        <v>1374</v>
      </c>
      <c r="J223" s="108">
        <f>(I223/F223)</f>
        <v>137.4</v>
      </c>
      <c r="K223" s="179">
        <f>H223/I223</f>
        <v>6.082241630276565</v>
      </c>
      <c r="L223" s="26">
        <f>140269+106844+7979+4849+4700.5+7059+2232+1390+2769+13917+8357</f>
        <v>300365.5</v>
      </c>
      <c r="M223" s="13">
        <f>11518+8629+641+577+660+1341+325+348+324+2259+1374</f>
        <v>27996</v>
      </c>
      <c r="N223" s="176">
        <f>L223/M223</f>
        <v>10.728871981711674</v>
      </c>
      <c r="O223" s="99">
        <v>213</v>
      </c>
    </row>
    <row r="224" spans="1:15" s="90" customFormat="1" ht="12" customHeight="1">
      <c r="A224" s="91">
        <v>214</v>
      </c>
      <c r="B224" s="609" t="s">
        <v>301</v>
      </c>
      <c r="C224" s="725">
        <v>40473</v>
      </c>
      <c r="D224" s="580" t="s">
        <v>31</v>
      </c>
      <c r="E224" s="585">
        <v>30</v>
      </c>
      <c r="F224" s="585">
        <v>5</v>
      </c>
      <c r="G224" s="585">
        <v>18</v>
      </c>
      <c r="H224" s="509">
        <v>4948</v>
      </c>
      <c r="I224" s="523">
        <v>785</v>
      </c>
      <c r="J224" s="245">
        <f>I224/F224</f>
        <v>157</v>
      </c>
      <c r="K224" s="318">
        <f>H224/I224</f>
        <v>6.3031847133757966</v>
      </c>
      <c r="L224" s="26">
        <f>140269+106844+7979+4849+4700.5+7059+2232+1390+2769+13917+8357+891.5+4704+1307+1076+311+973+4948</f>
        <v>314576</v>
      </c>
      <c r="M224" s="27">
        <f>11518+8629+641+577+660+1341+325+348+324+2259+1374+332+506+327+114+46+109+785</f>
        <v>30215</v>
      </c>
      <c r="N224" s="329">
        <f>+L224/M224</f>
        <v>10.411252689061724</v>
      </c>
      <c r="O224" s="99">
        <v>214</v>
      </c>
    </row>
    <row r="225" spans="1:15" s="90" customFormat="1" ht="12" customHeight="1">
      <c r="A225" s="91">
        <v>215</v>
      </c>
      <c r="B225" s="184" t="s">
        <v>301</v>
      </c>
      <c r="C225" s="185">
        <v>40473</v>
      </c>
      <c r="D225" s="178" t="s">
        <v>31</v>
      </c>
      <c r="E225" s="186">
        <v>30</v>
      </c>
      <c r="F225" s="186">
        <v>3</v>
      </c>
      <c r="G225" s="186">
        <v>13</v>
      </c>
      <c r="H225" s="506">
        <v>4704</v>
      </c>
      <c r="I225" s="512">
        <v>506</v>
      </c>
      <c r="J225" s="187">
        <f>(I225/F225)</f>
        <v>168.66666666666666</v>
      </c>
      <c r="K225" s="188">
        <f>H225/I225</f>
        <v>9.296442687747035</v>
      </c>
      <c r="L225" s="189">
        <f>140269+106844+7979+4849+4700.5+7059+2232+1390+2769+13917+8357+891.5+4704</f>
        <v>305961</v>
      </c>
      <c r="M225" s="190">
        <f>11518+8629+641+577+660+1341+325+348+324+2259+1374+332+506</f>
        <v>28834</v>
      </c>
      <c r="N225" s="191">
        <f>L225/M225</f>
        <v>10.61111881806201</v>
      </c>
      <c r="O225" s="99">
        <v>215</v>
      </c>
    </row>
    <row r="226" spans="1:15" s="90" customFormat="1" ht="12" customHeight="1">
      <c r="A226" s="91">
        <v>216</v>
      </c>
      <c r="B226" s="184" t="s">
        <v>301</v>
      </c>
      <c r="C226" s="185">
        <v>40473</v>
      </c>
      <c r="D226" s="178" t="s">
        <v>31</v>
      </c>
      <c r="E226" s="186">
        <v>30</v>
      </c>
      <c r="F226" s="186">
        <v>1</v>
      </c>
      <c r="G226" s="186">
        <v>14</v>
      </c>
      <c r="H226" s="506">
        <v>1307</v>
      </c>
      <c r="I226" s="512">
        <v>327</v>
      </c>
      <c r="J226" s="187">
        <f>(I226/F226)</f>
        <v>327</v>
      </c>
      <c r="K226" s="188">
        <f>H226/I226</f>
        <v>3.996941896024465</v>
      </c>
      <c r="L226" s="189">
        <f>140269+106844+7979+4849+4700.5+7059+2232+1390+2769+13917+8357+891.5+4704+1307</f>
        <v>307268</v>
      </c>
      <c r="M226" s="190">
        <f>11518+8629+641+577+660+1341+325+348+324+2259+1374+332+506+327</f>
        <v>29161</v>
      </c>
      <c r="N226" s="191">
        <f>L226/M226</f>
        <v>10.536950036006996</v>
      </c>
      <c r="O226" s="99">
        <v>216</v>
      </c>
    </row>
    <row r="227" spans="1:15" s="90" customFormat="1" ht="12" customHeight="1">
      <c r="A227" s="91">
        <v>217</v>
      </c>
      <c r="B227" s="192" t="s">
        <v>301</v>
      </c>
      <c r="C227" s="32">
        <v>40473</v>
      </c>
      <c r="D227" s="178" t="s">
        <v>31</v>
      </c>
      <c r="E227" s="181">
        <v>30</v>
      </c>
      <c r="F227" s="181">
        <v>1</v>
      </c>
      <c r="G227" s="181">
        <v>15</v>
      </c>
      <c r="H227" s="339">
        <v>1076</v>
      </c>
      <c r="I227" s="340">
        <v>114</v>
      </c>
      <c r="J227" s="108">
        <f>(I227/F227)</f>
        <v>114</v>
      </c>
      <c r="K227" s="174">
        <f>H227/I227</f>
        <v>9.43859649122807</v>
      </c>
      <c r="L227" s="12">
        <f>140269+106844+7979+4849+4700.5+7059+2232+1390+2769+13917+8357+891.5+4704+1307+1076</f>
        <v>308344</v>
      </c>
      <c r="M227" s="13">
        <f>11518+8629+641+577+660+1341+325+348+324+2259+1374+332+506+327+114</f>
        <v>29275</v>
      </c>
      <c r="N227" s="176">
        <f>L227/M227</f>
        <v>10.53267292912041</v>
      </c>
      <c r="O227" s="99">
        <v>217</v>
      </c>
    </row>
    <row r="228" spans="1:15" s="90" customFormat="1" ht="12" customHeight="1">
      <c r="A228" s="91">
        <v>218</v>
      </c>
      <c r="B228" s="466" t="s">
        <v>301</v>
      </c>
      <c r="C228" s="185">
        <v>40473</v>
      </c>
      <c r="D228" s="114" t="s">
        <v>31</v>
      </c>
      <c r="E228" s="186">
        <v>30</v>
      </c>
      <c r="F228" s="186">
        <v>1</v>
      </c>
      <c r="G228" s="186">
        <v>17</v>
      </c>
      <c r="H228" s="339">
        <v>973</v>
      </c>
      <c r="I228" s="340">
        <v>109</v>
      </c>
      <c r="J228" s="245">
        <f>I228/F228</f>
        <v>109</v>
      </c>
      <c r="K228" s="318">
        <f>H228/I228</f>
        <v>8.926605504587156</v>
      </c>
      <c r="L228" s="12">
        <f>140269+106844+7979+4849+4700.5+7059+2232+1390+2769+13917+8357+891.5+4704+1307+1076+311+973</f>
        <v>309628</v>
      </c>
      <c r="M228" s="13">
        <f>11518+8629+641+577+660+1341+325+348+324+2259+1374+332+506+327+114+46+109</f>
        <v>29430</v>
      </c>
      <c r="N228" s="124">
        <f>+L228/M228</f>
        <v>10.520829085966701</v>
      </c>
      <c r="O228" s="99">
        <v>218</v>
      </c>
    </row>
    <row r="229" spans="1:15" s="90" customFormat="1" ht="12" customHeight="1">
      <c r="A229" s="91">
        <v>219</v>
      </c>
      <c r="B229" s="180" t="s">
        <v>301</v>
      </c>
      <c r="C229" s="32">
        <v>40473</v>
      </c>
      <c r="D229" s="178" t="s">
        <v>31</v>
      </c>
      <c r="E229" s="33">
        <v>30</v>
      </c>
      <c r="F229" s="33">
        <v>1</v>
      </c>
      <c r="G229" s="33">
        <v>12</v>
      </c>
      <c r="H229" s="339">
        <v>891.5</v>
      </c>
      <c r="I229" s="340">
        <v>332</v>
      </c>
      <c r="J229" s="108">
        <f>(I229/F229)</f>
        <v>332</v>
      </c>
      <c r="K229" s="174">
        <f>H229/I229</f>
        <v>2.6852409638554215</v>
      </c>
      <c r="L229" s="12">
        <f>140269+106844+7979+4849+4700.5+7059+2232+1390+2769+13917+8357+891.5</f>
        <v>301257</v>
      </c>
      <c r="M229" s="13">
        <f>11518+8629+641+577+660+1341+325+348+324+2259+1374+332</f>
        <v>28328</v>
      </c>
      <c r="N229" s="176">
        <f>L229/M229</f>
        <v>10.63460180739904</v>
      </c>
      <c r="O229" s="99">
        <v>219</v>
      </c>
    </row>
    <row r="230" spans="1:15" s="90" customFormat="1" ht="12" customHeight="1">
      <c r="A230" s="91">
        <v>220</v>
      </c>
      <c r="B230" s="180" t="s">
        <v>301</v>
      </c>
      <c r="C230" s="32">
        <v>40473</v>
      </c>
      <c r="D230" s="30" t="s">
        <v>31</v>
      </c>
      <c r="E230" s="33">
        <v>30</v>
      </c>
      <c r="F230" s="33">
        <v>1</v>
      </c>
      <c r="G230" s="33">
        <v>16</v>
      </c>
      <c r="H230" s="339">
        <v>311</v>
      </c>
      <c r="I230" s="340">
        <v>46</v>
      </c>
      <c r="J230" s="108">
        <f>(I230/F230)</f>
        <v>46</v>
      </c>
      <c r="K230" s="174">
        <f>H230/I230</f>
        <v>6.760869565217392</v>
      </c>
      <c r="L230" s="12">
        <f>140269+106844+7979+4849+4700.5+7059+2232+1390+2769+13917+8357+891.5+4704+1307+1076+311</f>
        <v>308655</v>
      </c>
      <c r="M230" s="13">
        <f>11518+8629+641+577+660+1341+325+348+324+2259+1374+332+506+327+114+46</f>
        <v>29321</v>
      </c>
      <c r="N230" s="176">
        <f>L230/M230</f>
        <v>10.526755567681866</v>
      </c>
      <c r="O230" s="99">
        <v>220</v>
      </c>
    </row>
    <row r="231" spans="1:15" s="90" customFormat="1" ht="12" customHeight="1">
      <c r="A231" s="91">
        <v>221</v>
      </c>
      <c r="B231" s="417" t="s">
        <v>302</v>
      </c>
      <c r="C231" s="412">
        <v>40438</v>
      </c>
      <c r="D231" s="30" t="s">
        <v>31</v>
      </c>
      <c r="E231" s="418">
        <v>19</v>
      </c>
      <c r="F231" s="418">
        <v>1</v>
      </c>
      <c r="G231" s="418">
        <v>14</v>
      </c>
      <c r="H231" s="339">
        <v>1425.5</v>
      </c>
      <c r="I231" s="340">
        <v>356</v>
      </c>
      <c r="J231" s="108">
        <f>(I231/F231)</f>
        <v>356</v>
      </c>
      <c r="K231" s="174">
        <f>H231/I231</f>
        <v>4.004213483146067</v>
      </c>
      <c r="L231" s="12">
        <f>56752.5+38871+22868.5+4839+2786+2829.5+8012+670+1368+140+42+628+1188+1425.5</f>
        <v>142420</v>
      </c>
      <c r="M231" s="13">
        <f>4639+3072+2103+531+316+368+936+83+203+20+6+98+297+356</f>
        <v>13028</v>
      </c>
      <c r="N231" s="176">
        <f>L231/M231</f>
        <v>10.931839115750691</v>
      </c>
      <c r="O231" s="99">
        <v>221</v>
      </c>
    </row>
    <row r="232" spans="1:15" s="90" customFormat="1" ht="12" customHeight="1">
      <c r="A232" s="91">
        <v>222</v>
      </c>
      <c r="B232" s="419" t="s">
        <v>302</v>
      </c>
      <c r="C232" s="412">
        <v>40438</v>
      </c>
      <c r="D232" s="178" t="s">
        <v>31</v>
      </c>
      <c r="E232" s="418">
        <v>19</v>
      </c>
      <c r="F232" s="418">
        <v>1</v>
      </c>
      <c r="G232" s="418">
        <v>13</v>
      </c>
      <c r="H232" s="509">
        <v>1188</v>
      </c>
      <c r="I232" s="340">
        <v>297</v>
      </c>
      <c r="J232" s="108">
        <f>(I232/F232)</f>
        <v>297</v>
      </c>
      <c r="K232" s="179">
        <f>H232/I232</f>
        <v>4</v>
      </c>
      <c r="L232" s="26">
        <f>56752.5+38871+22868.5+4839+2786+2829.5+8012+670+1368+140+42+628+1188</f>
        <v>140994.5</v>
      </c>
      <c r="M232" s="13">
        <f>4639+3072+2103+531+316+368+936+83+203+20+6+98+297</f>
        <v>12672</v>
      </c>
      <c r="N232" s="176">
        <f>L232/M232</f>
        <v>11.12645991161616</v>
      </c>
      <c r="O232" s="99">
        <v>222</v>
      </c>
    </row>
    <row r="233" spans="1:15" s="90" customFormat="1" ht="12" customHeight="1">
      <c r="A233" s="91">
        <v>223</v>
      </c>
      <c r="B233" s="192" t="s">
        <v>303</v>
      </c>
      <c r="C233" s="32">
        <v>39871</v>
      </c>
      <c r="D233" s="178" t="s">
        <v>31</v>
      </c>
      <c r="E233" s="181">
        <v>1</v>
      </c>
      <c r="F233" s="181">
        <v>1</v>
      </c>
      <c r="G233" s="181">
        <v>24</v>
      </c>
      <c r="H233" s="339">
        <v>952</v>
      </c>
      <c r="I233" s="340">
        <v>238</v>
      </c>
      <c r="J233" s="108">
        <f>(I233/F233)</f>
        <v>238</v>
      </c>
      <c r="K233" s="174">
        <f>H233/I233</f>
        <v>4</v>
      </c>
      <c r="L233" s="12">
        <f>1088+1510+1304+856+387+214+424+106+162+130+476+60.5+118+96+1664+1780+454+259.5+1188+119.5+1188+1780+1780+1780+952</f>
        <v>19876.5</v>
      </c>
      <c r="M233" s="13">
        <f>267+175+155+102+46+26+51+12+18+16+57+8+22+16+416+445+57+31+297+19+297+445+445+445+238</f>
        <v>4106</v>
      </c>
      <c r="N233" s="176">
        <f>L233/M233</f>
        <v>4.840842669264491</v>
      </c>
      <c r="O233" s="99">
        <v>223</v>
      </c>
    </row>
    <row r="234" spans="1:15" s="90" customFormat="1" ht="12" customHeight="1">
      <c r="A234" s="91">
        <v>224</v>
      </c>
      <c r="B234" s="202" t="s">
        <v>304</v>
      </c>
      <c r="C234" s="2">
        <v>40529</v>
      </c>
      <c r="D234" s="22" t="s">
        <v>10</v>
      </c>
      <c r="E234" s="3">
        <v>72</v>
      </c>
      <c r="F234" s="3">
        <v>71</v>
      </c>
      <c r="G234" s="3">
        <v>3</v>
      </c>
      <c r="H234" s="513">
        <v>165182</v>
      </c>
      <c r="I234" s="379">
        <v>14707</v>
      </c>
      <c r="J234" s="105">
        <f>I234/F234</f>
        <v>207.14084507042253</v>
      </c>
      <c r="K234" s="247">
        <f>+H234/I234</f>
        <v>11.231522404297273</v>
      </c>
      <c r="L234" s="204">
        <v>909930</v>
      </c>
      <c r="M234" s="46">
        <v>83118</v>
      </c>
      <c r="N234" s="201">
        <f>+L234/M234</f>
        <v>10.94744820616473</v>
      </c>
      <c r="O234" s="99">
        <v>224</v>
      </c>
    </row>
    <row r="235" spans="1:15" s="90" customFormat="1" ht="12" customHeight="1">
      <c r="A235" s="91">
        <v>225</v>
      </c>
      <c r="B235" s="205" t="s">
        <v>304</v>
      </c>
      <c r="C235" s="2">
        <v>40529</v>
      </c>
      <c r="D235" s="20" t="s">
        <v>10</v>
      </c>
      <c r="E235" s="5">
        <v>72</v>
      </c>
      <c r="F235" s="5">
        <v>3</v>
      </c>
      <c r="G235" s="5">
        <v>5</v>
      </c>
      <c r="H235" s="378">
        <v>3407</v>
      </c>
      <c r="I235" s="379">
        <v>461</v>
      </c>
      <c r="J235" s="105">
        <f>I235/F235</f>
        <v>153.66666666666666</v>
      </c>
      <c r="K235" s="183">
        <f>H235/I235</f>
        <v>7.390455531453362</v>
      </c>
      <c r="L235" s="44">
        <v>915738</v>
      </c>
      <c r="M235" s="46">
        <v>84149</v>
      </c>
      <c r="N235" s="201">
        <f>+L235/M235</f>
        <v>10.88233965941366</v>
      </c>
      <c r="O235" s="99">
        <v>225</v>
      </c>
    </row>
    <row r="236" spans="1:15" s="90" customFormat="1" ht="12" customHeight="1">
      <c r="A236" s="91">
        <v>226</v>
      </c>
      <c r="B236" s="200" t="s">
        <v>304</v>
      </c>
      <c r="C236" s="2">
        <v>40529</v>
      </c>
      <c r="D236" s="22" t="s">
        <v>10</v>
      </c>
      <c r="E236" s="3">
        <v>72</v>
      </c>
      <c r="F236" s="3">
        <v>2</v>
      </c>
      <c r="G236" s="3">
        <v>4</v>
      </c>
      <c r="H236" s="378">
        <v>2401</v>
      </c>
      <c r="I236" s="379">
        <v>570</v>
      </c>
      <c r="J236" s="105">
        <f>I236/F236</f>
        <v>285</v>
      </c>
      <c r="K236" s="183">
        <f>H236/I236</f>
        <v>4.212280701754386</v>
      </c>
      <c r="L236" s="44">
        <v>912331</v>
      </c>
      <c r="M236" s="46">
        <v>83688</v>
      </c>
      <c r="N236" s="201">
        <f>+L236/M236</f>
        <v>10.901574897237358</v>
      </c>
      <c r="O236" s="99">
        <v>226</v>
      </c>
    </row>
    <row r="237" spans="1:15" s="90" customFormat="1" ht="12" customHeight="1">
      <c r="A237" s="91">
        <v>227</v>
      </c>
      <c r="B237" s="200" t="s">
        <v>304</v>
      </c>
      <c r="C237" s="2">
        <v>40529</v>
      </c>
      <c r="D237" s="19" t="s">
        <v>10</v>
      </c>
      <c r="E237" s="3">
        <v>72</v>
      </c>
      <c r="F237" s="3">
        <v>4</v>
      </c>
      <c r="G237" s="3">
        <v>7</v>
      </c>
      <c r="H237" s="378">
        <v>2361</v>
      </c>
      <c r="I237" s="379">
        <v>403</v>
      </c>
      <c r="J237" s="105">
        <f>I237/F237</f>
        <v>100.75</v>
      </c>
      <c r="K237" s="183">
        <f>H237/I237</f>
        <v>5.858560794044665</v>
      </c>
      <c r="L237" s="44">
        <v>919279</v>
      </c>
      <c r="M237" s="46">
        <v>84735</v>
      </c>
      <c r="N237" s="201">
        <f>+L237/M237</f>
        <v>10.848870006490824</v>
      </c>
      <c r="O237" s="99">
        <v>227</v>
      </c>
    </row>
    <row r="238" spans="1:15" s="90" customFormat="1" ht="12" customHeight="1">
      <c r="A238" s="91">
        <v>228</v>
      </c>
      <c r="B238" s="202" t="s">
        <v>304</v>
      </c>
      <c r="C238" s="2">
        <v>40529</v>
      </c>
      <c r="D238" s="19" t="s">
        <v>10</v>
      </c>
      <c r="E238" s="3">
        <v>72</v>
      </c>
      <c r="F238" s="3">
        <v>2</v>
      </c>
      <c r="G238" s="3">
        <v>6</v>
      </c>
      <c r="H238" s="378">
        <v>1181</v>
      </c>
      <c r="I238" s="379">
        <v>183</v>
      </c>
      <c r="J238" s="105">
        <f>I238/F238</f>
        <v>91.5</v>
      </c>
      <c r="K238" s="183">
        <f>H238/I238</f>
        <v>6.453551912568306</v>
      </c>
      <c r="L238" s="44">
        <v>916919</v>
      </c>
      <c r="M238" s="46">
        <v>84332</v>
      </c>
      <c r="N238" s="201">
        <f>+L238/M238</f>
        <v>10.87272921311009</v>
      </c>
      <c r="O238" s="99">
        <v>228</v>
      </c>
    </row>
    <row r="239" spans="1:15" s="90" customFormat="1" ht="12" customHeight="1">
      <c r="A239" s="91">
        <v>229</v>
      </c>
      <c r="B239" s="205" t="s">
        <v>304</v>
      </c>
      <c r="C239" s="2">
        <v>40529</v>
      </c>
      <c r="D239" s="20" t="s">
        <v>10</v>
      </c>
      <c r="E239" s="5">
        <v>72</v>
      </c>
      <c r="F239" s="5">
        <v>1</v>
      </c>
      <c r="G239" s="5">
        <v>8</v>
      </c>
      <c r="H239" s="378">
        <v>500</v>
      </c>
      <c r="I239" s="379">
        <v>70</v>
      </c>
      <c r="J239" s="105">
        <f>I239/F239</f>
        <v>70</v>
      </c>
      <c r="K239" s="183">
        <f>H239/I239</f>
        <v>7.142857142857143</v>
      </c>
      <c r="L239" s="44">
        <v>919779</v>
      </c>
      <c r="M239" s="46">
        <v>84805</v>
      </c>
      <c r="N239" s="201">
        <f>+L239/M239</f>
        <v>10.84581097812629</v>
      </c>
      <c r="O239" s="99">
        <v>229</v>
      </c>
    </row>
    <row r="240" spans="1:15" s="90" customFormat="1" ht="12" customHeight="1">
      <c r="A240" s="91">
        <v>230</v>
      </c>
      <c r="B240" s="559" t="s">
        <v>305</v>
      </c>
      <c r="C240" s="436">
        <v>40480</v>
      </c>
      <c r="D240" s="30" t="s">
        <v>138</v>
      </c>
      <c r="E240" s="437">
        <v>15</v>
      </c>
      <c r="F240" s="437">
        <v>1</v>
      </c>
      <c r="G240" s="437">
        <v>9</v>
      </c>
      <c r="H240" s="518">
        <v>2135</v>
      </c>
      <c r="I240" s="519">
        <v>427</v>
      </c>
      <c r="J240" s="111">
        <v>427</v>
      </c>
      <c r="K240" s="406">
        <v>5</v>
      </c>
      <c r="L240" s="218">
        <v>60143</v>
      </c>
      <c r="M240" s="219">
        <v>6696</v>
      </c>
      <c r="N240" s="201">
        <f>+L240/M240</f>
        <v>8.981929510155316</v>
      </c>
      <c r="O240" s="99">
        <v>230</v>
      </c>
    </row>
    <row r="241" spans="1:15" s="90" customFormat="1" ht="12" customHeight="1">
      <c r="A241" s="91">
        <v>231</v>
      </c>
      <c r="B241" s="438" t="s">
        <v>305</v>
      </c>
      <c r="C241" s="436">
        <v>40480</v>
      </c>
      <c r="D241" s="178" t="s">
        <v>138</v>
      </c>
      <c r="E241" s="439">
        <v>15</v>
      </c>
      <c r="F241" s="439">
        <v>1</v>
      </c>
      <c r="G241" s="181">
        <v>10</v>
      </c>
      <c r="H241" s="518">
        <v>1898</v>
      </c>
      <c r="I241" s="519">
        <v>380</v>
      </c>
      <c r="J241" s="111">
        <v>380</v>
      </c>
      <c r="K241" s="246">
        <v>4.994736842105263</v>
      </c>
      <c r="L241" s="218">
        <v>62041</v>
      </c>
      <c r="M241" s="219">
        <v>7076</v>
      </c>
      <c r="N241" s="220">
        <v>8.767806670435274</v>
      </c>
      <c r="O241" s="99">
        <v>231</v>
      </c>
    </row>
    <row r="242" spans="1:15" s="90" customFormat="1" ht="12" customHeight="1">
      <c r="A242" s="91">
        <v>232</v>
      </c>
      <c r="B242" s="438" t="s">
        <v>305</v>
      </c>
      <c r="C242" s="436">
        <v>40480</v>
      </c>
      <c r="D242" s="440" t="s">
        <v>138</v>
      </c>
      <c r="E242" s="439">
        <v>15</v>
      </c>
      <c r="F242" s="439">
        <v>1</v>
      </c>
      <c r="G242" s="439">
        <v>7</v>
      </c>
      <c r="H242" s="518">
        <v>1779</v>
      </c>
      <c r="I242" s="519">
        <v>356</v>
      </c>
      <c r="J242" s="219">
        <v>356</v>
      </c>
      <c r="K242" s="441">
        <v>4.997191011235955</v>
      </c>
      <c r="L242" s="218">
        <v>57513</v>
      </c>
      <c r="M242" s="219">
        <v>6199</v>
      </c>
      <c r="N242" s="442">
        <v>9.277786739796742</v>
      </c>
      <c r="O242" s="99">
        <v>232</v>
      </c>
    </row>
    <row r="243" spans="1:15" s="90" customFormat="1" ht="12" customHeight="1">
      <c r="A243" s="91">
        <v>233</v>
      </c>
      <c r="B243" s="443" t="s">
        <v>305</v>
      </c>
      <c r="C243" s="444">
        <v>40480</v>
      </c>
      <c r="D243" s="114" t="s">
        <v>138</v>
      </c>
      <c r="E243" s="445">
        <v>15</v>
      </c>
      <c r="F243" s="445">
        <v>1</v>
      </c>
      <c r="G243" s="446">
        <v>11</v>
      </c>
      <c r="H243" s="383">
        <v>1179</v>
      </c>
      <c r="I243" s="384">
        <v>356</v>
      </c>
      <c r="J243" s="97">
        <f>I243/F243</f>
        <v>356</v>
      </c>
      <c r="K243" s="96">
        <f>H243/I243</f>
        <v>3.311797752808989</v>
      </c>
      <c r="L243" s="375">
        <v>63220</v>
      </c>
      <c r="M243" s="376">
        <v>7432</v>
      </c>
      <c r="N243" s="122">
        <f>+L243/M243</f>
        <v>8.506458557588806</v>
      </c>
      <c r="O243" s="99">
        <v>233</v>
      </c>
    </row>
    <row r="244" spans="1:15" s="90" customFormat="1" ht="12" customHeight="1">
      <c r="A244" s="91">
        <v>234</v>
      </c>
      <c r="B244" s="447" t="s">
        <v>305</v>
      </c>
      <c r="C244" s="436">
        <v>40480</v>
      </c>
      <c r="D244" s="448" t="s">
        <v>306</v>
      </c>
      <c r="E244" s="437">
        <v>15</v>
      </c>
      <c r="F244" s="437">
        <v>1</v>
      </c>
      <c r="G244" s="437">
        <v>8</v>
      </c>
      <c r="H244" s="518">
        <v>495</v>
      </c>
      <c r="I244" s="519">
        <v>70</v>
      </c>
      <c r="J244" s="108">
        <f>(I244/F244)</f>
        <v>70</v>
      </c>
      <c r="K244" s="174">
        <f>H244/I244</f>
        <v>7.071428571428571</v>
      </c>
      <c r="L244" s="218">
        <v>58008</v>
      </c>
      <c r="M244" s="219">
        <v>6269</v>
      </c>
      <c r="N244" s="176">
        <f>L244/M244</f>
        <v>9.253150422714947</v>
      </c>
      <c r="O244" s="99">
        <v>234</v>
      </c>
    </row>
    <row r="245" spans="1:15" s="90" customFormat="1" ht="12" customHeight="1">
      <c r="A245" s="91">
        <v>235</v>
      </c>
      <c r="B245" s="214" t="s">
        <v>307</v>
      </c>
      <c r="C245" s="32">
        <v>40536</v>
      </c>
      <c r="D245" s="239" t="s">
        <v>23</v>
      </c>
      <c r="E245" s="33">
        <v>91</v>
      </c>
      <c r="F245" s="33">
        <v>92</v>
      </c>
      <c r="G245" s="33">
        <v>2</v>
      </c>
      <c r="H245" s="526">
        <v>390086</v>
      </c>
      <c r="I245" s="500">
        <v>33581</v>
      </c>
      <c r="J245" s="38">
        <f>I245/F245</f>
        <v>365.0108695652174</v>
      </c>
      <c r="K245" s="247">
        <f>+H245/I245</f>
        <v>11.616271105684762</v>
      </c>
      <c r="L245" s="28">
        <v>972705</v>
      </c>
      <c r="M245" s="39">
        <v>84601</v>
      </c>
      <c r="N245" s="237">
        <f>+L245/M245</f>
        <v>11.497559130506732</v>
      </c>
      <c r="O245" s="99">
        <v>235</v>
      </c>
    </row>
    <row r="246" spans="1:15" s="90" customFormat="1" ht="12" customHeight="1">
      <c r="A246" s="91">
        <v>236</v>
      </c>
      <c r="B246" s="171" t="s">
        <v>307</v>
      </c>
      <c r="C246" s="32">
        <v>40536</v>
      </c>
      <c r="D246" s="239" t="s">
        <v>23</v>
      </c>
      <c r="E246" s="33">
        <v>91</v>
      </c>
      <c r="F246" s="33">
        <v>90</v>
      </c>
      <c r="G246" s="33">
        <v>3</v>
      </c>
      <c r="H246" s="499">
        <v>191201</v>
      </c>
      <c r="I246" s="500">
        <v>16807</v>
      </c>
      <c r="J246" s="38">
        <f>I246/F246</f>
        <v>186.74444444444444</v>
      </c>
      <c r="K246" s="236">
        <f>+H246/I246</f>
        <v>11.37627179151544</v>
      </c>
      <c r="L246" s="36">
        <v>1163906</v>
      </c>
      <c r="M246" s="39">
        <v>101408</v>
      </c>
      <c r="N246" s="237">
        <f>+L246/M246</f>
        <v>11.477457399810666</v>
      </c>
      <c r="O246" s="99">
        <v>236</v>
      </c>
    </row>
    <row r="247" spans="1:15" s="90" customFormat="1" ht="12" customHeight="1">
      <c r="A247" s="91">
        <v>237</v>
      </c>
      <c r="B247" s="404" t="s">
        <v>307</v>
      </c>
      <c r="C247" s="407">
        <v>40536</v>
      </c>
      <c r="D247" s="408" t="s">
        <v>23</v>
      </c>
      <c r="E247" s="240">
        <v>91</v>
      </c>
      <c r="F247" s="240">
        <v>22</v>
      </c>
      <c r="G247" s="240">
        <v>4</v>
      </c>
      <c r="H247" s="380">
        <v>28672</v>
      </c>
      <c r="I247" s="381">
        <v>2679</v>
      </c>
      <c r="J247" s="241">
        <f>I247/F247</f>
        <v>121.77272727272727</v>
      </c>
      <c r="K247" s="409">
        <f>+H247/I247</f>
        <v>10.702500933184023</v>
      </c>
      <c r="L247" s="242">
        <v>1192578</v>
      </c>
      <c r="M247" s="216">
        <v>104087</v>
      </c>
      <c r="N247" s="410">
        <f>+L247/M247</f>
        <v>11.45751150479887</v>
      </c>
      <c r="O247" s="99">
        <v>237</v>
      </c>
    </row>
    <row r="248" spans="1:15" s="90" customFormat="1" ht="12" customHeight="1">
      <c r="A248" s="91">
        <v>238</v>
      </c>
      <c r="B248" s="214" t="s">
        <v>307</v>
      </c>
      <c r="C248" s="32">
        <v>40536</v>
      </c>
      <c r="D248" s="251" t="s">
        <v>23</v>
      </c>
      <c r="E248" s="33">
        <v>91</v>
      </c>
      <c r="F248" s="33">
        <v>6</v>
      </c>
      <c r="G248" s="33">
        <v>5</v>
      </c>
      <c r="H248" s="499">
        <v>2455</v>
      </c>
      <c r="I248" s="500">
        <v>339</v>
      </c>
      <c r="J248" s="38">
        <f>I248/F248</f>
        <v>56.5</v>
      </c>
      <c r="K248" s="236">
        <f>+H248/I248</f>
        <v>7.241887905604719</v>
      </c>
      <c r="L248" s="36">
        <v>1195033</v>
      </c>
      <c r="M248" s="39">
        <v>104426</v>
      </c>
      <c r="N248" s="237">
        <f>+L248/M248</f>
        <v>11.443826250167582</v>
      </c>
      <c r="O248" s="99">
        <v>238</v>
      </c>
    </row>
    <row r="249" spans="1:15" s="90" customFormat="1" ht="12" customHeight="1">
      <c r="A249" s="91">
        <v>239</v>
      </c>
      <c r="B249" s="398" t="s">
        <v>307</v>
      </c>
      <c r="C249" s="32">
        <v>40536</v>
      </c>
      <c r="D249" s="178" t="s">
        <v>23</v>
      </c>
      <c r="E249" s="181">
        <v>91</v>
      </c>
      <c r="F249" s="181">
        <v>3</v>
      </c>
      <c r="G249" s="181">
        <v>10</v>
      </c>
      <c r="H249" s="526">
        <v>1793</v>
      </c>
      <c r="I249" s="532">
        <v>426</v>
      </c>
      <c r="J249" s="29">
        <f>I249/F249</f>
        <v>142</v>
      </c>
      <c r="K249" s="247">
        <f>+H249/I249</f>
        <v>4.208920187793427</v>
      </c>
      <c r="L249" s="28">
        <v>1199776</v>
      </c>
      <c r="M249" s="449">
        <v>105815</v>
      </c>
      <c r="N249" s="237">
        <f>+L249/M249</f>
        <v>11.338430279260974</v>
      </c>
      <c r="O249" s="99">
        <v>239</v>
      </c>
    </row>
    <row r="250" spans="1:15" s="90" customFormat="1" ht="12" customHeight="1">
      <c r="A250" s="91">
        <v>240</v>
      </c>
      <c r="B250" s="398" t="s">
        <v>307</v>
      </c>
      <c r="C250" s="32">
        <v>40536</v>
      </c>
      <c r="D250" s="178" t="s">
        <v>23</v>
      </c>
      <c r="E250" s="181">
        <v>91</v>
      </c>
      <c r="F250" s="181">
        <v>1</v>
      </c>
      <c r="G250" s="181">
        <v>9</v>
      </c>
      <c r="H250" s="499">
        <v>1546</v>
      </c>
      <c r="I250" s="500">
        <v>759</v>
      </c>
      <c r="J250" s="38">
        <f>I250/F250</f>
        <v>759</v>
      </c>
      <c r="K250" s="236">
        <f>+H250/I250</f>
        <v>2.036890645586298</v>
      </c>
      <c r="L250" s="36">
        <v>1197983</v>
      </c>
      <c r="M250" s="39">
        <v>105389</v>
      </c>
      <c r="N250" s="237">
        <f>+L250/M250</f>
        <v>11.367248953875642</v>
      </c>
      <c r="O250" s="99">
        <v>240</v>
      </c>
    </row>
    <row r="251" spans="1:15" s="90" customFormat="1" ht="12" customHeight="1">
      <c r="A251" s="91">
        <v>241</v>
      </c>
      <c r="B251" s="171" t="s">
        <v>307</v>
      </c>
      <c r="C251" s="32">
        <v>40536</v>
      </c>
      <c r="D251" s="251" t="s">
        <v>23</v>
      </c>
      <c r="E251" s="33">
        <v>91</v>
      </c>
      <c r="F251" s="33">
        <v>1</v>
      </c>
      <c r="G251" s="33">
        <v>6</v>
      </c>
      <c r="H251" s="499">
        <v>901</v>
      </c>
      <c r="I251" s="500">
        <v>123</v>
      </c>
      <c r="J251" s="38">
        <f>I251/F251</f>
        <v>123</v>
      </c>
      <c r="K251" s="236">
        <f>+H251/I251</f>
        <v>7.32520325203252</v>
      </c>
      <c r="L251" s="36">
        <v>1195880</v>
      </c>
      <c r="M251" s="39">
        <v>104549</v>
      </c>
      <c r="N251" s="201">
        <f>+L251/M251</f>
        <v>11.438464260777243</v>
      </c>
      <c r="O251" s="99">
        <v>241</v>
      </c>
    </row>
    <row r="252" spans="1:15" s="90" customFormat="1" ht="12" customHeight="1">
      <c r="A252" s="91">
        <v>242</v>
      </c>
      <c r="B252" s="404" t="s">
        <v>307</v>
      </c>
      <c r="C252" s="407">
        <v>40536</v>
      </c>
      <c r="D252" s="408" t="s">
        <v>23</v>
      </c>
      <c r="E252" s="240">
        <v>91</v>
      </c>
      <c r="F252" s="240">
        <v>1</v>
      </c>
      <c r="G252" s="240">
        <v>8</v>
      </c>
      <c r="H252" s="380">
        <v>557</v>
      </c>
      <c r="I252" s="381">
        <v>81</v>
      </c>
      <c r="J252" s="241">
        <f>I252/F252</f>
        <v>81</v>
      </c>
      <c r="K252" s="409">
        <f>+H252/I252</f>
        <v>6.8765432098765435</v>
      </c>
      <c r="L252" s="242">
        <v>1196437</v>
      </c>
      <c r="M252" s="216">
        <v>104630</v>
      </c>
      <c r="N252" s="410">
        <f>+L252/M252</f>
        <v>11.43493261970754</v>
      </c>
      <c r="O252" s="99">
        <v>242</v>
      </c>
    </row>
    <row r="253" spans="1:15" s="90" customFormat="1" ht="12" customHeight="1">
      <c r="A253" s="91">
        <v>243</v>
      </c>
      <c r="B253" s="454" t="s">
        <v>308</v>
      </c>
      <c r="C253" s="452">
        <v>40193</v>
      </c>
      <c r="D253" s="30" t="s">
        <v>31</v>
      </c>
      <c r="E253" s="453">
        <v>55</v>
      </c>
      <c r="F253" s="453">
        <v>1</v>
      </c>
      <c r="G253" s="453">
        <v>31</v>
      </c>
      <c r="H253" s="339">
        <v>1782</v>
      </c>
      <c r="I253" s="340">
        <v>445</v>
      </c>
      <c r="J253" s="108">
        <f>(I253/F253)</f>
        <v>445</v>
      </c>
      <c r="K253" s="174">
        <f>H253/I253</f>
        <v>4.004494382022472</v>
      </c>
      <c r="L253" s="12">
        <f>197266+158498+94472.5+25746.5+5341+4975+4175+3550+3868+6158+8020+1277+951+3397+4599+198+566+1146+2247.5+174+31.5+2775.5+1188+735+2376+307+324+2613.5+1782+1782+1782</f>
        <v>542322</v>
      </c>
      <c r="M253" s="13">
        <f>19567+17056+12441+3194+866+909+697+693+818+1478+1988+298+238+832+1154+55+212+207+411+57+12+610+297+71+594+46+71+653+445+445+445</f>
        <v>66860</v>
      </c>
      <c r="N253" s="176">
        <f>L253/M253</f>
        <v>8.111307209093628</v>
      </c>
      <c r="O253" s="99">
        <v>243</v>
      </c>
    </row>
    <row r="254" spans="1:15" s="90" customFormat="1" ht="12" customHeight="1">
      <c r="A254" s="91">
        <v>244</v>
      </c>
      <c r="B254" s="451" t="s">
        <v>308</v>
      </c>
      <c r="C254" s="452">
        <v>40193</v>
      </c>
      <c r="D254" s="178" t="s">
        <v>31</v>
      </c>
      <c r="E254" s="453">
        <v>55</v>
      </c>
      <c r="F254" s="453">
        <v>1</v>
      </c>
      <c r="G254" s="453">
        <v>30</v>
      </c>
      <c r="H254" s="339">
        <v>1782</v>
      </c>
      <c r="I254" s="340">
        <v>445</v>
      </c>
      <c r="J254" s="108">
        <f>(I254/F254)</f>
        <v>445</v>
      </c>
      <c r="K254" s="174">
        <f>H254/I254</f>
        <v>4.004494382022472</v>
      </c>
      <c r="L254" s="12">
        <f>197266+158498+94472.5+25746.5+5341+4975+4175+3550+3868+6158+8020+1277+951+3397+4599+198+566+1146+2247.5+174+31.5+2775.5+1188+735+2376+307+324+2613.5+1782+1782</f>
        <v>540540</v>
      </c>
      <c r="M254" s="13">
        <f>19567+17056+12441+3194+866+909+697+693+818+1478+1988+298+238+832+1154+55+212+207+411+57+12+610+297+71+594+46+71+653+445+445</f>
        <v>66415</v>
      </c>
      <c r="N254" s="176">
        <f>L254/M254</f>
        <v>8.138824060829633</v>
      </c>
      <c r="O254" s="99">
        <v>244</v>
      </c>
    </row>
    <row r="255" spans="1:15" s="90" customFormat="1" ht="12" customHeight="1">
      <c r="A255" s="91">
        <v>245</v>
      </c>
      <c r="B255" s="447" t="s">
        <v>308</v>
      </c>
      <c r="C255" s="436">
        <v>40193</v>
      </c>
      <c r="D255" s="178" t="s">
        <v>31</v>
      </c>
      <c r="E255" s="437">
        <v>55</v>
      </c>
      <c r="F255" s="437">
        <v>1</v>
      </c>
      <c r="G255" s="437">
        <v>29</v>
      </c>
      <c r="H255" s="339">
        <v>1782</v>
      </c>
      <c r="I255" s="340">
        <v>445</v>
      </c>
      <c r="J255" s="108">
        <f>(I255/F255)</f>
        <v>445</v>
      </c>
      <c r="K255" s="174">
        <f>H255/I255</f>
        <v>4.004494382022472</v>
      </c>
      <c r="L255" s="12">
        <f>197266+158498+94472.5+25746.5+5341+4975+4175+3550+3868+6158+8020+1277+951+3397+4599+198+566+1146+2247.5+174+31.5+2775.5+1188+735+2376+307+324+2613.5+1782</f>
        <v>538758</v>
      </c>
      <c r="M255" s="13">
        <f>19567+17056+12441+3194+866+909+697+693+818+1478+1988+298+238+832+1154+55+212+207+411+57+12+610+297+71+594+46+71+653+445</f>
        <v>65970</v>
      </c>
      <c r="N255" s="176">
        <f>L255/M255</f>
        <v>8.166712141882673</v>
      </c>
      <c r="O255" s="99">
        <v>245</v>
      </c>
    </row>
    <row r="256" spans="1:15" s="90" customFormat="1" ht="12" customHeight="1">
      <c r="A256" s="91">
        <v>246</v>
      </c>
      <c r="B256" s="177" t="s">
        <v>309</v>
      </c>
      <c r="C256" s="32">
        <v>40312</v>
      </c>
      <c r="D256" s="178" t="s">
        <v>31</v>
      </c>
      <c r="E256" s="33">
        <v>8</v>
      </c>
      <c r="F256" s="33">
        <v>1</v>
      </c>
      <c r="G256" s="33">
        <v>18</v>
      </c>
      <c r="H256" s="339">
        <v>1188</v>
      </c>
      <c r="I256" s="340">
        <v>297</v>
      </c>
      <c r="J256" s="108">
        <f>(I256/F256)</f>
        <v>297</v>
      </c>
      <c r="K256" s="174">
        <f>H256/I256</f>
        <v>4</v>
      </c>
      <c r="L256" s="12">
        <f>41764.5+663+13.5+1901+220.5+1188</f>
        <v>45750.5</v>
      </c>
      <c r="M256" s="13">
        <f>4847+89+1+475+63+297</f>
        <v>5772</v>
      </c>
      <c r="N256" s="176">
        <f>L256/M256</f>
        <v>7.926282051282051</v>
      </c>
      <c r="O256" s="99">
        <v>246</v>
      </c>
    </row>
    <row r="257" spans="1:15" s="90" customFormat="1" ht="12" customHeight="1">
      <c r="A257" s="91">
        <v>247</v>
      </c>
      <c r="B257" s="202" t="s">
        <v>414</v>
      </c>
      <c r="C257" s="720">
        <v>40466</v>
      </c>
      <c r="D257" s="594" t="s">
        <v>10</v>
      </c>
      <c r="E257" s="22">
        <v>135</v>
      </c>
      <c r="F257" s="22">
        <v>1</v>
      </c>
      <c r="G257" s="22">
        <v>12</v>
      </c>
      <c r="H257" s="513">
        <v>2380</v>
      </c>
      <c r="I257" s="514">
        <v>595</v>
      </c>
      <c r="J257" s="245">
        <f>I257/F257</f>
        <v>595</v>
      </c>
      <c r="K257" s="318">
        <f>H257/I257</f>
        <v>4</v>
      </c>
      <c r="L257" s="204">
        <v>942993</v>
      </c>
      <c r="M257" s="320">
        <v>104295</v>
      </c>
      <c r="N257" s="329">
        <f>+L257/M257</f>
        <v>9.041593556738098</v>
      </c>
      <c r="O257" s="99">
        <v>247</v>
      </c>
    </row>
    <row r="258" spans="1:15" s="90" customFormat="1" ht="12" customHeight="1">
      <c r="A258" s="91">
        <v>248</v>
      </c>
      <c r="B258" s="214" t="s">
        <v>156</v>
      </c>
      <c r="C258" s="32">
        <v>40515</v>
      </c>
      <c r="D258" s="239" t="s">
        <v>23</v>
      </c>
      <c r="E258" s="33">
        <v>122</v>
      </c>
      <c r="F258" s="33">
        <v>7</v>
      </c>
      <c r="G258" s="33">
        <v>4</v>
      </c>
      <c r="H258" s="526">
        <v>4679</v>
      </c>
      <c r="I258" s="500">
        <v>723</v>
      </c>
      <c r="J258" s="38">
        <f>I258/F258</f>
        <v>103.28571428571429</v>
      </c>
      <c r="K258" s="247">
        <f>+H258/I258</f>
        <v>6.4716459197787</v>
      </c>
      <c r="L258" s="28">
        <v>611175</v>
      </c>
      <c r="M258" s="39">
        <v>72305</v>
      </c>
      <c r="N258" s="237">
        <f>+L258/M258</f>
        <v>8.452734942258488</v>
      </c>
      <c r="O258" s="99">
        <v>248</v>
      </c>
    </row>
    <row r="259" spans="1:15" s="90" customFormat="1" ht="12" customHeight="1">
      <c r="A259" s="91">
        <v>249</v>
      </c>
      <c r="B259" s="171" t="s">
        <v>156</v>
      </c>
      <c r="C259" s="32">
        <v>40515</v>
      </c>
      <c r="D259" s="251" t="s">
        <v>23</v>
      </c>
      <c r="E259" s="33">
        <v>122</v>
      </c>
      <c r="F259" s="33">
        <v>1</v>
      </c>
      <c r="G259" s="33">
        <v>13</v>
      </c>
      <c r="H259" s="499">
        <v>519</v>
      </c>
      <c r="I259" s="500">
        <v>74</v>
      </c>
      <c r="J259" s="38">
        <f>I259/F259</f>
        <v>74</v>
      </c>
      <c r="K259" s="236">
        <f>+H259/I259</f>
        <v>7.013513513513513</v>
      </c>
      <c r="L259" s="36">
        <v>613786</v>
      </c>
      <c r="M259" s="39">
        <v>73223</v>
      </c>
      <c r="N259" s="237">
        <f>+L259/M259</f>
        <v>8.382420824058014</v>
      </c>
      <c r="O259" s="99">
        <v>249</v>
      </c>
    </row>
    <row r="260" spans="1:15" s="90" customFormat="1" ht="12" customHeight="1">
      <c r="A260" s="91">
        <v>250</v>
      </c>
      <c r="B260" s="171" t="s">
        <v>156</v>
      </c>
      <c r="C260" s="32">
        <v>40515</v>
      </c>
      <c r="D260" s="239" t="s">
        <v>23</v>
      </c>
      <c r="E260" s="33">
        <v>122</v>
      </c>
      <c r="F260" s="33">
        <v>2</v>
      </c>
      <c r="G260" s="33">
        <v>5</v>
      </c>
      <c r="H260" s="499">
        <v>474</v>
      </c>
      <c r="I260" s="500">
        <v>70</v>
      </c>
      <c r="J260" s="38">
        <f>I260/F260</f>
        <v>35</v>
      </c>
      <c r="K260" s="236">
        <f>+H260/I260</f>
        <v>6.771428571428571</v>
      </c>
      <c r="L260" s="36">
        <v>611649</v>
      </c>
      <c r="M260" s="39">
        <v>72375</v>
      </c>
      <c r="N260" s="237">
        <f>+L260/M260</f>
        <v>8.451108808290156</v>
      </c>
      <c r="O260" s="99">
        <v>250</v>
      </c>
    </row>
    <row r="261" spans="1:15" s="90" customFormat="1" ht="12" customHeight="1">
      <c r="A261" s="91">
        <v>251</v>
      </c>
      <c r="B261" s="253" t="s">
        <v>156</v>
      </c>
      <c r="C261" s="254">
        <v>40515</v>
      </c>
      <c r="D261" s="255" t="s">
        <v>23</v>
      </c>
      <c r="E261" s="256">
        <v>122</v>
      </c>
      <c r="F261" s="256">
        <v>1</v>
      </c>
      <c r="G261" s="256">
        <v>14</v>
      </c>
      <c r="H261" s="380">
        <v>147</v>
      </c>
      <c r="I261" s="381">
        <v>21</v>
      </c>
      <c r="J261" s="257">
        <f>I261/F261</f>
        <v>21</v>
      </c>
      <c r="K261" s="258">
        <f>+H261/I261</f>
        <v>7</v>
      </c>
      <c r="L261" s="259">
        <v>613933</v>
      </c>
      <c r="M261" s="260">
        <v>73244</v>
      </c>
      <c r="N261" s="261">
        <f>+L261/M261</f>
        <v>8.382024466167877</v>
      </c>
      <c r="O261" s="99">
        <v>251</v>
      </c>
    </row>
    <row r="262" spans="1:15" s="90" customFormat="1" ht="12" customHeight="1">
      <c r="A262" s="91">
        <v>252</v>
      </c>
      <c r="B262" s="184" t="s">
        <v>310</v>
      </c>
      <c r="C262" s="185">
        <v>40389</v>
      </c>
      <c r="D262" s="178" t="s">
        <v>31</v>
      </c>
      <c r="E262" s="186">
        <v>19</v>
      </c>
      <c r="F262" s="186">
        <v>1</v>
      </c>
      <c r="G262" s="186">
        <v>13</v>
      </c>
      <c r="H262" s="506">
        <v>1307</v>
      </c>
      <c r="I262" s="512">
        <v>327</v>
      </c>
      <c r="J262" s="187">
        <f>(I262/F262)</f>
        <v>327</v>
      </c>
      <c r="K262" s="188">
        <f>H262/I262</f>
        <v>3.996941896024465</v>
      </c>
      <c r="L262" s="189">
        <f>69032+15425.5+9802+4755.5+7049.5+3610.5+8536+6024.5+2322+245+405.5+1307</f>
        <v>128515</v>
      </c>
      <c r="M262" s="190">
        <f>5509+1589+1417+704+842+602+1038+829+323+37+46+327</f>
        <v>13263</v>
      </c>
      <c r="N262" s="191">
        <f>L262/M262</f>
        <v>9.68973836990123</v>
      </c>
      <c r="O262" s="99">
        <v>252</v>
      </c>
    </row>
    <row r="263" spans="1:15" s="90" customFormat="1" ht="12" customHeight="1">
      <c r="A263" s="91">
        <v>253</v>
      </c>
      <c r="B263" s="263" t="s">
        <v>310</v>
      </c>
      <c r="C263" s="250">
        <v>40389</v>
      </c>
      <c r="D263" s="467" t="s">
        <v>31</v>
      </c>
      <c r="E263" s="208">
        <v>19</v>
      </c>
      <c r="F263" s="208">
        <v>1</v>
      </c>
      <c r="G263" s="208">
        <v>14</v>
      </c>
      <c r="H263" s="504">
        <v>950.5</v>
      </c>
      <c r="I263" s="501">
        <v>238</v>
      </c>
      <c r="J263" s="94">
        <f>I263/F263</f>
        <v>238</v>
      </c>
      <c r="K263" s="95">
        <f>H263/I263</f>
        <v>3.9936974789915967</v>
      </c>
      <c r="L263" s="43">
        <f>69032+15425.5+9802+4755.5+7049.5+3610.5+8536+6024.5+2322+245+405.5+1307+950.5</f>
        <v>129465.5</v>
      </c>
      <c r="M263" s="9">
        <f>5509+1589+1417+704+842+602+1038+829+323+37+46+327+238</f>
        <v>13501</v>
      </c>
      <c r="N263" s="98">
        <f>+L263/M263</f>
        <v>9.589326716539516</v>
      </c>
      <c r="O263" s="99">
        <v>253</v>
      </c>
    </row>
    <row r="264" spans="1:15" s="90" customFormat="1" ht="12" customHeight="1">
      <c r="A264" s="91">
        <v>254</v>
      </c>
      <c r="B264" s="229" t="s">
        <v>311</v>
      </c>
      <c r="C264" s="2">
        <v>40459</v>
      </c>
      <c r="D264" s="25" t="s">
        <v>8</v>
      </c>
      <c r="E264" s="5">
        <v>50</v>
      </c>
      <c r="F264" s="5">
        <v>5</v>
      </c>
      <c r="G264" s="5">
        <v>13</v>
      </c>
      <c r="H264" s="528">
        <v>4218</v>
      </c>
      <c r="I264" s="495">
        <v>597</v>
      </c>
      <c r="J264" s="97">
        <f>+I264/F264</f>
        <v>119.4</v>
      </c>
      <c r="K264" s="221">
        <f>+H264/I264</f>
        <v>7.065326633165829</v>
      </c>
      <c r="L264" s="23">
        <v>377106</v>
      </c>
      <c r="M264" s="11">
        <v>34343</v>
      </c>
      <c r="N264" s="210">
        <f>+L264/M264</f>
        <v>10.980578283784178</v>
      </c>
      <c r="O264" s="99">
        <v>254</v>
      </c>
    </row>
    <row r="265" spans="1:15" s="90" customFormat="1" ht="12" customHeight="1">
      <c r="A265" s="91">
        <v>255</v>
      </c>
      <c r="B265" s="430" t="s">
        <v>311</v>
      </c>
      <c r="C265" s="113">
        <v>40459</v>
      </c>
      <c r="D265" s="118" t="s">
        <v>8</v>
      </c>
      <c r="E265" s="119">
        <v>50</v>
      </c>
      <c r="F265" s="5">
        <v>1</v>
      </c>
      <c r="G265" s="343">
        <v>15</v>
      </c>
      <c r="H265" s="494">
        <v>653</v>
      </c>
      <c r="I265" s="495">
        <v>108</v>
      </c>
      <c r="J265" s="97">
        <f>I265/F265</f>
        <v>108</v>
      </c>
      <c r="K265" s="96">
        <f>H265/I265</f>
        <v>6.046296296296297</v>
      </c>
      <c r="L265" s="10">
        <v>378155</v>
      </c>
      <c r="M265" s="11">
        <v>34516</v>
      </c>
      <c r="N265" s="122">
        <f>+L265/M265</f>
        <v>10.955933480125159</v>
      </c>
      <c r="O265" s="99">
        <v>255</v>
      </c>
    </row>
    <row r="266" spans="1:15" s="90" customFormat="1" ht="12" customHeight="1">
      <c r="A266" s="91">
        <v>256</v>
      </c>
      <c r="B266" s="430" t="s">
        <v>311</v>
      </c>
      <c r="C266" s="377">
        <v>40459</v>
      </c>
      <c r="D266" s="118" t="s">
        <v>8</v>
      </c>
      <c r="E266" s="119">
        <v>50</v>
      </c>
      <c r="F266" s="5">
        <v>1</v>
      </c>
      <c r="G266" s="5">
        <v>15</v>
      </c>
      <c r="H266" s="494">
        <v>334</v>
      </c>
      <c r="I266" s="495">
        <v>55</v>
      </c>
      <c r="J266" s="245">
        <f>I266/F266</f>
        <v>55</v>
      </c>
      <c r="K266" s="179">
        <f>H266/I266</f>
        <v>6.072727272727272</v>
      </c>
      <c r="L266" s="10">
        <v>377502</v>
      </c>
      <c r="M266" s="11">
        <v>34408</v>
      </c>
      <c r="N266" s="124">
        <f>L266/M266</f>
        <v>10.971343873517787</v>
      </c>
      <c r="O266" s="99">
        <v>256</v>
      </c>
    </row>
    <row r="267" spans="1:15" s="90" customFormat="1" ht="12" customHeight="1">
      <c r="A267" s="91">
        <v>257</v>
      </c>
      <c r="B267" s="205" t="s">
        <v>311</v>
      </c>
      <c r="C267" s="2">
        <v>40459</v>
      </c>
      <c r="D267" s="25" t="s">
        <v>8</v>
      </c>
      <c r="E267" s="5">
        <v>50</v>
      </c>
      <c r="F267" s="5">
        <v>1</v>
      </c>
      <c r="G267" s="5">
        <v>14</v>
      </c>
      <c r="H267" s="494">
        <v>62</v>
      </c>
      <c r="I267" s="495">
        <v>10</v>
      </c>
      <c r="J267" s="97">
        <f>+I267/F267</f>
        <v>10</v>
      </c>
      <c r="K267" s="209">
        <f>+H267/I267</f>
        <v>6.2</v>
      </c>
      <c r="L267" s="10">
        <v>377168</v>
      </c>
      <c r="M267" s="11">
        <v>34353</v>
      </c>
      <c r="N267" s="210">
        <f>+L267/M267</f>
        <v>10.979186679474864</v>
      </c>
      <c r="O267" s="99">
        <v>257</v>
      </c>
    </row>
    <row r="268" spans="1:15" s="90" customFormat="1" ht="12" customHeight="1">
      <c r="A268" s="91">
        <v>258</v>
      </c>
      <c r="B268" s="608" t="s">
        <v>412</v>
      </c>
      <c r="C268" s="658">
        <v>40102</v>
      </c>
      <c r="D268" s="580" t="s">
        <v>21</v>
      </c>
      <c r="E268" s="22">
        <v>319</v>
      </c>
      <c r="F268" s="22">
        <v>1</v>
      </c>
      <c r="G268" s="22">
        <v>37</v>
      </c>
      <c r="H268" s="515">
        <v>1782</v>
      </c>
      <c r="I268" s="527">
        <v>356</v>
      </c>
      <c r="J268" s="245">
        <f>I268/F268</f>
        <v>356</v>
      </c>
      <c r="K268" s="318">
        <f>H268/I268</f>
        <v>5.00561797752809</v>
      </c>
      <c r="L268" s="34">
        <f>19814046.25+1782</f>
        <v>19815828.25</v>
      </c>
      <c r="M268" s="29">
        <f>2436288+356</f>
        <v>2436644</v>
      </c>
      <c r="N268" s="329">
        <f>+L268/M268</f>
        <v>8.132426505472282</v>
      </c>
      <c r="O268" s="99">
        <v>258</v>
      </c>
    </row>
    <row r="269" spans="1:15" s="90" customFormat="1" ht="12" customHeight="1">
      <c r="A269" s="91">
        <v>259</v>
      </c>
      <c r="B269" s="177" t="s">
        <v>157</v>
      </c>
      <c r="C269" s="32">
        <v>40480</v>
      </c>
      <c r="D269" s="31" t="s">
        <v>28</v>
      </c>
      <c r="E269" s="33">
        <v>135</v>
      </c>
      <c r="F269" s="33">
        <v>5</v>
      </c>
      <c r="G269" s="33">
        <v>10</v>
      </c>
      <c r="H269" s="526">
        <v>604</v>
      </c>
      <c r="I269" s="500">
        <v>91</v>
      </c>
      <c r="J269" s="97">
        <f>IF(H269&lt;&gt;0,I269/F269,"")</f>
        <v>18.2</v>
      </c>
      <c r="K269" s="221">
        <f>IF(H269&lt;&gt;0,H269/I269,"")</f>
        <v>6.637362637362638</v>
      </c>
      <c r="L269" s="28">
        <f>151771.5+44278.5+20156+4831.5+5960.5+2697+3743.5+81+2518+2320+604</f>
        <v>238961.5</v>
      </c>
      <c r="M269" s="38">
        <f>19003+7410+3277+795+995+475+746+11+433+386+91</f>
        <v>33622</v>
      </c>
      <c r="N269" s="210">
        <f>IF(L269&lt;&gt;0,L269/M269,"")</f>
        <v>7.107295818214264</v>
      </c>
      <c r="O269" s="99">
        <v>259</v>
      </c>
    </row>
    <row r="270" spans="1:15" s="90" customFormat="1" ht="12" customHeight="1">
      <c r="A270" s="91">
        <v>260</v>
      </c>
      <c r="B270" s="180" t="s">
        <v>157</v>
      </c>
      <c r="C270" s="32">
        <v>40480</v>
      </c>
      <c r="D270" s="31" t="s">
        <v>28</v>
      </c>
      <c r="E270" s="33">
        <v>135</v>
      </c>
      <c r="F270" s="33">
        <v>1</v>
      </c>
      <c r="G270" s="33">
        <v>11</v>
      </c>
      <c r="H270" s="499">
        <v>265</v>
      </c>
      <c r="I270" s="500">
        <v>52</v>
      </c>
      <c r="J270" s="38">
        <f>I270/F270</f>
        <v>52</v>
      </c>
      <c r="K270" s="236">
        <f>H270/I270</f>
        <v>5.096153846153846</v>
      </c>
      <c r="L270" s="36">
        <f>151771.5+44278.5+20156+4831.5+5960.5+2697+3743.5+81+2518+2320+604+265</f>
        <v>239226.5</v>
      </c>
      <c r="M270" s="38">
        <f>19003+7410+3277+795+995+475+746+11+433+386+91+52</f>
        <v>33674</v>
      </c>
      <c r="N270" s="237">
        <f>L270/M270</f>
        <v>7.10419017639722</v>
      </c>
      <c r="O270" s="99">
        <v>260</v>
      </c>
    </row>
    <row r="271" spans="1:15" s="90" customFormat="1" ht="12" customHeight="1">
      <c r="A271" s="91">
        <v>261</v>
      </c>
      <c r="B271" s="430" t="s">
        <v>262</v>
      </c>
      <c r="C271" s="113">
        <v>40487</v>
      </c>
      <c r="D271" s="118" t="s">
        <v>8</v>
      </c>
      <c r="E271" s="119">
        <v>383</v>
      </c>
      <c r="F271" s="5">
        <v>1</v>
      </c>
      <c r="G271" s="5">
        <v>13</v>
      </c>
      <c r="H271" s="494">
        <v>288</v>
      </c>
      <c r="I271" s="495">
        <v>36</v>
      </c>
      <c r="J271" s="97">
        <f>I271/F271</f>
        <v>36</v>
      </c>
      <c r="K271" s="96">
        <f>H271/I271</f>
        <v>8</v>
      </c>
      <c r="L271" s="10">
        <v>31645541</v>
      </c>
      <c r="M271" s="11">
        <v>3474495</v>
      </c>
      <c r="N271" s="122">
        <f>+L271/M271</f>
        <v>9.107954105560664</v>
      </c>
      <c r="O271" s="99">
        <v>261</v>
      </c>
    </row>
    <row r="272" spans="1:15" s="90" customFormat="1" ht="12" customHeight="1">
      <c r="A272" s="91">
        <v>262</v>
      </c>
      <c r="B272" s="229" t="s">
        <v>158</v>
      </c>
      <c r="C272" s="2">
        <v>40487</v>
      </c>
      <c r="D272" s="25" t="s">
        <v>8</v>
      </c>
      <c r="E272" s="5">
        <v>312</v>
      </c>
      <c r="F272" s="5">
        <v>86</v>
      </c>
      <c r="G272" s="5">
        <v>9</v>
      </c>
      <c r="H272" s="528">
        <v>125458</v>
      </c>
      <c r="I272" s="495">
        <v>15869</v>
      </c>
      <c r="J272" s="97">
        <f>+I272/F272</f>
        <v>184.52325581395348</v>
      </c>
      <c r="K272" s="221">
        <f>+H272/I272</f>
        <v>7.90585418110782</v>
      </c>
      <c r="L272" s="23">
        <v>31622053</v>
      </c>
      <c r="M272" s="11">
        <v>3470958</v>
      </c>
      <c r="N272" s="210">
        <f>+L272/M272</f>
        <v>9.110468349084028</v>
      </c>
      <c r="O272" s="99">
        <v>262</v>
      </c>
    </row>
    <row r="273" spans="1:15" s="90" customFormat="1" ht="12" customHeight="1">
      <c r="A273" s="91">
        <v>263</v>
      </c>
      <c r="B273" s="205" t="s">
        <v>158</v>
      </c>
      <c r="C273" s="2">
        <v>40487</v>
      </c>
      <c r="D273" s="25" t="s">
        <v>8</v>
      </c>
      <c r="E273" s="5">
        <v>312</v>
      </c>
      <c r="F273" s="5">
        <v>19</v>
      </c>
      <c r="G273" s="5">
        <v>10</v>
      </c>
      <c r="H273" s="494">
        <v>12589</v>
      </c>
      <c r="I273" s="495">
        <v>1965</v>
      </c>
      <c r="J273" s="97">
        <f>+I273/F273</f>
        <v>103.42105263157895</v>
      </c>
      <c r="K273" s="209">
        <f>+H273/I273</f>
        <v>6.406615776081425</v>
      </c>
      <c r="L273" s="10">
        <v>31634642</v>
      </c>
      <c r="M273" s="11">
        <v>3472923</v>
      </c>
      <c r="N273" s="210">
        <f>+L273/M273</f>
        <v>9.108938493597469</v>
      </c>
      <c r="O273" s="99">
        <v>263</v>
      </c>
    </row>
    <row r="274" spans="1:15" s="90" customFormat="1" ht="12" customHeight="1">
      <c r="A274" s="91">
        <v>264</v>
      </c>
      <c r="B274" s="205" t="s">
        <v>158</v>
      </c>
      <c r="C274" s="2">
        <v>40487</v>
      </c>
      <c r="D274" s="20" t="s">
        <v>8</v>
      </c>
      <c r="E274" s="5">
        <v>312</v>
      </c>
      <c r="F274" s="5">
        <v>12</v>
      </c>
      <c r="G274" s="5">
        <v>11</v>
      </c>
      <c r="H274" s="494">
        <v>5621</v>
      </c>
      <c r="I274" s="495">
        <v>841</v>
      </c>
      <c r="J274" s="97">
        <f>+I274/F274</f>
        <v>70.08333333333333</v>
      </c>
      <c r="K274" s="209">
        <f>+H274/I274</f>
        <v>6.683709869203329</v>
      </c>
      <c r="L274" s="10">
        <v>31640263</v>
      </c>
      <c r="M274" s="11">
        <v>3473764</v>
      </c>
      <c r="N274" s="210">
        <f>+L274/M274</f>
        <v>9.108351344535784</v>
      </c>
      <c r="O274" s="99">
        <v>264</v>
      </c>
    </row>
    <row r="275" spans="1:15" s="90" customFormat="1" ht="12" customHeight="1">
      <c r="A275" s="91">
        <v>265</v>
      </c>
      <c r="B275" s="229" t="s">
        <v>158</v>
      </c>
      <c r="C275" s="2">
        <v>40487</v>
      </c>
      <c r="D275" s="21" t="s">
        <v>8</v>
      </c>
      <c r="E275" s="5">
        <v>312</v>
      </c>
      <c r="F275" s="5">
        <v>7</v>
      </c>
      <c r="G275" s="5">
        <v>12</v>
      </c>
      <c r="H275" s="494">
        <v>4990</v>
      </c>
      <c r="I275" s="495">
        <v>695</v>
      </c>
      <c r="J275" s="108">
        <f>(I275/F275)</f>
        <v>99.28571428571429</v>
      </c>
      <c r="K275" s="174">
        <f>H275/I275</f>
        <v>7.179856115107913</v>
      </c>
      <c r="L275" s="10">
        <v>31645253</v>
      </c>
      <c r="M275" s="11">
        <v>3474459</v>
      </c>
      <c r="N275" s="176">
        <f>L275/M275</f>
        <v>9.107965585433588</v>
      </c>
      <c r="O275" s="99">
        <v>265</v>
      </c>
    </row>
    <row r="276" spans="1:15" s="90" customFormat="1" ht="12" customHeight="1">
      <c r="A276" s="91">
        <v>266</v>
      </c>
      <c r="B276" s="262" t="s">
        <v>159</v>
      </c>
      <c r="C276" s="32">
        <v>39941</v>
      </c>
      <c r="D276" s="30" t="s">
        <v>31</v>
      </c>
      <c r="E276" s="33">
        <v>26</v>
      </c>
      <c r="F276" s="33">
        <v>1</v>
      </c>
      <c r="G276" s="33">
        <v>26</v>
      </c>
      <c r="H276" s="339">
        <v>2376</v>
      </c>
      <c r="I276" s="340">
        <v>594</v>
      </c>
      <c r="J276" s="108">
        <f>(I276/F276)</f>
        <v>594</v>
      </c>
      <c r="K276" s="174">
        <f>H276/I276</f>
        <v>4</v>
      </c>
      <c r="L276" s="12">
        <f>36482.75+16583.5+5922.75+3249+4769+4925+4199.5+5525+366+924+414+2215+2444+33+1987+838+1440+537+604+3792+2376+1780+3800+2376+310.7+381.86+2376</f>
        <v>110651.06</v>
      </c>
      <c r="M276" s="13">
        <f>4495+1934+744+517+1003+1215+722+968+65+193+83+369+384+5+336+159+238+83+151+948+594+445+950+594+72+92+594</f>
        <v>17953</v>
      </c>
      <c r="N276" s="176">
        <f>L276/M276</f>
        <v>6.163374366401158</v>
      </c>
      <c r="O276" s="99">
        <v>266</v>
      </c>
    </row>
    <row r="277" spans="1:15" s="90" customFormat="1" ht="12" customHeight="1">
      <c r="A277" s="91">
        <v>267</v>
      </c>
      <c r="B277" s="192" t="s">
        <v>160</v>
      </c>
      <c r="C277" s="32">
        <v>40473</v>
      </c>
      <c r="D277" s="178" t="s">
        <v>28</v>
      </c>
      <c r="E277" s="181">
        <v>36</v>
      </c>
      <c r="F277" s="181">
        <v>1</v>
      </c>
      <c r="G277" s="181">
        <v>9</v>
      </c>
      <c r="H277" s="526">
        <v>926</v>
      </c>
      <c r="I277" s="532">
        <v>136</v>
      </c>
      <c r="J277" s="245">
        <f>+I277/F277</f>
        <v>136</v>
      </c>
      <c r="K277" s="221">
        <f>+H277/I277</f>
        <v>6.8088235294117645</v>
      </c>
      <c r="L277" s="28">
        <f>34961.5+23009.5+1351+805+533+530+156+172+926</f>
        <v>62444</v>
      </c>
      <c r="M277" s="29">
        <f>4408+3132+214+122+62+78+26+27+136</f>
        <v>8205</v>
      </c>
      <c r="N277" s="210">
        <f>+L277/M277</f>
        <v>7.61048141377209</v>
      </c>
      <c r="O277" s="99">
        <v>267</v>
      </c>
    </row>
    <row r="278" spans="1:15" s="90" customFormat="1" ht="12" customHeight="1">
      <c r="A278" s="91">
        <v>268</v>
      </c>
      <c r="B278" s="265" t="s">
        <v>160</v>
      </c>
      <c r="C278" s="250">
        <v>40473</v>
      </c>
      <c r="D278" s="540" t="s">
        <v>28</v>
      </c>
      <c r="E278" s="208">
        <v>36</v>
      </c>
      <c r="F278" s="208">
        <v>1</v>
      </c>
      <c r="G278" s="208">
        <v>8</v>
      </c>
      <c r="H278" s="530">
        <v>172</v>
      </c>
      <c r="I278" s="531">
        <v>27</v>
      </c>
      <c r="J278" s="94">
        <f>IF(H278&lt;&gt;0,I278/F278,"")</f>
        <v>27</v>
      </c>
      <c r="K278" s="211">
        <f>IF(H278&lt;&gt;0,H278/I278,"")</f>
        <v>6.37037037037037</v>
      </c>
      <c r="L278" s="488">
        <f>34961.5+23009.5+1351+805+533+530+156+172</f>
        <v>61518</v>
      </c>
      <c r="M278" s="40">
        <f>4408+3132+214+122+62+78+26+27</f>
        <v>8069</v>
      </c>
      <c r="N278" s="276">
        <f>IF(L278&lt;&gt;0,L278/M278,"")</f>
        <v>7.6239930598587184</v>
      </c>
      <c r="O278" s="99">
        <v>268</v>
      </c>
    </row>
    <row r="279" spans="1:15" s="90" customFormat="1" ht="12" customHeight="1">
      <c r="A279" s="91">
        <v>269</v>
      </c>
      <c r="B279" s="180" t="s">
        <v>312</v>
      </c>
      <c r="C279" s="32">
        <v>40102</v>
      </c>
      <c r="D279" s="30" t="s">
        <v>31</v>
      </c>
      <c r="E279" s="33">
        <v>9</v>
      </c>
      <c r="F279" s="33">
        <v>1</v>
      </c>
      <c r="G279" s="33">
        <v>11</v>
      </c>
      <c r="H279" s="339">
        <v>1500</v>
      </c>
      <c r="I279" s="340">
        <v>150</v>
      </c>
      <c r="J279" s="108">
        <f>(I279/F279)</f>
        <v>150</v>
      </c>
      <c r="K279" s="174">
        <f>H279/I279</f>
        <v>10</v>
      </c>
      <c r="L279" s="12">
        <f>140093+133065.5+53545.5+8843.5+1143.5+938+558+224+456+4065+1500</f>
        <v>344432</v>
      </c>
      <c r="M279" s="13">
        <f>10984+10700+4415+806+91+134+57+28+33+335+150</f>
        <v>27733</v>
      </c>
      <c r="N279" s="176">
        <f>L279/M279</f>
        <v>12.419572350629215</v>
      </c>
      <c r="O279" s="99">
        <v>269</v>
      </c>
    </row>
    <row r="280" spans="1:15" s="90" customFormat="1" ht="12" customHeight="1">
      <c r="A280" s="91">
        <v>270</v>
      </c>
      <c r="B280" s="180" t="s">
        <v>312</v>
      </c>
      <c r="C280" s="32">
        <v>40102</v>
      </c>
      <c r="D280" s="30" t="s">
        <v>31</v>
      </c>
      <c r="E280" s="33">
        <v>9</v>
      </c>
      <c r="F280" s="33">
        <v>1</v>
      </c>
      <c r="G280" s="33">
        <v>12</v>
      </c>
      <c r="H280" s="339">
        <v>670</v>
      </c>
      <c r="I280" s="340">
        <v>67</v>
      </c>
      <c r="J280" s="108">
        <f>(I280/F280)</f>
        <v>67</v>
      </c>
      <c r="K280" s="174">
        <f>H280/I280</f>
        <v>10</v>
      </c>
      <c r="L280" s="12">
        <f>140093+133065.5+53545.5+8843.5+1143.5+938+558+224+456+4065+1500+670</f>
        <v>345102</v>
      </c>
      <c r="M280" s="13">
        <f>10984+10700+4415+806+91+134+57+28+33+335+150+67</f>
        <v>27800</v>
      </c>
      <c r="N280" s="176">
        <f>L280/M280</f>
        <v>12.413741007194245</v>
      </c>
      <c r="O280" s="99">
        <v>270</v>
      </c>
    </row>
    <row r="281" spans="1:15" s="90" customFormat="1" ht="12" customHeight="1">
      <c r="A281" s="91">
        <v>271</v>
      </c>
      <c r="B281" s="459" t="s">
        <v>353</v>
      </c>
      <c r="C281" s="113">
        <v>40515</v>
      </c>
      <c r="D281" s="114" t="s">
        <v>31</v>
      </c>
      <c r="E281" s="186">
        <v>62</v>
      </c>
      <c r="F281" s="186">
        <v>5</v>
      </c>
      <c r="G281" s="186">
        <v>31</v>
      </c>
      <c r="H281" s="339">
        <v>7747.5</v>
      </c>
      <c r="I281" s="340">
        <v>1593</v>
      </c>
      <c r="J281" s="97">
        <f>I281/F281</f>
        <v>318.6</v>
      </c>
      <c r="K281" s="96">
        <f>H281/I281</f>
        <v>4.86346516007533</v>
      </c>
      <c r="L281" s="12">
        <f>353151+191248+132731.5+71376+47862+26248.5+19265+34650.5+35095.5+42312+25849+10987+7528+3248+2395.5+3280.5+3141.5+4280+3042+1597+6128+4358+2107+777+4230+4335.5+1718.5+594+1978+2020+7747.5</f>
        <v>1055282</v>
      </c>
      <c r="M281" s="13">
        <f>34650+19352+14525+10591+7581+5012+3223+6065+6865+6589+3930+1782+1091+624+468+512+688+987+804+306+1395+991+478+166+1058+1084+430+148+474+261+1593</f>
        <v>133723</v>
      </c>
      <c r="N281" s="122">
        <f>+L281/M281</f>
        <v>7.891551939456937</v>
      </c>
      <c r="O281" s="99">
        <v>271</v>
      </c>
    </row>
    <row r="282" spans="1:15" s="90" customFormat="1" ht="12" customHeight="1">
      <c r="A282" s="91">
        <v>272</v>
      </c>
      <c r="B282" s="459" t="s">
        <v>353</v>
      </c>
      <c r="C282" s="113">
        <v>40515</v>
      </c>
      <c r="D282" s="114" t="s">
        <v>31</v>
      </c>
      <c r="E282" s="186">
        <v>62</v>
      </c>
      <c r="F282" s="186">
        <v>2</v>
      </c>
      <c r="G282" s="186">
        <v>30</v>
      </c>
      <c r="H282" s="339">
        <v>2020</v>
      </c>
      <c r="I282" s="340">
        <v>261</v>
      </c>
      <c r="J282" s="97">
        <f>I282/F282</f>
        <v>130.5</v>
      </c>
      <c r="K282" s="96">
        <f>H282/I282</f>
        <v>7.739463601532567</v>
      </c>
      <c r="L282" s="12">
        <f>353151+191248+132731.5+71376+47862+26248.5+19265+34650.5+35095.5+42312+25849+10987+7528+3248+2395.5+3280.5+3141.5+4280+3042+1597+6128+4358+2107+777+4230+4335.5+1718.5+594+1978+2020</f>
        <v>1047534.5</v>
      </c>
      <c r="M282" s="13">
        <f>34650+19352+14525+10591+7581+5012+3223+6065+6865+6589+3930+1782+1091+624+468+512+688+987+804+306+1395+991+478+166+1058+1084+430+148+474+261</f>
        <v>132130</v>
      </c>
      <c r="N282" s="124">
        <f>L282/M282</f>
        <v>7.928059486868992</v>
      </c>
      <c r="O282" s="99">
        <v>272</v>
      </c>
    </row>
    <row r="283" spans="1:15" s="90" customFormat="1" ht="12" customHeight="1">
      <c r="A283" s="91">
        <v>273</v>
      </c>
      <c r="B283" s="177" t="s">
        <v>313</v>
      </c>
      <c r="C283" s="32">
        <v>40515</v>
      </c>
      <c r="D283" s="178" t="s">
        <v>31</v>
      </c>
      <c r="E283" s="33">
        <v>62</v>
      </c>
      <c r="F283" s="33">
        <v>62</v>
      </c>
      <c r="G283" s="33">
        <v>5</v>
      </c>
      <c r="H283" s="509">
        <v>47812</v>
      </c>
      <c r="I283" s="340">
        <v>7581</v>
      </c>
      <c r="J283" s="108">
        <f>(I283/F283)</f>
        <v>122.2741935483871</v>
      </c>
      <c r="K283" s="179">
        <f>H283/I283</f>
        <v>6.3068196807809</v>
      </c>
      <c r="L283" s="26">
        <f>353151+191248+132731.5+71376+47812</f>
        <v>796318.5</v>
      </c>
      <c r="M283" s="13">
        <f>34650+19352+14525+10591+7581</f>
        <v>86699</v>
      </c>
      <c r="N283" s="176">
        <f>L283/M283</f>
        <v>9.184863723918385</v>
      </c>
      <c r="O283" s="99">
        <v>273</v>
      </c>
    </row>
    <row r="284" spans="1:15" s="90" customFormat="1" ht="12" customHeight="1">
      <c r="A284" s="91">
        <v>274</v>
      </c>
      <c r="B284" s="192" t="s">
        <v>313</v>
      </c>
      <c r="C284" s="32">
        <v>40515</v>
      </c>
      <c r="D284" s="178" t="s">
        <v>31</v>
      </c>
      <c r="E284" s="181">
        <v>62</v>
      </c>
      <c r="F284" s="181">
        <v>28</v>
      </c>
      <c r="G284" s="181">
        <v>10</v>
      </c>
      <c r="H284" s="339">
        <v>42312</v>
      </c>
      <c r="I284" s="340">
        <v>6589</v>
      </c>
      <c r="J284" s="108">
        <f>(I284/F284)</f>
        <v>235.32142857142858</v>
      </c>
      <c r="K284" s="174">
        <f>H284/I284</f>
        <v>6.421611777204432</v>
      </c>
      <c r="L284" s="12">
        <f>353151+191248+132731.5+71376+47862+26248.5+19265+34650.5+35095.5+42312</f>
        <v>953940</v>
      </c>
      <c r="M284" s="13">
        <f>34650+19352+14525+10591+7581+5012+3223+6065+6865+6589</f>
        <v>114453</v>
      </c>
      <c r="N284" s="176">
        <f>L284/M284</f>
        <v>8.334774973133076</v>
      </c>
      <c r="O284" s="99">
        <v>274</v>
      </c>
    </row>
    <row r="285" spans="1:15" s="90" customFormat="1" ht="12" customHeight="1">
      <c r="A285" s="91">
        <v>275</v>
      </c>
      <c r="B285" s="180" t="s">
        <v>313</v>
      </c>
      <c r="C285" s="32">
        <v>40515</v>
      </c>
      <c r="D285" s="178" t="s">
        <v>31</v>
      </c>
      <c r="E285" s="33">
        <v>62</v>
      </c>
      <c r="F285" s="33">
        <v>37</v>
      </c>
      <c r="G285" s="33">
        <v>9</v>
      </c>
      <c r="H285" s="339">
        <v>35095.5</v>
      </c>
      <c r="I285" s="340">
        <v>6865</v>
      </c>
      <c r="J285" s="108">
        <f>(I285/F285)</f>
        <v>185.54054054054055</v>
      </c>
      <c r="K285" s="174">
        <f>H285/I285</f>
        <v>5.112235979606701</v>
      </c>
      <c r="L285" s="12">
        <f>353151+191248+132731.5+71376+47862+26248.5+19265+34650.5+35095.5</f>
        <v>911628</v>
      </c>
      <c r="M285" s="13">
        <f>34650+19352+14525+10591+7581+5012+3223+6065+6865</f>
        <v>107864</v>
      </c>
      <c r="N285" s="176">
        <f>L285/M285</f>
        <v>8.451642809463769</v>
      </c>
      <c r="O285" s="99">
        <v>275</v>
      </c>
    </row>
    <row r="286" spans="1:15" s="90" customFormat="1" ht="12" customHeight="1">
      <c r="A286" s="91">
        <v>276</v>
      </c>
      <c r="B286" s="177" t="s">
        <v>313</v>
      </c>
      <c r="C286" s="32">
        <v>40515</v>
      </c>
      <c r="D286" s="178" t="s">
        <v>31</v>
      </c>
      <c r="E286" s="33">
        <v>62</v>
      </c>
      <c r="F286" s="33">
        <v>36</v>
      </c>
      <c r="G286" s="33">
        <v>8</v>
      </c>
      <c r="H286" s="339">
        <v>34650.5</v>
      </c>
      <c r="I286" s="340">
        <v>6065</v>
      </c>
      <c r="J286" s="108">
        <f>(I286/F286)</f>
        <v>168.47222222222223</v>
      </c>
      <c r="K286" s="174">
        <f>H286/I286</f>
        <v>5.713190436933224</v>
      </c>
      <c r="L286" s="12">
        <f>353151+191248+132731.5+71376+47862+26248.5+19265+34650.5</f>
        <v>876532.5</v>
      </c>
      <c r="M286" s="13">
        <f>34650+19352+14525+10591+7581+5012+3223+6065</f>
        <v>100999</v>
      </c>
      <c r="N286" s="176">
        <f>L286/M286</f>
        <v>8.678625530945851</v>
      </c>
      <c r="O286" s="99">
        <v>276</v>
      </c>
    </row>
    <row r="287" spans="1:15" s="90" customFormat="1" ht="12" customHeight="1">
      <c r="A287" s="91">
        <v>277</v>
      </c>
      <c r="B287" s="180" t="s">
        <v>313</v>
      </c>
      <c r="C287" s="32">
        <v>40515</v>
      </c>
      <c r="D287" s="178" t="s">
        <v>31</v>
      </c>
      <c r="E287" s="33">
        <v>62</v>
      </c>
      <c r="F287" s="33">
        <v>42</v>
      </c>
      <c r="G287" s="33">
        <v>6</v>
      </c>
      <c r="H287" s="339">
        <v>26248.5</v>
      </c>
      <c r="I287" s="340">
        <v>5012</v>
      </c>
      <c r="J287" s="108">
        <f>(I287/F287)</f>
        <v>119.33333333333333</v>
      </c>
      <c r="K287" s="174">
        <f>H287/I287</f>
        <v>5.237130885873903</v>
      </c>
      <c r="L287" s="12">
        <f>353151+191248+132731.5+71376+47862+26248.5</f>
        <v>822617</v>
      </c>
      <c r="M287" s="13">
        <f>34650+19352+14525+10591+7581+5012</f>
        <v>91711</v>
      </c>
      <c r="N287" s="176">
        <f>L287/M287</f>
        <v>8.96966557991953</v>
      </c>
      <c r="O287" s="99">
        <v>277</v>
      </c>
    </row>
    <row r="288" spans="1:15" s="90" customFormat="1" ht="12" customHeight="1">
      <c r="A288" s="91">
        <v>278</v>
      </c>
      <c r="B288" s="184" t="s">
        <v>313</v>
      </c>
      <c r="C288" s="185">
        <v>40515</v>
      </c>
      <c r="D288" s="178" t="s">
        <v>31</v>
      </c>
      <c r="E288" s="186">
        <v>62</v>
      </c>
      <c r="F288" s="186">
        <v>26</v>
      </c>
      <c r="G288" s="186">
        <v>11</v>
      </c>
      <c r="H288" s="506">
        <v>25849</v>
      </c>
      <c r="I288" s="512">
        <v>3930</v>
      </c>
      <c r="J288" s="187">
        <f>(I288/F288)</f>
        <v>151.15384615384616</v>
      </c>
      <c r="K288" s="188">
        <f>H288/I288</f>
        <v>6.57735368956743</v>
      </c>
      <c r="L288" s="189">
        <f>353151+191248+132731.5+71376+47862+26248.5+19265+34650.5+35095.5+42312+25849</f>
        <v>979789</v>
      </c>
      <c r="M288" s="190">
        <f>34650+19352+14525+10591+7581+5012+3223+6065+6865+6589+3930</f>
        <v>118383</v>
      </c>
      <c r="N288" s="191">
        <f>L288/M288</f>
        <v>8.276433271669074</v>
      </c>
      <c r="O288" s="99">
        <v>278</v>
      </c>
    </row>
    <row r="289" spans="1:15" s="90" customFormat="1" ht="12" customHeight="1">
      <c r="A289" s="91">
        <v>279</v>
      </c>
      <c r="B289" s="184" t="s">
        <v>313</v>
      </c>
      <c r="C289" s="185">
        <v>40515</v>
      </c>
      <c r="D289" s="178" t="s">
        <v>31</v>
      </c>
      <c r="E289" s="186">
        <v>62</v>
      </c>
      <c r="F289" s="186">
        <v>37</v>
      </c>
      <c r="G289" s="186">
        <v>7</v>
      </c>
      <c r="H289" s="506">
        <v>19265</v>
      </c>
      <c r="I289" s="512">
        <v>3223</v>
      </c>
      <c r="J289" s="187">
        <f>(I289/F289)</f>
        <v>87.10810810810811</v>
      </c>
      <c r="K289" s="188">
        <f>H289/I289</f>
        <v>5.977350294756438</v>
      </c>
      <c r="L289" s="189">
        <f>353151+191248+132731.5+71376+47862+26248.5+19265</f>
        <v>841882</v>
      </c>
      <c r="M289" s="190">
        <f>34650+19352+14525+10591+7581+5012+3223</f>
        <v>94934</v>
      </c>
      <c r="N289" s="191">
        <f>L289/M289</f>
        <v>8.868076769123812</v>
      </c>
      <c r="O289" s="99">
        <v>279</v>
      </c>
    </row>
    <row r="290" spans="1:15" s="90" customFormat="1" ht="12" customHeight="1">
      <c r="A290" s="91">
        <v>280</v>
      </c>
      <c r="B290" s="192" t="s">
        <v>313</v>
      </c>
      <c r="C290" s="32">
        <v>40515</v>
      </c>
      <c r="D290" s="178" t="s">
        <v>31</v>
      </c>
      <c r="E290" s="181">
        <v>62</v>
      </c>
      <c r="F290" s="181">
        <v>17</v>
      </c>
      <c r="G290" s="181">
        <v>12</v>
      </c>
      <c r="H290" s="339">
        <v>10987</v>
      </c>
      <c r="I290" s="340">
        <v>1782</v>
      </c>
      <c r="J290" s="108">
        <f>(I290/F290)</f>
        <v>104.82352941176471</v>
      </c>
      <c r="K290" s="174">
        <f>H290/I290</f>
        <v>6.165544332210999</v>
      </c>
      <c r="L290" s="12">
        <f>353151+191248+132731.5+71376+47862+26248.5+19265+34650.5+35095.5+42312+25849+10987</f>
        <v>990776</v>
      </c>
      <c r="M290" s="13">
        <f>34650+19352+14525+10591+7581+5012+3223+6065+6865+6589+3930+1782</f>
        <v>120165</v>
      </c>
      <c r="N290" s="176">
        <f>L290/M290</f>
        <v>8.245129613448176</v>
      </c>
      <c r="O290" s="99">
        <v>280</v>
      </c>
    </row>
    <row r="291" spans="1:15" s="90" customFormat="1" ht="12" customHeight="1">
      <c r="A291" s="91">
        <v>281</v>
      </c>
      <c r="B291" s="192" t="s">
        <v>313</v>
      </c>
      <c r="C291" s="32">
        <v>40515</v>
      </c>
      <c r="D291" s="178" t="s">
        <v>31</v>
      </c>
      <c r="E291" s="181">
        <v>62</v>
      </c>
      <c r="F291" s="181">
        <v>14</v>
      </c>
      <c r="G291" s="181">
        <v>13</v>
      </c>
      <c r="H291" s="509">
        <v>7528</v>
      </c>
      <c r="I291" s="523">
        <v>1091</v>
      </c>
      <c r="J291" s="182">
        <f>(I291/F291)</f>
        <v>77.92857142857143</v>
      </c>
      <c r="K291" s="179">
        <f>H291/I291</f>
        <v>6.900091659028415</v>
      </c>
      <c r="L291" s="26">
        <f>353151+191248+132731.5+71376+47862+26248.5+19265+34650.5+35095.5+42312+25849+10987+7528</f>
        <v>998304</v>
      </c>
      <c r="M291" s="27">
        <f>34650+19352+14525+10591+7581+5012+3223+6065+6865+6589+3930+1782+1091</f>
        <v>121256</v>
      </c>
      <c r="N291" s="176">
        <f>L291/M291</f>
        <v>8.233027643992875</v>
      </c>
      <c r="O291" s="99">
        <v>281</v>
      </c>
    </row>
    <row r="292" spans="1:15" s="90" customFormat="1" ht="12" customHeight="1">
      <c r="A292" s="91">
        <v>282</v>
      </c>
      <c r="B292" s="180" t="s">
        <v>313</v>
      </c>
      <c r="C292" s="32">
        <v>40515</v>
      </c>
      <c r="D292" s="30" t="s">
        <v>31</v>
      </c>
      <c r="E292" s="33">
        <v>62</v>
      </c>
      <c r="F292" s="33">
        <v>5</v>
      </c>
      <c r="G292" s="33">
        <v>21</v>
      </c>
      <c r="H292" s="339">
        <v>6128</v>
      </c>
      <c r="I292" s="340">
        <v>1395</v>
      </c>
      <c r="J292" s="108">
        <f>(I292/F292)</f>
        <v>279</v>
      </c>
      <c r="K292" s="174">
        <f>H292/I292</f>
        <v>4.392831541218638</v>
      </c>
      <c r="L292" s="12">
        <f>353151+191248+132731.5+71376+47862+26248.5+19265+34650.5+35095.5+42312+25849+10987+7528+3248+2395.5+3280.5+3141.5+4280+3042+1597+6128</f>
        <v>1025416.5</v>
      </c>
      <c r="M292" s="13">
        <f>34650+19352+14525+10591+7581+5012+3223+6065+6865+6589+3930+1782+1091+624+468+512+688+987+804+306+1395</f>
        <v>127040</v>
      </c>
      <c r="N292" s="176">
        <f>L292/M292</f>
        <v>8.071603431989924</v>
      </c>
      <c r="O292" s="99">
        <v>282</v>
      </c>
    </row>
    <row r="293" spans="1:15" s="90" customFormat="1" ht="12" customHeight="1">
      <c r="A293" s="91">
        <v>283</v>
      </c>
      <c r="B293" s="282" t="s">
        <v>313</v>
      </c>
      <c r="C293" s="113">
        <v>40515</v>
      </c>
      <c r="D293" s="114" t="s">
        <v>31</v>
      </c>
      <c r="E293" s="115">
        <v>62</v>
      </c>
      <c r="F293" s="115">
        <v>2</v>
      </c>
      <c r="G293" s="115">
        <v>27</v>
      </c>
      <c r="H293" s="509">
        <v>4335.5</v>
      </c>
      <c r="I293" s="523">
        <v>1084</v>
      </c>
      <c r="J293" s="245">
        <f>I293/F293</f>
        <v>542</v>
      </c>
      <c r="K293" s="318">
        <f>H293/I293</f>
        <v>3.999538745387454</v>
      </c>
      <c r="L293" s="26">
        <f>353151+191248+132731.5+71376+47862+26248.5+19265+34650.5+35095.5+42312+25849+10987+7528+3248+2395.5+3280.5+3141.5+4280+3042+1597+6128+4358+2107+777+4230+4335.5</f>
        <v>1041224</v>
      </c>
      <c r="M293" s="27">
        <f>34650+19352+14525+10591+7581+5012+3223+6065+6865+6589+3930+1782+1091+624+468+512+688+987+804+306+1395+991+478+166+1058+1084</f>
        <v>130817</v>
      </c>
      <c r="N293" s="429">
        <f>L293/M293</f>
        <v>7.959393656787726</v>
      </c>
      <c r="O293" s="99">
        <v>283</v>
      </c>
    </row>
    <row r="294" spans="1:15" s="90" customFormat="1" ht="12" customHeight="1">
      <c r="A294" s="91">
        <v>284</v>
      </c>
      <c r="B294" s="180" t="s">
        <v>313</v>
      </c>
      <c r="C294" s="32">
        <v>40515</v>
      </c>
      <c r="D294" s="455" t="s">
        <v>31</v>
      </c>
      <c r="E294" s="33">
        <v>62</v>
      </c>
      <c r="F294" s="33">
        <v>5</v>
      </c>
      <c r="G294" s="33">
        <v>22</v>
      </c>
      <c r="H294" s="339">
        <v>4328</v>
      </c>
      <c r="I294" s="340">
        <v>991</v>
      </c>
      <c r="J294" s="108">
        <f>(I294/F294)</f>
        <v>198.2</v>
      </c>
      <c r="K294" s="179">
        <f>H294/I294</f>
        <v>4.367305751765893</v>
      </c>
      <c r="L294" s="12">
        <f>353151+191248+132731.5+71376+47862+26248.5+19265+34650.5+35095.5+42312+25849+10987+7528+3248+2395.5+3280.5+3141.5+4280+3042+1597+6128+4328</f>
        <v>1029744.5</v>
      </c>
      <c r="M294" s="13">
        <f>34650+19352+14525+10591+7581+5012+3223+6065+6865+6589+3930+1782+1091+624+468+512+688+987+804+306+1395+991</f>
        <v>128031</v>
      </c>
      <c r="N294" s="176">
        <f>L294/M294</f>
        <v>8.042931008896282</v>
      </c>
      <c r="O294" s="99">
        <v>284</v>
      </c>
    </row>
    <row r="295" spans="1:15" s="90" customFormat="1" ht="12" customHeight="1">
      <c r="A295" s="91">
        <v>285</v>
      </c>
      <c r="B295" s="184" t="s">
        <v>313</v>
      </c>
      <c r="C295" s="185">
        <v>40515</v>
      </c>
      <c r="D295" s="393" t="s">
        <v>31</v>
      </c>
      <c r="E295" s="186">
        <v>62</v>
      </c>
      <c r="F295" s="186">
        <v>8</v>
      </c>
      <c r="G295" s="186">
        <v>18</v>
      </c>
      <c r="H295" s="506">
        <v>4280</v>
      </c>
      <c r="I295" s="512">
        <v>987</v>
      </c>
      <c r="J295" s="187">
        <f>(I295/F295)</f>
        <v>123.375</v>
      </c>
      <c r="K295" s="188">
        <f>H295/I295</f>
        <v>4.336372847011145</v>
      </c>
      <c r="L295" s="189">
        <f>353151+191248+132731.5+71376+47862+26248.5+19265+34650.5+35095.5+42312+25849+10987+7528+3248+2395.5+3280.5+3141.5+4280</f>
        <v>1014649.5</v>
      </c>
      <c r="M295" s="190">
        <f>34650+19352+14525+10591+7581+5012+3223+6065+6865+6589+3930+1782+1091+624+468+512+688+987</f>
        <v>124535</v>
      </c>
      <c r="N295" s="191">
        <f>L295/M295</f>
        <v>8.147504717549284</v>
      </c>
      <c r="O295" s="99">
        <v>285</v>
      </c>
    </row>
    <row r="296" spans="1:15" s="90" customFormat="1" ht="12" customHeight="1">
      <c r="A296" s="91">
        <v>286</v>
      </c>
      <c r="B296" s="282" t="s">
        <v>313</v>
      </c>
      <c r="C296" s="113">
        <v>40515</v>
      </c>
      <c r="D296" s="114" t="s">
        <v>31</v>
      </c>
      <c r="E296" s="115">
        <v>62</v>
      </c>
      <c r="F296" s="115">
        <v>2</v>
      </c>
      <c r="G296" s="115">
        <v>25</v>
      </c>
      <c r="H296" s="456">
        <v>4230</v>
      </c>
      <c r="I296" s="457">
        <v>1058</v>
      </c>
      <c r="J296" s="97">
        <f>I296/F296</f>
        <v>529</v>
      </c>
      <c r="K296" s="96">
        <f>H296/I296</f>
        <v>3.9981096408317582</v>
      </c>
      <c r="L296" s="107">
        <f>353151+191248+132731.5+71376+47862+26248.5+19265+34650.5+35095.5+42312+25849+10987+7528+3248+2395.5+3280.5+3141.5+4280+3042+1597+6128+4358+2107+777+4230</f>
        <v>1036888.5</v>
      </c>
      <c r="M296" s="108">
        <f>34650+19352+14525+10591+7581+5012+3223+6065+6865+6589+3930+1782+1091+624+468+512+688+987+804+306+1395+991+478+166+1058</f>
        <v>129733</v>
      </c>
      <c r="N296" s="124">
        <f>L296/M296</f>
        <v>7.992480710382092</v>
      </c>
      <c r="O296" s="99">
        <v>286</v>
      </c>
    </row>
    <row r="297" spans="1:15" s="90" customFormat="1" ht="12" customHeight="1">
      <c r="A297" s="91">
        <v>287</v>
      </c>
      <c r="B297" s="180" t="s">
        <v>313</v>
      </c>
      <c r="C297" s="32">
        <v>40515</v>
      </c>
      <c r="D297" s="30" t="s">
        <v>31</v>
      </c>
      <c r="E297" s="33">
        <v>62</v>
      </c>
      <c r="F297" s="33">
        <v>8</v>
      </c>
      <c r="G297" s="33">
        <v>16</v>
      </c>
      <c r="H297" s="339">
        <v>3280.5</v>
      </c>
      <c r="I297" s="340">
        <v>512</v>
      </c>
      <c r="J297" s="108">
        <f>(I297/F297)</f>
        <v>64</v>
      </c>
      <c r="K297" s="174">
        <f>H297/I297</f>
        <v>6.4072265625</v>
      </c>
      <c r="L297" s="12">
        <f>353151+191248+132731.5+71376+47862+26248.5+19265+34650.5+35095.5+42312+25849+10987+7528+3248+2395.5+3280.5</f>
        <v>1007228</v>
      </c>
      <c r="M297" s="13">
        <f>34650+19352+14525+10591+7581+5012+3223+6065+6865+6589+3930+1782+1091+624+468+512</f>
        <v>122860</v>
      </c>
      <c r="N297" s="176">
        <f>L297/M297</f>
        <v>8.198176786586359</v>
      </c>
      <c r="O297" s="99">
        <v>287</v>
      </c>
    </row>
    <row r="298" spans="1:15" s="90" customFormat="1" ht="12" customHeight="1">
      <c r="A298" s="91">
        <v>288</v>
      </c>
      <c r="B298" s="180" t="s">
        <v>313</v>
      </c>
      <c r="C298" s="32">
        <v>40515</v>
      </c>
      <c r="D298" s="30" t="s">
        <v>31</v>
      </c>
      <c r="E298" s="33">
        <v>62</v>
      </c>
      <c r="F298" s="33">
        <v>9</v>
      </c>
      <c r="G298" s="33">
        <v>14</v>
      </c>
      <c r="H298" s="339">
        <v>3248</v>
      </c>
      <c r="I298" s="340">
        <v>624</v>
      </c>
      <c r="J298" s="108">
        <f>(I298/F298)</f>
        <v>69.33333333333333</v>
      </c>
      <c r="K298" s="174">
        <f>H298/I298</f>
        <v>5.205128205128205</v>
      </c>
      <c r="L298" s="12">
        <f>353151+191248+132731.5+71376+47862+26248.5+19265+34650.5+35095.5+42312+25849+10987+7528+3248</f>
        <v>1001552</v>
      </c>
      <c r="M298" s="13">
        <f>34650+19352+14525+10591+7581+5012+3223+6065+6865+6589+3930+1782+1091+624</f>
        <v>121880</v>
      </c>
      <c r="N298" s="176">
        <f>L298/M298</f>
        <v>8.217525434853954</v>
      </c>
      <c r="O298" s="99">
        <v>288</v>
      </c>
    </row>
    <row r="299" spans="1:15" s="90" customFormat="1" ht="12" customHeight="1">
      <c r="A299" s="91">
        <v>289</v>
      </c>
      <c r="B299" s="192" t="s">
        <v>313</v>
      </c>
      <c r="C299" s="32">
        <v>40515</v>
      </c>
      <c r="D299" s="178" t="s">
        <v>135</v>
      </c>
      <c r="E299" s="181">
        <v>62</v>
      </c>
      <c r="F299" s="181">
        <v>6</v>
      </c>
      <c r="G299" s="181">
        <v>17</v>
      </c>
      <c r="H299" s="339">
        <v>3141.5</v>
      </c>
      <c r="I299" s="340">
        <v>688</v>
      </c>
      <c r="J299" s="108">
        <f>(I299/F299)</f>
        <v>114.66666666666667</v>
      </c>
      <c r="K299" s="193">
        <f>H299/I299</f>
        <v>4.566133720930233</v>
      </c>
      <c r="L299" s="12">
        <f>353151+191248+132731.5+71376+47862+26248.5+19265+34650.5+35095.5+42312+25849+10987+7528+3248+2395.5+3280.5+3141.5</f>
        <v>1010369.5</v>
      </c>
      <c r="M299" s="13">
        <f>34650+19352+14525+10591+7581+5012+3223+6065+6865+6589+3930+1782+1091+624+468+512+688</f>
        <v>123548</v>
      </c>
      <c r="N299" s="176">
        <f>L299/M299</f>
        <v>8.177951079742286</v>
      </c>
      <c r="O299" s="99">
        <v>289</v>
      </c>
    </row>
    <row r="300" spans="1:15" s="90" customFormat="1" ht="12" customHeight="1">
      <c r="A300" s="91">
        <v>290</v>
      </c>
      <c r="B300" s="458" t="s">
        <v>313</v>
      </c>
      <c r="C300" s="394">
        <v>40515</v>
      </c>
      <c r="D300" s="395" t="s">
        <v>31</v>
      </c>
      <c r="E300" s="396">
        <v>62</v>
      </c>
      <c r="F300" s="396">
        <v>6</v>
      </c>
      <c r="G300" s="396">
        <v>19</v>
      </c>
      <c r="H300" s="339">
        <v>3042</v>
      </c>
      <c r="I300" s="340">
        <v>804</v>
      </c>
      <c r="J300" s="105">
        <v>134</v>
      </c>
      <c r="K300" s="183">
        <v>3.783582089552239</v>
      </c>
      <c r="L300" s="12">
        <v>1017691.5</v>
      </c>
      <c r="M300" s="13">
        <v>125339</v>
      </c>
      <c r="N300" s="176">
        <v>8.119511883771212</v>
      </c>
      <c r="O300" s="99">
        <v>290</v>
      </c>
    </row>
    <row r="301" spans="1:15" s="90" customFormat="1" ht="12" customHeight="1">
      <c r="A301" s="91">
        <v>291</v>
      </c>
      <c r="B301" s="180" t="s">
        <v>313</v>
      </c>
      <c r="C301" s="32">
        <v>40515</v>
      </c>
      <c r="D301" s="30" t="s">
        <v>31</v>
      </c>
      <c r="E301" s="33">
        <v>62</v>
      </c>
      <c r="F301" s="33">
        <v>8</v>
      </c>
      <c r="G301" s="33">
        <v>15</v>
      </c>
      <c r="H301" s="339">
        <v>2395.5</v>
      </c>
      <c r="I301" s="340">
        <v>468</v>
      </c>
      <c r="J301" s="108">
        <f>(I301/F301)</f>
        <v>58.5</v>
      </c>
      <c r="K301" s="174">
        <f>H301/I301</f>
        <v>5.118589743589744</v>
      </c>
      <c r="L301" s="12">
        <f>353151+191248+132731.5+71376+47862+26248.5+19265+34650.5+35095.5+42312+25849+10987+7528+3248+2395.5</f>
        <v>1003947.5</v>
      </c>
      <c r="M301" s="13">
        <f>34650+19352+14525+10591+7581+5012+3223+6065+6865+6589+3930+1782+1091+624+468</f>
        <v>122348</v>
      </c>
      <c r="N301" s="176">
        <f>L301/M301</f>
        <v>8.205671527119364</v>
      </c>
      <c r="O301" s="99">
        <v>291</v>
      </c>
    </row>
    <row r="302" spans="1:15" s="90" customFormat="1" ht="12" customHeight="1">
      <c r="A302" s="91">
        <v>292</v>
      </c>
      <c r="B302" s="180" t="s">
        <v>313</v>
      </c>
      <c r="C302" s="32">
        <v>40515</v>
      </c>
      <c r="D302" s="30" t="s">
        <v>31</v>
      </c>
      <c r="E302" s="33">
        <v>62</v>
      </c>
      <c r="F302" s="33">
        <v>4</v>
      </c>
      <c r="G302" s="33">
        <v>23</v>
      </c>
      <c r="H302" s="339">
        <v>2107</v>
      </c>
      <c r="I302" s="340">
        <v>478</v>
      </c>
      <c r="J302" s="108">
        <f>(I302/F302)</f>
        <v>119.5</v>
      </c>
      <c r="K302" s="174">
        <f>H302/I302</f>
        <v>4.407949790794979</v>
      </c>
      <c r="L302" s="12">
        <f>353151+191248+132731.5+71376+47862+26248.5+19265+34650.5+35095.5+42312+25849+10987+7528+3248+2395.5+3280.5+3141.5+4280+3042+1597+6128+4358+2107</f>
        <v>1031881.5</v>
      </c>
      <c r="M302" s="13">
        <f>34650+19352+14525+10591+7581+5012+3223+6065+6865+6589+3930+1782+1091+624+468+512+688+987+804+306+1395+991+478</f>
        <v>128509</v>
      </c>
      <c r="N302" s="176">
        <f>L302/M302</f>
        <v>8.029643838174758</v>
      </c>
      <c r="O302" s="99">
        <v>292</v>
      </c>
    </row>
    <row r="303" spans="1:15" s="90" customFormat="1" ht="12" customHeight="1">
      <c r="A303" s="91">
        <v>293</v>
      </c>
      <c r="B303" s="424" t="s">
        <v>313</v>
      </c>
      <c r="C303" s="425">
        <v>40515</v>
      </c>
      <c r="D303" s="114" t="s">
        <v>31</v>
      </c>
      <c r="E303" s="427">
        <v>62</v>
      </c>
      <c r="F303" s="186">
        <v>3</v>
      </c>
      <c r="G303" s="337">
        <v>29</v>
      </c>
      <c r="H303" s="339">
        <v>1978</v>
      </c>
      <c r="I303" s="340">
        <v>474</v>
      </c>
      <c r="J303" s="97">
        <f>I303/F303</f>
        <v>158</v>
      </c>
      <c r="K303" s="96">
        <f>H303/I303</f>
        <v>4.172995780590718</v>
      </c>
      <c r="L303" s="12">
        <f>353151+191248+132731.5+71376+47862+26248.5+19265+34650.5+35095.5+42312+25849+10987+7528+3248+2395.5+3280.5+3141.5+4280+3042+1597+6128+4358+2107+777+4230+4335.5+1718.5+594+1978</f>
        <v>1045514.5</v>
      </c>
      <c r="M303" s="13">
        <f>34650+19352+14525+10591+7581+5012+3223+6065+6865+6589+3930+1782+1091+624+468+512+688+987+804+306+1395+991+478+166+1058+1084+430+148+474</f>
        <v>131869</v>
      </c>
      <c r="N303" s="124">
        <f>L303/M303</f>
        <v>7.9284327628176445</v>
      </c>
      <c r="O303" s="99">
        <v>293</v>
      </c>
    </row>
    <row r="304" spans="1:15" s="90" customFormat="1" ht="12" customHeight="1">
      <c r="A304" s="91">
        <v>294</v>
      </c>
      <c r="B304" s="424" t="s">
        <v>313</v>
      </c>
      <c r="C304" s="425">
        <v>40515</v>
      </c>
      <c r="D304" s="426" t="s">
        <v>135</v>
      </c>
      <c r="E304" s="427">
        <v>62</v>
      </c>
      <c r="F304" s="186">
        <v>2</v>
      </c>
      <c r="G304" s="427">
        <v>27</v>
      </c>
      <c r="H304" s="339">
        <v>1718.5</v>
      </c>
      <c r="I304" s="340">
        <v>430</v>
      </c>
      <c r="J304" s="245">
        <f>I304/F304</f>
        <v>215</v>
      </c>
      <c r="K304" s="318">
        <f>H304/I304</f>
        <v>3.9965116279069766</v>
      </c>
      <c r="L304" s="12">
        <f>353151+191248+132731.5+71376+47862+26248.5+19265+34650.5+35095.5+42312+25849+10987+7528+3248+2395.5+3280.5+3141.5+4280+3042+1597+6128+4358+2107+777+4230+4335.5+1718.5</f>
        <v>1042942.5</v>
      </c>
      <c r="M304" s="13">
        <f>34650+19352+14525+10591+7581+5012+3223+6065+6865+6589+3930+1782+1091+624+468+512+688+987+804+306+1395+991+478+166+1058+1084+430</f>
        <v>131247</v>
      </c>
      <c r="N304" s="122">
        <f>+L304/M304</f>
        <v>7.946410203661798</v>
      </c>
      <c r="O304" s="99">
        <v>294</v>
      </c>
    </row>
    <row r="305" spans="1:15" s="90" customFormat="1" ht="12" customHeight="1">
      <c r="A305" s="91">
        <v>295</v>
      </c>
      <c r="B305" s="180" t="s">
        <v>313</v>
      </c>
      <c r="C305" s="32">
        <v>40515</v>
      </c>
      <c r="D305" s="30" t="s">
        <v>31</v>
      </c>
      <c r="E305" s="33">
        <v>62</v>
      </c>
      <c r="F305" s="33">
        <v>3</v>
      </c>
      <c r="G305" s="33">
        <v>20</v>
      </c>
      <c r="H305" s="339">
        <v>1597</v>
      </c>
      <c r="I305" s="340">
        <v>306</v>
      </c>
      <c r="J305" s="108">
        <f>(I305/F305)</f>
        <v>102</v>
      </c>
      <c r="K305" s="174">
        <f>H305/I305</f>
        <v>5.218954248366013</v>
      </c>
      <c r="L305" s="12">
        <f>353151+191248+132731.5+71376+47862+26248.5+19265+34650.5+35095.5+42312+25849+10987+7528+3248+2395.5+3280.5+3141.5+4280+3042+1597</f>
        <v>1019288.5</v>
      </c>
      <c r="M305" s="13">
        <f>34650+19352+14525+10591+7581+5012+3223+6065+6865+6589+3930+1782+1091+624+468+512+688+987+804+306</f>
        <v>125645</v>
      </c>
      <c r="N305" s="176">
        <f>L305/M305</f>
        <v>8.112447769509332</v>
      </c>
      <c r="O305" s="99">
        <v>295</v>
      </c>
    </row>
    <row r="306" spans="1:15" s="90" customFormat="1" ht="12" customHeight="1">
      <c r="A306" s="91">
        <v>296</v>
      </c>
      <c r="B306" s="600" t="s">
        <v>313</v>
      </c>
      <c r="C306" s="425">
        <v>40515</v>
      </c>
      <c r="D306" s="114" t="s">
        <v>31</v>
      </c>
      <c r="E306" s="427">
        <v>62</v>
      </c>
      <c r="F306" s="186">
        <v>1</v>
      </c>
      <c r="G306" s="427">
        <v>32</v>
      </c>
      <c r="H306" s="339">
        <v>1188</v>
      </c>
      <c r="I306" s="340">
        <v>297</v>
      </c>
      <c r="J306" s="97">
        <f>I306/F306</f>
        <v>297</v>
      </c>
      <c r="K306" s="96">
        <f>H306/I306</f>
        <v>4</v>
      </c>
      <c r="L306" s="12">
        <f>353151+191248+132731.5+71376+47862+26248.5+19265+34650.5+35095.5+42312+25849+10987+7528+3248+2395.5+3280.5+3141.5+4280+3042+1597+6128+4358+2107+777+4230+4335.5+1718.5+594+1978+2020+7747.5+1188</f>
        <v>1056470</v>
      </c>
      <c r="M306" s="13">
        <f>34650+19352+14525+10591+7581+5012+3223+6065+6865+6589+3930+1782+1091+624+468+512+688+987+804+306+1395+991+478+166+1058+1084+430+148+474+261+1593+297</f>
        <v>134020</v>
      </c>
      <c r="N306" s="124">
        <f>L306/M306</f>
        <v>7.88292792120579</v>
      </c>
      <c r="O306" s="99">
        <v>296</v>
      </c>
    </row>
    <row r="307" spans="1:15" s="90" customFormat="1" ht="12" customHeight="1">
      <c r="A307" s="91">
        <v>297</v>
      </c>
      <c r="B307" s="180" t="s">
        <v>313</v>
      </c>
      <c r="C307" s="32">
        <v>40515</v>
      </c>
      <c r="D307" s="30" t="s">
        <v>31</v>
      </c>
      <c r="E307" s="33">
        <v>62</v>
      </c>
      <c r="F307" s="33">
        <v>2</v>
      </c>
      <c r="G307" s="33">
        <v>24</v>
      </c>
      <c r="H307" s="339">
        <v>777</v>
      </c>
      <c r="I307" s="340">
        <v>166</v>
      </c>
      <c r="J307" s="108">
        <f>(I307/F307)</f>
        <v>83</v>
      </c>
      <c r="K307" s="174">
        <f>H307/I307</f>
        <v>4.680722891566265</v>
      </c>
      <c r="L307" s="12">
        <f>353151+191248+132731.5+71376+47862+26248.5+19265+34650.5+35095.5+42312+25849+10987+7528+3248+2395.5+3280.5+3141.5+4280+3042+1597+6128+4358+2107+777</f>
        <v>1032658.5</v>
      </c>
      <c r="M307" s="13">
        <f>34650+19352+14525+10591+7581+5012+3223+6065+6865+6589+3930+1782+1091+624+468+512+688+987+804+306+1395+991+478+166</f>
        <v>128675</v>
      </c>
      <c r="N307" s="176">
        <f>L307/M307</f>
        <v>8.025323489411308</v>
      </c>
      <c r="O307" s="99">
        <v>297</v>
      </c>
    </row>
    <row r="308" spans="1:15" s="90" customFormat="1" ht="12" customHeight="1">
      <c r="A308" s="91">
        <v>298</v>
      </c>
      <c r="B308" s="560" t="s">
        <v>313</v>
      </c>
      <c r="C308" s="1146">
        <v>40515</v>
      </c>
      <c r="D308" s="467" t="s">
        <v>31</v>
      </c>
      <c r="E308" s="543">
        <v>62</v>
      </c>
      <c r="F308" s="199">
        <v>1</v>
      </c>
      <c r="G308" s="543">
        <v>28</v>
      </c>
      <c r="H308" s="504">
        <v>594</v>
      </c>
      <c r="I308" s="501">
        <v>148</v>
      </c>
      <c r="J308" s="280">
        <f>I308/F308</f>
        <v>148</v>
      </c>
      <c r="K308" s="317">
        <f>H308/I308</f>
        <v>4.013513513513513</v>
      </c>
      <c r="L308" s="43">
        <f>353151+191248+132731.5+71376+47862+26248.5+19265+34650.5+35095.5+42312+25849+10987+7528+3248+2395.5+3280.5+3141.5+4280+3042+1597+6128+4358+2107+777+4230+4335.5+1718.5+594</f>
        <v>1043536.5</v>
      </c>
      <c r="M308" s="9">
        <f>34650+19352+14525+10591+7581+5012+3223+6065+6865+6589+3930+1782+1091+624+468+512+688+987+804+306+1395+991+478+166+1058+1084+430+148</f>
        <v>131395</v>
      </c>
      <c r="N308" s="101">
        <f>L308/M308</f>
        <v>7.9419802884432436</v>
      </c>
      <c r="O308" s="99">
        <v>298</v>
      </c>
    </row>
    <row r="309" spans="1:15" s="90" customFormat="1" ht="12" customHeight="1">
      <c r="A309" s="91">
        <v>299</v>
      </c>
      <c r="B309" s="693" t="s">
        <v>313</v>
      </c>
      <c r="C309" s="667">
        <v>40515</v>
      </c>
      <c r="D309" s="580" t="s">
        <v>31</v>
      </c>
      <c r="E309" s="668">
        <v>62</v>
      </c>
      <c r="F309" s="31">
        <v>1</v>
      </c>
      <c r="G309" s="668">
        <v>33</v>
      </c>
      <c r="H309" s="509">
        <v>329</v>
      </c>
      <c r="I309" s="523">
        <v>63</v>
      </c>
      <c r="J309" s="245">
        <f>I309/F309</f>
        <v>63</v>
      </c>
      <c r="K309" s="318">
        <f>H309/I309</f>
        <v>5.222222222222222</v>
      </c>
      <c r="L309" s="26">
        <f>353151+191248+132731.5+71376+47862+26248.5+19265+34650.5+35095.5+42312+25849+10987+7528+3248+2395.5+3280.5+3141.5+4280+3042+1597+6128+4358+2107+777+4230+4335.5+1718.5+594+1978+2020+7747.5+1188+329</f>
        <v>1056799</v>
      </c>
      <c r="M309" s="27">
        <f>34650+19352+14525+10591+7581+5012+3223+6065+6865+6589+3930+1782+1091+624+468+512+688+987+804+306+1395+991+478+166+1058+1084+430+148+474+261+1593+297+63</f>
        <v>134083</v>
      </c>
      <c r="N309" s="429">
        <f>+L309/M309</f>
        <v>7.881677766756412</v>
      </c>
      <c r="O309" s="99">
        <v>299</v>
      </c>
    </row>
    <row r="310" spans="1:15" s="90" customFormat="1" ht="12" customHeight="1">
      <c r="A310" s="91">
        <v>300</v>
      </c>
      <c r="B310" s="214" t="s">
        <v>161</v>
      </c>
      <c r="C310" s="32">
        <v>40487</v>
      </c>
      <c r="D310" s="239" t="s">
        <v>23</v>
      </c>
      <c r="E310" s="33">
        <v>205</v>
      </c>
      <c r="F310" s="33">
        <v>3</v>
      </c>
      <c r="G310" s="33">
        <v>9</v>
      </c>
      <c r="H310" s="526">
        <v>2650</v>
      </c>
      <c r="I310" s="500">
        <v>405</v>
      </c>
      <c r="J310" s="38">
        <f>I310/F310</f>
        <v>135</v>
      </c>
      <c r="K310" s="247">
        <f>+H310/I310</f>
        <v>6.54320987654321</v>
      </c>
      <c r="L310" s="28">
        <v>1135918</v>
      </c>
      <c r="M310" s="39">
        <v>131505</v>
      </c>
      <c r="N310" s="237">
        <f>+L310/M310</f>
        <v>8.637831261168778</v>
      </c>
      <c r="O310" s="99">
        <v>300</v>
      </c>
    </row>
    <row r="311" spans="1:15" s="90" customFormat="1" ht="12" customHeight="1">
      <c r="A311" s="91">
        <v>301</v>
      </c>
      <c r="B311" s="214" t="s">
        <v>314</v>
      </c>
      <c r="C311" s="32">
        <v>40473</v>
      </c>
      <c r="D311" s="239" t="s">
        <v>23</v>
      </c>
      <c r="E311" s="33">
        <v>100</v>
      </c>
      <c r="F311" s="33">
        <v>1</v>
      </c>
      <c r="G311" s="33">
        <v>11</v>
      </c>
      <c r="H311" s="526">
        <v>846</v>
      </c>
      <c r="I311" s="500">
        <v>141</v>
      </c>
      <c r="J311" s="38">
        <f>I311/F311</f>
        <v>141</v>
      </c>
      <c r="K311" s="247">
        <f>+H311/I311</f>
        <v>6</v>
      </c>
      <c r="L311" s="28">
        <v>1818047</v>
      </c>
      <c r="M311" s="39">
        <v>188946</v>
      </c>
      <c r="N311" s="237">
        <f>+L311/M311</f>
        <v>9.622045452139766</v>
      </c>
      <c r="O311" s="99">
        <v>301</v>
      </c>
    </row>
    <row r="312" spans="1:15" s="90" customFormat="1" ht="12" customHeight="1">
      <c r="A312" s="91">
        <v>302</v>
      </c>
      <c r="B312" s="397" t="s">
        <v>315</v>
      </c>
      <c r="C312" s="32">
        <v>40228</v>
      </c>
      <c r="D312" s="30" t="s">
        <v>31</v>
      </c>
      <c r="E312" s="33">
        <v>88</v>
      </c>
      <c r="F312" s="33">
        <v>1</v>
      </c>
      <c r="G312" s="33">
        <v>25</v>
      </c>
      <c r="H312" s="339">
        <v>1782</v>
      </c>
      <c r="I312" s="340">
        <v>445</v>
      </c>
      <c r="J312" s="108">
        <f>(I312/F312)</f>
        <v>445</v>
      </c>
      <c r="K312" s="174">
        <f>H312/I312</f>
        <v>4.004494382022472</v>
      </c>
      <c r="L312" s="12">
        <f>848677.55+469+99+661+35+1782+1782</f>
        <v>853505.55</v>
      </c>
      <c r="M312" s="13">
        <f>99747+71+15+97+3+445+445</f>
        <v>100823</v>
      </c>
      <c r="N312" s="176">
        <f>L312/M312</f>
        <v>8.465385378336293</v>
      </c>
      <c r="O312" s="99">
        <v>302</v>
      </c>
    </row>
    <row r="313" spans="1:15" s="90" customFormat="1" ht="12" customHeight="1">
      <c r="A313" s="91">
        <v>303</v>
      </c>
      <c r="B313" s="417" t="s">
        <v>316</v>
      </c>
      <c r="C313" s="412">
        <v>40347</v>
      </c>
      <c r="D313" s="178" t="s">
        <v>31</v>
      </c>
      <c r="E313" s="418">
        <v>66</v>
      </c>
      <c r="F313" s="418">
        <v>3</v>
      </c>
      <c r="G313" s="418">
        <v>27</v>
      </c>
      <c r="H313" s="339">
        <v>3382</v>
      </c>
      <c r="I313" s="340">
        <v>852</v>
      </c>
      <c r="J313" s="108">
        <f>(I313/F313)</f>
        <v>284</v>
      </c>
      <c r="K313" s="174">
        <f>H313/I313</f>
        <v>3.9694835680751175</v>
      </c>
      <c r="L313" s="12">
        <f>478213+7083+3309.5+6055+4900+8378+4378.5+2349+3103+2074+7679.5+6108+2991.5+2180+2234+642+2775.5+1757+1151+3382</f>
        <v>550743.5</v>
      </c>
      <c r="M313" s="13">
        <f>55327+1259+553+1133+756+1285+650+408+682+334+1688+1394+539+483+475+201+677+260+202+852</f>
        <v>69158</v>
      </c>
      <c r="N313" s="176">
        <f>L313/M313</f>
        <v>7.963554469475693</v>
      </c>
      <c r="O313" s="99">
        <v>303</v>
      </c>
    </row>
    <row r="314" spans="1:15" s="90" customFormat="1" ht="12" customHeight="1">
      <c r="A314" s="91">
        <v>304</v>
      </c>
      <c r="B314" s="928" t="s">
        <v>316</v>
      </c>
      <c r="C314" s="931">
        <v>40347</v>
      </c>
      <c r="D314" s="114" t="s">
        <v>31</v>
      </c>
      <c r="E314" s="937">
        <v>66</v>
      </c>
      <c r="F314" s="937">
        <v>2</v>
      </c>
      <c r="G314" s="937">
        <v>30</v>
      </c>
      <c r="H314" s="456">
        <v>2851</v>
      </c>
      <c r="I314" s="457">
        <v>712</v>
      </c>
      <c r="J314" s="97">
        <f>I314/F314</f>
        <v>356</v>
      </c>
      <c r="K314" s="96">
        <f>H314/I314</f>
        <v>4.004213483146067</v>
      </c>
      <c r="L314" s="107">
        <f>478213+7083+3309.5+6055+4900+8378+4378.5+2349+3103+2074+7679.5+6108+2991.5+2180+2234+642+2775.5+1757+1151+3382+60+1782+2851</f>
        <v>555436.5</v>
      </c>
      <c r="M314" s="108">
        <f>55327+1259+553+1133+756+1285+650+408+682+334+1688+1394+539+483+475+201+677+260+202+852+20+445+712</f>
        <v>70335</v>
      </c>
      <c r="N314" s="124">
        <f>L314/M314</f>
        <v>7.89701428876093</v>
      </c>
      <c r="O314" s="99">
        <v>304</v>
      </c>
    </row>
    <row r="315" spans="1:15" s="90" customFormat="1" ht="12" customHeight="1">
      <c r="A315" s="91">
        <v>305</v>
      </c>
      <c r="B315" s="417" t="s">
        <v>316</v>
      </c>
      <c r="C315" s="412">
        <v>40347</v>
      </c>
      <c r="D315" s="178" t="s">
        <v>31</v>
      </c>
      <c r="E315" s="418">
        <v>66</v>
      </c>
      <c r="F315" s="418">
        <v>1</v>
      </c>
      <c r="G315" s="418">
        <v>29</v>
      </c>
      <c r="H315" s="339">
        <v>1782</v>
      </c>
      <c r="I315" s="340">
        <v>445</v>
      </c>
      <c r="J315" s="108">
        <f>(I315/F315)</f>
        <v>445</v>
      </c>
      <c r="K315" s="174">
        <f>H315/I315</f>
        <v>4.004494382022472</v>
      </c>
      <c r="L315" s="12">
        <f>478213+7083+3309.5+6055+4900+8378+4378.5+2349+3103+2074+7679.5+6108+2991.5+2180+2234+642+2775.5+1757+1151+3382+60+1782</f>
        <v>552585.5</v>
      </c>
      <c r="M315" s="13">
        <f>55327+1259+553+1133+756+1285+650+408+682+334+1688+1394+539+483+475+201+677+260+202+852+20+445</f>
        <v>69623</v>
      </c>
      <c r="N315" s="176">
        <f>L315/M315</f>
        <v>7.936824038033408</v>
      </c>
      <c r="O315" s="99">
        <v>305</v>
      </c>
    </row>
    <row r="316" spans="1:15" s="90" customFormat="1" ht="12" customHeight="1">
      <c r="A316" s="91">
        <v>306</v>
      </c>
      <c r="B316" s="736" t="s">
        <v>316</v>
      </c>
      <c r="C316" s="727">
        <v>40347</v>
      </c>
      <c r="D316" s="580" t="s">
        <v>31</v>
      </c>
      <c r="E316" s="726">
        <v>66</v>
      </c>
      <c r="F316" s="726">
        <v>1</v>
      </c>
      <c r="G316" s="726">
        <v>31</v>
      </c>
      <c r="H316" s="732">
        <v>1188</v>
      </c>
      <c r="I316" s="733">
        <v>297</v>
      </c>
      <c r="J316" s="245">
        <f>I316/F316</f>
        <v>297</v>
      </c>
      <c r="K316" s="318">
        <f>H316/I316</f>
        <v>4</v>
      </c>
      <c r="L316" s="729">
        <f>478213+7083+3309.5+6055+4900+8378+4378.5+2349+3103+2074+7679.5+6108+2991.5+2180+2234+642+2775.5+1757+1151+3382+60+1782+2851+1188</f>
        <v>556624.5</v>
      </c>
      <c r="M316" s="730">
        <f>55327+1259+553+1133+756+1285+650+408+682+334+1688+1394+539+483+475+201+677+260+202+852+20+445+712+297</f>
        <v>70632</v>
      </c>
      <c r="N316" s="329">
        <f>+L316/M316</f>
        <v>7.880627760788311</v>
      </c>
      <c r="O316" s="99">
        <v>306</v>
      </c>
    </row>
    <row r="317" spans="1:15" s="90" customFormat="1" ht="12" customHeight="1">
      <c r="A317" s="91">
        <v>307</v>
      </c>
      <c r="B317" s="419" t="s">
        <v>316</v>
      </c>
      <c r="C317" s="863">
        <v>40347</v>
      </c>
      <c r="D317" s="580" t="s">
        <v>31</v>
      </c>
      <c r="E317" s="862">
        <v>66</v>
      </c>
      <c r="F317" s="862">
        <v>1</v>
      </c>
      <c r="G317" s="862">
        <v>32</v>
      </c>
      <c r="H317" s="509">
        <v>713</v>
      </c>
      <c r="I317" s="340">
        <v>178</v>
      </c>
      <c r="J317" s="245">
        <f>I317/F317</f>
        <v>178</v>
      </c>
      <c r="K317" s="318">
        <f>H317/I317</f>
        <v>4.00561797752809</v>
      </c>
      <c r="L317" s="26">
        <f>478213+7083+3309.5+6055+4900+8378+4378.5+2349+3103+2074+7679.5+6108+2991.5+2180+2234+642+2775.5+1757+1151+3382+60+1782+2851+1188+713</f>
        <v>557337.5</v>
      </c>
      <c r="M317" s="13">
        <f>55327+1259+553+1133+756+1285+650+408+682+334+1688+1394+539+483+475+201+677+260+202+852+20+445+712+297+178</f>
        <v>70810</v>
      </c>
      <c r="N317" s="329">
        <f>+L317/M317</f>
        <v>7.870886880384126</v>
      </c>
      <c r="O317" s="99">
        <v>307</v>
      </c>
    </row>
    <row r="318" spans="1:15" s="90" customFormat="1" ht="12" customHeight="1">
      <c r="A318" s="91">
        <v>308</v>
      </c>
      <c r="B318" s="414" t="s">
        <v>316</v>
      </c>
      <c r="C318" s="415">
        <v>40347</v>
      </c>
      <c r="D318" s="178" t="s">
        <v>31</v>
      </c>
      <c r="E318" s="416">
        <v>66</v>
      </c>
      <c r="F318" s="416">
        <v>1</v>
      </c>
      <c r="G318" s="416">
        <v>28</v>
      </c>
      <c r="H318" s="506">
        <v>60</v>
      </c>
      <c r="I318" s="512">
        <v>20</v>
      </c>
      <c r="J318" s="187">
        <f>(I318/F318)</f>
        <v>20</v>
      </c>
      <c r="K318" s="188">
        <f>H318/I318</f>
        <v>3</v>
      </c>
      <c r="L318" s="189">
        <f>478213+7083+3309.5+6055+4900+8378+4378.5+2349+3103+2074+7679.5+6108+2991.5+2180+2234+642+2775.5+1757+1151+3382+60</f>
        <v>550803.5</v>
      </c>
      <c r="M318" s="190">
        <f>55327+1259+553+1133+756+1285+650+408+682+334+1688+1394+539+483+475+201+677+260+202+852+20</f>
        <v>69178</v>
      </c>
      <c r="N318" s="191">
        <f>L318/M318</f>
        <v>7.962119459943913</v>
      </c>
      <c r="O318" s="99">
        <v>308</v>
      </c>
    </row>
    <row r="319" spans="1:15" s="90" customFormat="1" ht="12" customHeight="1">
      <c r="A319" s="91">
        <v>309</v>
      </c>
      <c r="B319" s="202" t="s">
        <v>162</v>
      </c>
      <c r="C319" s="2">
        <v>38764</v>
      </c>
      <c r="D319" s="22" t="s">
        <v>21</v>
      </c>
      <c r="E319" s="3">
        <v>113</v>
      </c>
      <c r="F319" s="3">
        <v>1</v>
      </c>
      <c r="G319" s="3">
        <v>20</v>
      </c>
      <c r="H319" s="515">
        <v>2014</v>
      </c>
      <c r="I319" s="498">
        <v>403</v>
      </c>
      <c r="J319" s="97">
        <f>IF(H319&lt;&gt;0,I319/F319,"")</f>
        <v>403</v>
      </c>
      <c r="K319" s="221">
        <f>IF(H319&lt;&gt;0,H319/I319,"")</f>
        <v>4.997518610421836</v>
      </c>
      <c r="L319" s="34">
        <f>1551334+0+1188+H319</f>
        <v>1554536</v>
      </c>
      <c r="M319" s="38">
        <f>207370+0+238+I319</f>
        <v>208011</v>
      </c>
      <c r="N319" s="210">
        <f>IF(L319&lt;&gt;0,L319/M319,"")</f>
        <v>7.473335544754844</v>
      </c>
      <c r="O319" s="99">
        <v>309</v>
      </c>
    </row>
    <row r="320" spans="1:15" s="90" customFormat="1" ht="12" customHeight="1">
      <c r="A320" s="91">
        <v>310</v>
      </c>
      <c r="B320" s="192" t="s">
        <v>317</v>
      </c>
      <c r="C320" s="32">
        <v>40025</v>
      </c>
      <c r="D320" s="178" t="s">
        <v>31</v>
      </c>
      <c r="E320" s="181">
        <v>1</v>
      </c>
      <c r="F320" s="181">
        <v>1</v>
      </c>
      <c r="G320" s="181">
        <v>9</v>
      </c>
      <c r="H320" s="339">
        <v>952</v>
      </c>
      <c r="I320" s="340">
        <v>238</v>
      </c>
      <c r="J320" s="108">
        <f>(I320/F320)</f>
        <v>238</v>
      </c>
      <c r="K320" s="174">
        <f>H320/I320</f>
        <v>4</v>
      </c>
      <c r="L320" s="12">
        <f>6157+1979.5+2138+815+825+343+114+159+952</f>
        <v>13482.5</v>
      </c>
      <c r="M320" s="13">
        <f>452+147+247+163+165+40+19+36+238</f>
        <v>1507</v>
      </c>
      <c r="N320" s="176">
        <f>L320/M320</f>
        <v>8.946582614465827</v>
      </c>
      <c r="O320" s="99">
        <v>310</v>
      </c>
    </row>
    <row r="321" spans="1:15" s="90" customFormat="1" ht="12" customHeight="1">
      <c r="A321" s="91">
        <v>311</v>
      </c>
      <c r="B321" s="229" t="s">
        <v>163</v>
      </c>
      <c r="C321" s="2">
        <v>40501</v>
      </c>
      <c r="D321" s="24" t="s">
        <v>139</v>
      </c>
      <c r="E321" s="5">
        <v>121</v>
      </c>
      <c r="F321" s="5">
        <v>18</v>
      </c>
      <c r="G321" s="5">
        <v>7</v>
      </c>
      <c r="H321" s="520">
        <v>10646</v>
      </c>
      <c r="I321" s="521">
        <v>2164</v>
      </c>
      <c r="J321" s="224">
        <f>I321/F321</f>
        <v>120.22222222222223</v>
      </c>
      <c r="K321" s="238">
        <f>H321/I321</f>
        <v>4.919593345656192</v>
      </c>
      <c r="L321" s="267">
        <v>1582988</v>
      </c>
      <c r="M321" s="227">
        <v>158006</v>
      </c>
      <c r="N321" s="228">
        <f>+L321/M321</f>
        <v>10.018530941862966</v>
      </c>
      <c r="O321" s="99">
        <v>311</v>
      </c>
    </row>
    <row r="322" spans="1:15" s="90" customFormat="1" ht="12" customHeight="1">
      <c r="A322" s="91">
        <v>312</v>
      </c>
      <c r="B322" s="205" t="s">
        <v>163</v>
      </c>
      <c r="C322" s="2">
        <v>40501</v>
      </c>
      <c r="D322" s="24" t="s">
        <v>139</v>
      </c>
      <c r="E322" s="5">
        <v>121</v>
      </c>
      <c r="F322" s="5">
        <v>6</v>
      </c>
      <c r="G322" s="5">
        <v>8</v>
      </c>
      <c r="H322" s="522">
        <v>6256</v>
      </c>
      <c r="I322" s="521">
        <v>1715</v>
      </c>
      <c r="J322" s="224">
        <f>I322/F322</f>
        <v>285.8333333333333</v>
      </c>
      <c r="K322" s="225">
        <f>H322/I322</f>
        <v>3.647813411078717</v>
      </c>
      <c r="L322" s="226">
        <v>1589244</v>
      </c>
      <c r="M322" s="227">
        <v>159721</v>
      </c>
      <c r="N322" s="228">
        <f>+L322/M322</f>
        <v>9.95012553139537</v>
      </c>
      <c r="O322" s="99">
        <v>312</v>
      </c>
    </row>
    <row r="323" spans="1:15" s="90" customFormat="1" ht="12" customHeight="1">
      <c r="A323" s="91">
        <v>313</v>
      </c>
      <c r="B323" s="205" t="s">
        <v>163</v>
      </c>
      <c r="C323" s="2">
        <v>40501</v>
      </c>
      <c r="D323" s="20" t="s">
        <v>139</v>
      </c>
      <c r="E323" s="5">
        <v>121</v>
      </c>
      <c r="F323" s="5">
        <v>5</v>
      </c>
      <c r="G323" s="5">
        <v>15</v>
      </c>
      <c r="H323" s="520">
        <v>5491.95</v>
      </c>
      <c r="I323" s="533">
        <v>1653</v>
      </c>
      <c r="J323" s="268">
        <f>I323/F323</f>
        <v>330.6</v>
      </c>
      <c r="K323" s="238">
        <f>H323/I323</f>
        <v>3.3224137931034483</v>
      </c>
      <c r="L323" s="267">
        <v>1609599</v>
      </c>
      <c r="M323" s="269">
        <v>165154</v>
      </c>
      <c r="N323" s="228">
        <f>+L323/M323</f>
        <v>9.74604914201291</v>
      </c>
      <c r="O323" s="99">
        <v>313</v>
      </c>
    </row>
    <row r="324" spans="1:15" s="90" customFormat="1" ht="12" customHeight="1">
      <c r="A324" s="91">
        <v>314</v>
      </c>
      <c r="B324" s="229" t="s">
        <v>163</v>
      </c>
      <c r="C324" s="2">
        <v>40501</v>
      </c>
      <c r="D324" s="20" t="s">
        <v>139</v>
      </c>
      <c r="E324" s="5">
        <v>121</v>
      </c>
      <c r="F324" s="5">
        <v>4</v>
      </c>
      <c r="G324" s="5">
        <v>10</v>
      </c>
      <c r="H324" s="522">
        <v>4266.5</v>
      </c>
      <c r="I324" s="521">
        <v>780</v>
      </c>
      <c r="J324" s="108">
        <f>(I324/F324)</f>
        <v>195</v>
      </c>
      <c r="K324" s="174">
        <f>H324/I324</f>
        <v>5.4698717948717945</v>
      </c>
      <c r="L324" s="226">
        <v>1596605</v>
      </c>
      <c r="M324" s="227">
        <v>161481</v>
      </c>
      <c r="N324" s="176">
        <f>L324/M324</f>
        <v>9.887262278534317</v>
      </c>
      <c r="O324" s="99">
        <v>314</v>
      </c>
    </row>
    <row r="325" spans="1:15" s="90" customFormat="1" ht="12" customHeight="1">
      <c r="A325" s="91">
        <v>315</v>
      </c>
      <c r="B325" s="205" t="s">
        <v>163</v>
      </c>
      <c r="C325" s="2">
        <v>40501</v>
      </c>
      <c r="D325" s="20" t="s">
        <v>139</v>
      </c>
      <c r="E325" s="5">
        <v>121</v>
      </c>
      <c r="F325" s="5">
        <v>3</v>
      </c>
      <c r="G325" s="5">
        <v>12</v>
      </c>
      <c r="H325" s="522">
        <v>1882</v>
      </c>
      <c r="I325" s="521">
        <v>579</v>
      </c>
      <c r="J325" s="224">
        <f>I325/F325</f>
        <v>193</v>
      </c>
      <c r="K325" s="225">
        <f>H325/I325</f>
        <v>3.250431778929188</v>
      </c>
      <c r="L325" s="226">
        <v>1599042</v>
      </c>
      <c r="M325" s="227">
        <v>162149</v>
      </c>
      <c r="N325" s="228">
        <f>+L325/M325</f>
        <v>9.86155942990706</v>
      </c>
      <c r="O325" s="99">
        <v>315</v>
      </c>
    </row>
    <row r="326" spans="1:15" s="90" customFormat="1" ht="12" customHeight="1">
      <c r="A326" s="91">
        <v>316</v>
      </c>
      <c r="B326" s="205" t="s">
        <v>163</v>
      </c>
      <c r="C326" s="2">
        <v>40501</v>
      </c>
      <c r="D326" s="20" t="s">
        <v>139</v>
      </c>
      <c r="E326" s="5">
        <v>121</v>
      </c>
      <c r="F326" s="5">
        <v>2</v>
      </c>
      <c r="G326" s="5">
        <v>13</v>
      </c>
      <c r="H326" s="522">
        <v>1565</v>
      </c>
      <c r="I326" s="521">
        <v>369</v>
      </c>
      <c r="J326" s="224">
        <f>I326/F326</f>
        <v>184.5</v>
      </c>
      <c r="K326" s="225">
        <f>H326/I326</f>
        <v>4.2411924119241196</v>
      </c>
      <c r="L326" s="226">
        <v>1601521</v>
      </c>
      <c r="M326" s="227">
        <v>162757</v>
      </c>
      <c r="N326" s="228">
        <f>+L326/M326</f>
        <v>9.839951584263657</v>
      </c>
      <c r="O326" s="99">
        <v>316</v>
      </c>
    </row>
    <row r="327" spans="1:15" s="90" customFormat="1" ht="12" customHeight="1">
      <c r="A327" s="91">
        <v>317</v>
      </c>
      <c r="B327" s="205" t="s">
        <v>163</v>
      </c>
      <c r="C327" s="2">
        <v>40501</v>
      </c>
      <c r="D327" s="20" t="s">
        <v>139</v>
      </c>
      <c r="E327" s="5">
        <v>121</v>
      </c>
      <c r="F327" s="5">
        <v>3</v>
      </c>
      <c r="G327" s="5">
        <v>9</v>
      </c>
      <c r="H327" s="522">
        <v>1204</v>
      </c>
      <c r="I327" s="521">
        <v>296</v>
      </c>
      <c r="J327" s="224">
        <f>I327/F327</f>
        <v>98.66666666666667</v>
      </c>
      <c r="K327" s="225">
        <f>H327/I327</f>
        <v>4.0675675675675675</v>
      </c>
      <c r="L327" s="226">
        <v>1592338</v>
      </c>
      <c r="M327" s="227">
        <v>160701</v>
      </c>
      <c r="N327" s="228">
        <f>+L327/M327</f>
        <v>9.908700008089557</v>
      </c>
      <c r="O327" s="99">
        <v>317</v>
      </c>
    </row>
    <row r="328" spans="1:15" s="90" customFormat="1" ht="12" customHeight="1">
      <c r="A328" s="91">
        <v>318</v>
      </c>
      <c r="B328" s="205" t="s">
        <v>163</v>
      </c>
      <c r="C328" s="2">
        <v>40501</v>
      </c>
      <c r="D328" s="20" t="s">
        <v>139</v>
      </c>
      <c r="E328" s="5">
        <v>121</v>
      </c>
      <c r="F328" s="5">
        <v>1</v>
      </c>
      <c r="G328" s="5">
        <v>23</v>
      </c>
      <c r="H328" s="522">
        <v>604</v>
      </c>
      <c r="I328" s="521">
        <v>180</v>
      </c>
      <c r="J328" s="224">
        <f>I328/F328</f>
        <v>180</v>
      </c>
      <c r="K328" s="225">
        <f>H328/I328</f>
        <v>3.3555555555555556</v>
      </c>
      <c r="L328" s="226">
        <v>1611412</v>
      </c>
      <c r="M328" s="227">
        <v>165732</v>
      </c>
      <c r="N328" s="228">
        <f>+L328/M328</f>
        <v>9.722998576014287</v>
      </c>
      <c r="O328" s="99">
        <v>318</v>
      </c>
    </row>
    <row r="329" spans="1:15" s="90" customFormat="1" ht="12" customHeight="1">
      <c r="A329" s="91">
        <v>319</v>
      </c>
      <c r="B329" s="205" t="s">
        <v>163</v>
      </c>
      <c r="C329" s="2">
        <v>40501</v>
      </c>
      <c r="D329" s="20" t="s">
        <v>139</v>
      </c>
      <c r="E329" s="5">
        <v>121</v>
      </c>
      <c r="F329" s="5">
        <v>2</v>
      </c>
      <c r="G329" s="5">
        <v>11</v>
      </c>
      <c r="H329" s="522">
        <v>556</v>
      </c>
      <c r="I329" s="521">
        <v>89</v>
      </c>
      <c r="J329" s="224">
        <f>I329/F329</f>
        <v>44.5</v>
      </c>
      <c r="K329" s="225">
        <f>H329/I329</f>
        <v>6.247191011235955</v>
      </c>
      <c r="L329" s="226">
        <v>1597161</v>
      </c>
      <c r="M329" s="227">
        <v>161570</v>
      </c>
      <c r="N329" s="201">
        <f>+L329/M329</f>
        <v>9.88525716407749</v>
      </c>
      <c r="O329" s="99">
        <v>319</v>
      </c>
    </row>
    <row r="330" spans="1:15" s="90" customFormat="1" ht="12" customHeight="1">
      <c r="A330" s="91">
        <v>320</v>
      </c>
      <c r="B330" s="270" t="s">
        <v>163</v>
      </c>
      <c r="C330" s="243">
        <v>40501</v>
      </c>
      <c r="D330" s="271" t="s">
        <v>139</v>
      </c>
      <c r="E330" s="272">
        <v>121</v>
      </c>
      <c r="F330" s="272">
        <v>1</v>
      </c>
      <c r="G330" s="272">
        <v>21</v>
      </c>
      <c r="H330" s="522">
        <v>342</v>
      </c>
      <c r="I330" s="521">
        <v>114</v>
      </c>
      <c r="J330" s="105">
        <v>114</v>
      </c>
      <c r="K330" s="183">
        <v>3</v>
      </c>
      <c r="L330" s="226">
        <v>1610808</v>
      </c>
      <c r="M330" s="227">
        <v>165552</v>
      </c>
      <c r="N330" s="228">
        <v>9.729921716439547</v>
      </c>
      <c r="O330" s="99">
        <v>320</v>
      </c>
    </row>
    <row r="331" spans="1:15" s="90" customFormat="1" ht="12" customHeight="1">
      <c r="A331" s="91">
        <v>321</v>
      </c>
      <c r="B331" s="184" t="s">
        <v>318</v>
      </c>
      <c r="C331" s="185">
        <v>40466</v>
      </c>
      <c r="D331" s="178" t="s">
        <v>31</v>
      </c>
      <c r="E331" s="186">
        <v>139</v>
      </c>
      <c r="F331" s="186">
        <v>1</v>
      </c>
      <c r="G331" s="186">
        <v>12</v>
      </c>
      <c r="H331" s="339">
        <v>770</v>
      </c>
      <c r="I331" s="340">
        <v>44</v>
      </c>
      <c r="J331" s="108">
        <f>(I331/F331)</f>
        <v>44</v>
      </c>
      <c r="K331" s="174">
        <f>H331/I331</f>
        <v>17.5</v>
      </c>
      <c r="L331" s="12">
        <f>859399.5+611922.5+597511+92540.5+35432.5+12313+8417+3230+2786+1901+208.5+770</f>
        <v>2226431.5</v>
      </c>
      <c r="M331" s="13">
        <f>81834+61457+58453+8463+3493+2070+1395+1040+668+474+59+44</f>
        <v>219450</v>
      </c>
      <c r="N331" s="176">
        <f>L331/M331</f>
        <v>10.14550694919116</v>
      </c>
      <c r="O331" s="99">
        <v>321</v>
      </c>
    </row>
    <row r="332" spans="1:15" s="90" customFormat="1" ht="12" customHeight="1">
      <c r="A332" s="91">
        <v>322</v>
      </c>
      <c r="B332" s="602" t="s">
        <v>394</v>
      </c>
      <c r="C332" s="113">
        <v>39500</v>
      </c>
      <c r="D332" s="594" t="s">
        <v>28</v>
      </c>
      <c r="E332" s="31">
        <v>230</v>
      </c>
      <c r="F332" s="31">
        <v>2</v>
      </c>
      <c r="G332" s="31">
        <v>32</v>
      </c>
      <c r="H332" s="642">
        <v>260</v>
      </c>
      <c r="I332" s="532">
        <v>52</v>
      </c>
      <c r="J332" s="245">
        <f>I332/F332</f>
        <v>26</v>
      </c>
      <c r="K332" s="318">
        <f>H332/I332</f>
        <v>5</v>
      </c>
      <c r="L332" s="626">
        <f>11178366+8377359.5+4672112.5+2362758+1366481.5+794201+526150+259383+162480.5+71477.5+186652+102815+31501+9708+8823.5+5724+3796+3024+2161+13986+11929.5+905+5825+547+419+6173.5+6130+150+355+12+864+260</f>
        <v>30172530</v>
      </c>
      <c r="M332" s="624">
        <f>1530255+1134702+635170+318515+192563+137173+96324+54461+35028+20139+72208+38598+10936+3213+2963+1896+1251+1004+711+4452+3769+206+1822+128+100+1906+1891+26+73+4+154+52</f>
        <v>4301693</v>
      </c>
      <c r="N332" s="329">
        <f>+L332/M332</f>
        <v>7.014105841583767</v>
      </c>
      <c r="O332" s="99">
        <v>322</v>
      </c>
    </row>
    <row r="333" spans="1:15" s="90" customFormat="1" ht="12" customHeight="1">
      <c r="A333" s="91">
        <v>323</v>
      </c>
      <c r="B333" s="602" t="s">
        <v>401</v>
      </c>
      <c r="C333" s="658">
        <v>39857</v>
      </c>
      <c r="D333" s="594" t="s">
        <v>28</v>
      </c>
      <c r="E333" s="31">
        <v>372</v>
      </c>
      <c r="F333" s="31">
        <v>2</v>
      </c>
      <c r="G333" s="31">
        <v>25</v>
      </c>
      <c r="H333" s="555">
        <v>140</v>
      </c>
      <c r="I333" s="703">
        <v>28</v>
      </c>
      <c r="J333" s="245">
        <f>I333/F333</f>
        <v>14</v>
      </c>
      <c r="K333" s="318">
        <f>H333/I333</f>
        <v>5</v>
      </c>
      <c r="L333" s="557">
        <f>17329163.5+9384321+4035301-111+1596787.5-52+594784+289448.5+142806.5+57257.5+10859.5+1656+13165+452+3902+124+16239+3704+0.5+78+78+442+474+277+19+12010+140</f>
        <v>33493326.5</v>
      </c>
      <c r="M333" s="449">
        <f>2236432+1203711+519916+206906+76573+36964+29367+10451+1641+205+2816+174+976+16+3753+578+12+13+73+79+55+3+2402+28</f>
        <v>4333144</v>
      </c>
      <c r="N333" s="329">
        <f>+L333/M333</f>
        <v>7.729566914923668</v>
      </c>
      <c r="O333" s="99">
        <v>323</v>
      </c>
    </row>
    <row r="334" spans="1:15" s="90" customFormat="1" ht="12" customHeight="1">
      <c r="A334" s="91">
        <v>324</v>
      </c>
      <c r="B334" s="602" t="s">
        <v>411</v>
      </c>
      <c r="C334" s="658">
        <v>40221</v>
      </c>
      <c r="D334" s="594" t="s">
        <v>28</v>
      </c>
      <c r="E334" s="31">
        <v>378</v>
      </c>
      <c r="F334" s="31">
        <v>1</v>
      </c>
      <c r="G334" s="31">
        <v>22</v>
      </c>
      <c r="H334" s="731">
        <v>355</v>
      </c>
      <c r="I334" s="703">
        <v>71</v>
      </c>
      <c r="J334" s="245">
        <f>I334/F334</f>
        <v>71</v>
      </c>
      <c r="K334" s="318">
        <f>H334/I334</f>
        <v>5</v>
      </c>
      <c r="L334" s="626">
        <f>15262368+6874188.5+2847763.25-223+1769171+1008022.25+602324.75+244767.5+35902+50854+1772+740+466+1889+1178+72+1176+376+620+1922+3597+1315+371+355</f>
        <v>28710987.25</v>
      </c>
      <c r="M334" s="449">
        <f>1752204+788243+333771+209388+119359+72788+39635-10+7563+234+104+69+615+148+12+346+52+124+384+600+152+61+71</f>
        <v>3325913</v>
      </c>
      <c r="N334" s="329">
        <f>+L334/M334</f>
        <v>8.632513012216496</v>
      </c>
      <c r="O334" s="99">
        <v>324</v>
      </c>
    </row>
    <row r="335" spans="1:15" s="90" customFormat="1" ht="12" customHeight="1">
      <c r="A335" s="91">
        <v>325</v>
      </c>
      <c r="B335" s="192" t="s">
        <v>319</v>
      </c>
      <c r="C335" s="32">
        <v>40466</v>
      </c>
      <c r="D335" s="178" t="s">
        <v>31</v>
      </c>
      <c r="E335" s="181">
        <v>139</v>
      </c>
      <c r="F335" s="181">
        <v>1</v>
      </c>
      <c r="G335" s="181">
        <v>13</v>
      </c>
      <c r="H335" s="509">
        <v>241</v>
      </c>
      <c r="I335" s="523">
        <v>42</v>
      </c>
      <c r="J335" s="182">
        <f>(I335/F335)</f>
        <v>42</v>
      </c>
      <c r="K335" s="179">
        <f>H335/I335</f>
        <v>5.738095238095238</v>
      </c>
      <c r="L335" s="26">
        <f>859399.5+611922.5+597511+92540.5+35432.5+12313+8417+3230+2786+1901+208.5+770+241</f>
        <v>2226672.5</v>
      </c>
      <c r="M335" s="27">
        <f>81834+61457+58453+8463+3493+2070+1395+1040+668+474+59+44+42</f>
        <v>219492</v>
      </c>
      <c r="N335" s="176">
        <f>L335/M335</f>
        <v>10.144663586827766</v>
      </c>
      <c r="O335" s="99">
        <v>325</v>
      </c>
    </row>
    <row r="336" spans="1:15" s="90" customFormat="1" ht="12" customHeight="1">
      <c r="A336" s="91">
        <v>326</v>
      </c>
      <c r="B336" s="177" t="s">
        <v>319</v>
      </c>
      <c r="C336" s="32">
        <v>40466</v>
      </c>
      <c r="D336" s="178" t="s">
        <v>31</v>
      </c>
      <c r="E336" s="33">
        <v>139</v>
      </c>
      <c r="F336" s="33">
        <v>1</v>
      </c>
      <c r="G336" s="33">
        <v>11</v>
      </c>
      <c r="H336" s="339">
        <v>208.5</v>
      </c>
      <c r="I336" s="340">
        <v>59</v>
      </c>
      <c r="J336" s="108">
        <f>(I336/F336)</f>
        <v>59</v>
      </c>
      <c r="K336" s="174">
        <f>H336/I336</f>
        <v>3.5338983050847457</v>
      </c>
      <c r="L336" s="12">
        <f>859399.5+611922.5+597511+92540.5+35432.5+12313+8417+3230+2786+1901+208.5</f>
        <v>2225661.5</v>
      </c>
      <c r="M336" s="13">
        <f>81834+61457+58453+8463+3493+2070+1395+1040+668+474+59</f>
        <v>219406</v>
      </c>
      <c r="N336" s="176">
        <f>L336/M336</f>
        <v>10.14403206840287</v>
      </c>
      <c r="O336" s="99">
        <v>326</v>
      </c>
    </row>
    <row r="337" spans="1:15" s="90" customFormat="1" ht="12" customHeight="1">
      <c r="A337" s="91">
        <v>327</v>
      </c>
      <c r="B337" s="229" t="s">
        <v>320</v>
      </c>
      <c r="C337" s="2">
        <v>40431</v>
      </c>
      <c r="D337" s="25" t="s">
        <v>8</v>
      </c>
      <c r="E337" s="5">
        <v>124</v>
      </c>
      <c r="F337" s="5">
        <v>1</v>
      </c>
      <c r="G337" s="5">
        <v>12</v>
      </c>
      <c r="H337" s="528">
        <v>567</v>
      </c>
      <c r="I337" s="495">
        <v>95</v>
      </c>
      <c r="J337" s="97">
        <f>+I337/F337</f>
        <v>95</v>
      </c>
      <c r="K337" s="221">
        <f>+H337/I337</f>
        <v>5.968421052631579</v>
      </c>
      <c r="L337" s="23">
        <v>3688296</v>
      </c>
      <c r="M337" s="11">
        <v>331614</v>
      </c>
      <c r="N337" s="210">
        <f>+L337/M337</f>
        <v>11.12225659954043</v>
      </c>
      <c r="O337" s="99">
        <v>327</v>
      </c>
    </row>
    <row r="338" spans="1:15" s="90" customFormat="1" ht="12" customHeight="1">
      <c r="A338" s="91">
        <v>328</v>
      </c>
      <c r="B338" s="205" t="s">
        <v>320</v>
      </c>
      <c r="C338" s="2">
        <v>40431</v>
      </c>
      <c r="D338" s="21" t="s">
        <v>8</v>
      </c>
      <c r="E338" s="5">
        <v>104</v>
      </c>
      <c r="F338" s="5">
        <v>1</v>
      </c>
      <c r="G338" s="5">
        <v>13</v>
      </c>
      <c r="H338" s="494">
        <v>516</v>
      </c>
      <c r="I338" s="495">
        <v>86</v>
      </c>
      <c r="J338" s="97">
        <f>+I338/F338</f>
        <v>86</v>
      </c>
      <c r="K338" s="209">
        <f>+H338/I338</f>
        <v>6</v>
      </c>
      <c r="L338" s="10">
        <v>3688812</v>
      </c>
      <c r="M338" s="11">
        <v>331700</v>
      </c>
      <c r="N338" s="210">
        <f>+L338/M338</f>
        <v>11.120928549894483</v>
      </c>
      <c r="O338" s="99">
        <v>328</v>
      </c>
    </row>
    <row r="339" spans="1:15" s="90" customFormat="1" ht="12" customHeight="1">
      <c r="A339" s="91">
        <v>329</v>
      </c>
      <c r="B339" s="180" t="s">
        <v>321</v>
      </c>
      <c r="C339" s="32">
        <v>40081</v>
      </c>
      <c r="D339" s="178" t="s">
        <v>31</v>
      </c>
      <c r="E339" s="33">
        <v>10</v>
      </c>
      <c r="F339" s="33">
        <v>1</v>
      </c>
      <c r="G339" s="33">
        <v>9</v>
      </c>
      <c r="H339" s="339">
        <v>952</v>
      </c>
      <c r="I339" s="340">
        <v>238</v>
      </c>
      <c r="J339" s="108">
        <f>(I339/F339)</f>
        <v>238</v>
      </c>
      <c r="K339" s="174">
        <f>H339/I339</f>
        <v>4</v>
      </c>
      <c r="L339" s="12">
        <f>15355.5+7416.5+5376.5+1210+1050.5+1780+1780+1780+952</f>
        <v>36701</v>
      </c>
      <c r="M339" s="13">
        <f>1226+729+733+198+202+445+445+445+238</f>
        <v>4661</v>
      </c>
      <c r="N339" s="176">
        <f>L339/M339</f>
        <v>7.874061360223128</v>
      </c>
      <c r="O339" s="99">
        <v>329</v>
      </c>
    </row>
    <row r="340" spans="1:15" s="90" customFormat="1" ht="12" customHeight="1">
      <c r="A340" s="91">
        <v>330</v>
      </c>
      <c r="B340" s="214" t="s">
        <v>322</v>
      </c>
      <c r="C340" s="32">
        <v>40466</v>
      </c>
      <c r="D340" s="251" t="s">
        <v>23</v>
      </c>
      <c r="E340" s="33">
        <v>119</v>
      </c>
      <c r="F340" s="33">
        <v>3</v>
      </c>
      <c r="G340" s="33">
        <v>15</v>
      </c>
      <c r="H340" s="499">
        <v>2636</v>
      </c>
      <c r="I340" s="500">
        <v>738</v>
      </c>
      <c r="J340" s="38">
        <f>I340/F340</f>
        <v>246</v>
      </c>
      <c r="K340" s="236">
        <f>+H340/I340</f>
        <v>3.5718157181571817</v>
      </c>
      <c r="L340" s="36">
        <v>2014015</v>
      </c>
      <c r="M340" s="39">
        <v>175303</v>
      </c>
      <c r="N340" s="237">
        <f>+L340/M340</f>
        <v>11.488765166597263</v>
      </c>
      <c r="O340" s="99">
        <v>330</v>
      </c>
    </row>
    <row r="341" spans="1:15" s="90" customFormat="1" ht="12" customHeight="1">
      <c r="A341" s="91">
        <v>331</v>
      </c>
      <c r="B341" s="214" t="s">
        <v>322</v>
      </c>
      <c r="C341" s="32">
        <v>40466</v>
      </c>
      <c r="D341" s="239" t="s">
        <v>23</v>
      </c>
      <c r="E341" s="33">
        <v>119</v>
      </c>
      <c r="F341" s="33">
        <v>3</v>
      </c>
      <c r="G341" s="33">
        <v>12</v>
      </c>
      <c r="H341" s="526">
        <v>999</v>
      </c>
      <c r="I341" s="500">
        <v>212</v>
      </c>
      <c r="J341" s="38">
        <f>I341/F341</f>
        <v>70.66666666666667</v>
      </c>
      <c r="K341" s="247">
        <f>+H341/I341</f>
        <v>4.712264150943396</v>
      </c>
      <c r="L341" s="28">
        <v>2010636</v>
      </c>
      <c r="M341" s="39">
        <v>174432</v>
      </c>
      <c r="N341" s="237">
        <f>+L341/M341</f>
        <v>11.526761144744084</v>
      </c>
      <c r="O341" s="99">
        <v>331</v>
      </c>
    </row>
    <row r="342" spans="1:15" s="90" customFormat="1" ht="12" customHeight="1">
      <c r="A342" s="91">
        <v>332</v>
      </c>
      <c r="B342" s="404" t="s">
        <v>322</v>
      </c>
      <c r="C342" s="407">
        <v>40466</v>
      </c>
      <c r="D342" s="408" t="s">
        <v>23</v>
      </c>
      <c r="E342" s="240">
        <v>119</v>
      </c>
      <c r="F342" s="240">
        <v>1</v>
      </c>
      <c r="G342" s="240">
        <v>14</v>
      </c>
      <c r="H342" s="380">
        <v>558</v>
      </c>
      <c r="I342" s="381">
        <v>93</v>
      </c>
      <c r="J342" s="241">
        <f>I342/F342</f>
        <v>93</v>
      </c>
      <c r="K342" s="409">
        <f>+H342/I342</f>
        <v>6</v>
      </c>
      <c r="L342" s="242">
        <v>2011379</v>
      </c>
      <c r="M342" s="216">
        <v>174565</v>
      </c>
      <c r="N342" s="410">
        <f>+L342/M342</f>
        <v>11.522235270529603</v>
      </c>
      <c r="O342" s="99">
        <v>332</v>
      </c>
    </row>
    <row r="343" spans="1:15" s="90" customFormat="1" ht="12" customHeight="1">
      <c r="A343" s="91">
        <v>333</v>
      </c>
      <c r="B343" s="633" t="s">
        <v>322</v>
      </c>
      <c r="C343" s="250">
        <v>40466</v>
      </c>
      <c r="D343" s="741" t="s">
        <v>23</v>
      </c>
      <c r="E343" s="208">
        <v>119</v>
      </c>
      <c r="F343" s="208">
        <v>2</v>
      </c>
      <c r="G343" s="208">
        <v>13</v>
      </c>
      <c r="H343" s="638">
        <v>185</v>
      </c>
      <c r="I343" s="531">
        <v>40</v>
      </c>
      <c r="J343" s="40">
        <f>I343/F343</f>
        <v>20</v>
      </c>
      <c r="K343" s="252">
        <f>+H343/I343</f>
        <v>4.625</v>
      </c>
      <c r="L343" s="640">
        <v>2010821</v>
      </c>
      <c r="M343" s="41">
        <v>174472</v>
      </c>
      <c r="N343" s="281">
        <f>+L343/M343</f>
        <v>11.525178825255628</v>
      </c>
      <c r="O343" s="99">
        <v>333</v>
      </c>
    </row>
    <row r="344" spans="1:17" s="90" customFormat="1" ht="12" customHeight="1">
      <c r="A344" s="91">
        <v>334</v>
      </c>
      <c r="B344" s="398" t="s">
        <v>322</v>
      </c>
      <c r="C344" s="32">
        <v>40466</v>
      </c>
      <c r="D344" s="178" t="s">
        <v>23</v>
      </c>
      <c r="E344" s="181">
        <v>119</v>
      </c>
      <c r="F344" s="181">
        <v>1</v>
      </c>
      <c r="G344" s="181">
        <v>17</v>
      </c>
      <c r="H344" s="499">
        <v>168</v>
      </c>
      <c r="I344" s="500">
        <v>28</v>
      </c>
      <c r="J344" s="40">
        <f>I344/F344</f>
        <v>28</v>
      </c>
      <c r="K344" s="252">
        <f>+H344/I344</f>
        <v>6</v>
      </c>
      <c r="L344" s="36">
        <v>2014279</v>
      </c>
      <c r="M344" s="39">
        <v>175347</v>
      </c>
      <c r="N344" s="237">
        <f>+L344/M344</f>
        <v>11.487387865204424</v>
      </c>
      <c r="O344" s="99">
        <v>334</v>
      </c>
      <c r="Q344" s="139"/>
    </row>
    <row r="345" spans="1:15" s="90" customFormat="1" ht="12" customHeight="1">
      <c r="A345" s="91">
        <v>335</v>
      </c>
      <c r="B345" s="633" t="s">
        <v>322</v>
      </c>
      <c r="C345" s="250">
        <v>40466</v>
      </c>
      <c r="D345" s="636" t="s">
        <v>23</v>
      </c>
      <c r="E345" s="208">
        <v>119</v>
      </c>
      <c r="F345" s="208">
        <v>1</v>
      </c>
      <c r="G345" s="208">
        <v>16</v>
      </c>
      <c r="H345" s="638">
        <v>96</v>
      </c>
      <c r="I345" s="531">
        <v>16</v>
      </c>
      <c r="J345" s="40">
        <f>I345/F345</f>
        <v>16</v>
      </c>
      <c r="K345" s="252">
        <f>+H345/I345</f>
        <v>6</v>
      </c>
      <c r="L345" s="640">
        <v>2014111</v>
      </c>
      <c r="M345" s="41">
        <v>175319</v>
      </c>
      <c r="N345" s="275">
        <f>+L345/M345</f>
        <v>11.488264249739046</v>
      </c>
      <c r="O345" s="99">
        <v>335</v>
      </c>
    </row>
    <row r="346" spans="1:15" s="90" customFormat="1" ht="12" customHeight="1">
      <c r="A346" s="91">
        <v>336</v>
      </c>
      <c r="B346" s="632" t="s">
        <v>322</v>
      </c>
      <c r="C346" s="634">
        <v>40466</v>
      </c>
      <c r="D346" s="635" t="s">
        <v>23</v>
      </c>
      <c r="E346" s="637">
        <v>119</v>
      </c>
      <c r="F346" s="637">
        <v>1</v>
      </c>
      <c r="G346" s="637">
        <v>18</v>
      </c>
      <c r="H346" s="538">
        <v>66</v>
      </c>
      <c r="I346" s="503">
        <v>11</v>
      </c>
      <c r="J346" s="389">
        <f>I346/F346</f>
        <v>11</v>
      </c>
      <c r="K346" s="450">
        <f>+H346/I346</f>
        <v>6</v>
      </c>
      <c r="L346" s="248">
        <v>2014345</v>
      </c>
      <c r="M346" s="249">
        <v>175358</v>
      </c>
      <c r="N346" s="641">
        <f>+L346/M346</f>
        <v>11.487043647851824</v>
      </c>
      <c r="O346" s="99">
        <v>336</v>
      </c>
    </row>
    <row r="347" spans="1:15" s="90" customFormat="1" ht="12" customHeight="1">
      <c r="A347" s="91">
        <v>337</v>
      </c>
      <c r="B347" s="460" t="s">
        <v>323</v>
      </c>
      <c r="C347" s="461">
        <v>40494</v>
      </c>
      <c r="D347" s="552" t="s">
        <v>10</v>
      </c>
      <c r="E347" s="4">
        <v>144</v>
      </c>
      <c r="F347" s="4">
        <v>16</v>
      </c>
      <c r="G347" s="4">
        <v>8</v>
      </c>
      <c r="H347" s="864">
        <v>13943</v>
      </c>
      <c r="I347" s="502">
        <v>2193</v>
      </c>
      <c r="J347" s="463">
        <f>I347/F347</f>
        <v>137.0625</v>
      </c>
      <c r="K347" s="865">
        <f>H347/I347</f>
        <v>6.357957136342909</v>
      </c>
      <c r="L347" s="859">
        <v>6055992</v>
      </c>
      <c r="M347" s="42">
        <v>521768</v>
      </c>
      <c r="N347" s="275">
        <f>+L347/M347</f>
        <v>11.606675763941062</v>
      </c>
      <c r="O347" s="99">
        <v>337</v>
      </c>
    </row>
    <row r="348" spans="1:15" s="90" customFormat="1" ht="12" customHeight="1">
      <c r="A348" s="91">
        <v>338</v>
      </c>
      <c r="B348" s="468" t="s">
        <v>323</v>
      </c>
      <c r="C348" s="461">
        <v>40494</v>
      </c>
      <c r="D348" s="469" t="s">
        <v>10</v>
      </c>
      <c r="E348" s="6">
        <v>144</v>
      </c>
      <c r="F348" s="6">
        <v>6</v>
      </c>
      <c r="G348" s="6">
        <v>10</v>
      </c>
      <c r="H348" s="534">
        <v>8265</v>
      </c>
      <c r="I348" s="502">
        <v>1244</v>
      </c>
      <c r="J348" s="463">
        <f>I348/F348</f>
        <v>207.33333333333334</v>
      </c>
      <c r="K348" s="207">
        <f>H348/I348</f>
        <v>6.643890675241158</v>
      </c>
      <c r="L348" s="464">
        <v>6066619</v>
      </c>
      <c r="M348" s="42">
        <v>523537</v>
      </c>
      <c r="N348" s="275">
        <f>+L348/M348</f>
        <v>11.587755975222382</v>
      </c>
      <c r="O348" s="99">
        <v>338</v>
      </c>
    </row>
    <row r="349" spans="1:15" s="90" customFormat="1" ht="12" customHeight="1">
      <c r="A349" s="91">
        <v>339</v>
      </c>
      <c r="B349" s="460" t="s">
        <v>323</v>
      </c>
      <c r="C349" s="461">
        <v>40494</v>
      </c>
      <c r="D349" s="462" t="s">
        <v>10</v>
      </c>
      <c r="E349" s="4">
        <v>144</v>
      </c>
      <c r="F349" s="4">
        <v>3</v>
      </c>
      <c r="G349" s="4">
        <v>11</v>
      </c>
      <c r="H349" s="534">
        <v>2600</v>
      </c>
      <c r="I349" s="502">
        <v>454</v>
      </c>
      <c r="J349" s="463">
        <f>I349/F349</f>
        <v>151.33333333333334</v>
      </c>
      <c r="K349" s="207">
        <f>H349/I349</f>
        <v>5.726872246696035</v>
      </c>
      <c r="L349" s="464">
        <v>6069219</v>
      </c>
      <c r="M349" s="42">
        <v>523991</v>
      </c>
      <c r="N349" s="275">
        <f>+L349/M349</f>
        <v>11.582677946758627</v>
      </c>
      <c r="O349" s="99">
        <v>339</v>
      </c>
    </row>
    <row r="350" spans="1:15" s="90" customFormat="1" ht="12" customHeight="1">
      <c r="A350" s="91">
        <v>340</v>
      </c>
      <c r="B350" s="480" t="s">
        <v>323</v>
      </c>
      <c r="C350" s="461">
        <v>40494</v>
      </c>
      <c r="D350" s="552" t="s">
        <v>10</v>
      </c>
      <c r="E350" s="4">
        <v>144</v>
      </c>
      <c r="F350" s="4">
        <v>3</v>
      </c>
      <c r="G350" s="4">
        <v>9</v>
      </c>
      <c r="H350" s="534">
        <v>2362</v>
      </c>
      <c r="I350" s="502">
        <v>525</v>
      </c>
      <c r="J350" s="463">
        <f>I350/F350</f>
        <v>175</v>
      </c>
      <c r="K350" s="207">
        <f>H350/I350</f>
        <v>4.499047619047619</v>
      </c>
      <c r="L350" s="464">
        <v>6058354</v>
      </c>
      <c r="M350" s="42">
        <v>522293</v>
      </c>
      <c r="N350" s="275">
        <f>+L350/M350</f>
        <v>11.599531297566692</v>
      </c>
      <c r="O350" s="99">
        <v>340</v>
      </c>
    </row>
    <row r="351" spans="1:15" s="90" customFormat="1" ht="12" customHeight="1">
      <c r="A351" s="91">
        <v>341</v>
      </c>
      <c r="B351" s="468" t="s">
        <v>323</v>
      </c>
      <c r="C351" s="461">
        <v>40494</v>
      </c>
      <c r="D351" s="469" t="s">
        <v>10</v>
      </c>
      <c r="E351" s="6">
        <v>144</v>
      </c>
      <c r="F351" s="6">
        <v>1</v>
      </c>
      <c r="G351" s="6">
        <v>13</v>
      </c>
      <c r="H351" s="534">
        <v>2042</v>
      </c>
      <c r="I351" s="502">
        <v>495</v>
      </c>
      <c r="J351" s="463">
        <f>I351/F351</f>
        <v>495</v>
      </c>
      <c r="K351" s="207">
        <f>H351/I351</f>
        <v>4.125252525252526</v>
      </c>
      <c r="L351" s="464">
        <v>6072415</v>
      </c>
      <c r="M351" s="42">
        <v>524703</v>
      </c>
      <c r="N351" s="275">
        <f>+L351/M351</f>
        <v>11.573051802638826</v>
      </c>
      <c r="O351" s="99">
        <v>341</v>
      </c>
    </row>
    <row r="352" spans="1:15" s="90" customFormat="1" ht="12" customHeight="1">
      <c r="A352" s="91">
        <v>342</v>
      </c>
      <c r="B352" s="480" t="s">
        <v>323</v>
      </c>
      <c r="C352" s="461">
        <v>40494</v>
      </c>
      <c r="D352" s="462" t="s">
        <v>10</v>
      </c>
      <c r="E352" s="4">
        <v>144</v>
      </c>
      <c r="F352" s="4">
        <v>1</v>
      </c>
      <c r="G352" s="4">
        <v>12</v>
      </c>
      <c r="H352" s="534">
        <v>1154</v>
      </c>
      <c r="I352" s="502">
        <v>217</v>
      </c>
      <c r="J352" s="463">
        <f>I352/F352</f>
        <v>217</v>
      </c>
      <c r="K352" s="207">
        <f>H352/I352</f>
        <v>5.317972350230415</v>
      </c>
      <c r="L352" s="464">
        <v>6070373</v>
      </c>
      <c r="M352" s="42">
        <v>524208</v>
      </c>
      <c r="N352" s="275">
        <f>+L352/M352</f>
        <v>11.58008462289778</v>
      </c>
      <c r="O352" s="99">
        <v>342</v>
      </c>
    </row>
    <row r="353" spans="1:15" s="90" customFormat="1" ht="12" customHeight="1">
      <c r="A353" s="91">
        <v>343</v>
      </c>
      <c r="B353" s="601" t="s">
        <v>324</v>
      </c>
      <c r="C353" s="250">
        <v>40494</v>
      </c>
      <c r="D353" s="741" t="s">
        <v>23</v>
      </c>
      <c r="E353" s="208">
        <v>72</v>
      </c>
      <c r="F353" s="208">
        <v>2</v>
      </c>
      <c r="G353" s="208">
        <v>8</v>
      </c>
      <c r="H353" s="530">
        <v>1110</v>
      </c>
      <c r="I353" s="531">
        <v>180</v>
      </c>
      <c r="J353" s="40">
        <f>I353/F353</f>
        <v>90</v>
      </c>
      <c r="K353" s="481">
        <f>+H353/I353</f>
        <v>6.166666666666667</v>
      </c>
      <c r="L353" s="488">
        <v>906333</v>
      </c>
      <c r="M353" s="41">
        <v>84860</v>
      </c>
      <c r="N353" s="281">
        <f>+L353/M353</f>
        <v>10.680332312043365</v>
      </c>
      <c r="O353" s="99">
        <v>343</v>
      </c>
    </row>
    <row r="354" spans="1:15" s="90" customFormat="1" ht="12" customHeight="1">
      <c r="A354" s="91">
        <v>344</v>
      </c>
      <c r="B354" s="263" t="s">
        <v>413</v>
      </c>
      <c r="C354" s="250">
        <v>39801</v>
      </c>
      <c r="D354" s="582" t="s">
        <v>31</v>
      </c>
      <c r="E354" s="208">
        <v>42</v>
      </c>
      <c r="F354" s="208">
        <v>1</v>
      </c>
      <c r="G354" s="208">
        <v>40</v>
      </c>
      <c r="H354" s="504">
        <v>1780</v>
      </c>
      <c r="I354" s="501">
        <v>445</v>
      </c>
      <c r="J354" s="94">
        <f>I354/F354</f>
        <v>445</v>
      </c>
      <c r="K354" s="212">
        <f>H354/I354</f>
        <v>4</v>
      </c>
      <c r="L354" s="43">
        <f>295344+204961.5+145464.5+116108.5+111972.5+49984+26327+32042+18579+20005+19180+15980+2686.5+3166.5+366+13433+4493+735.5+607.5+2528+83+198+248+2348+825+2700+2268+393+2002+2063+343+1188+2020+398.46+291.4+240.58+592+2376+1308+1780</f>
        <v>1107629.44</v>
      </c>
      <c r="M354" s="9">
        <f>36142+24747+19417+15404+14719+7567+3314+5289+3173+3275+3534+2826+540+724+52+2536+882+130+150+615+21+66+51+497+165+675+506+78+241+404+59+297+505+86+63+59+148+594+327+445</f>
        <v>150323</v>
      </c>
      <c r="N354" s="1098">
        <f>L354/M354</f>
        <v>7.3683297965048595</v>
      </c>
      <c r="O354" s="99">
        <v>344</v>
      </c>
    </row>
    <row r="355" spans="1:15" s="90" customFormat="1" ht="12" customHeight="1">
      <c r="A355" s="91">
        <v>345</v>
      </c>
      <c r="B355" s="265" t="s">
        <v>413</v>
      </c>
      <c r="C355" s="664">
        <v>39801</v>
      </c>
      <c r="D355" s="577" t="s">
        <v>31</v>
      </c>
      <c r="E355" s="540">
        <v>42</v>
      </c>
      <c r="F355" s="540">
        <v>1</v>
      </c>
      <c r="G355" s="540">
        <v>39</v>
      </c>
      <c r="H355" s="510">
        <v>1308</v>
      </c>
      <c r="I355" s="511">
        <v>327</v>
      </c>
      <c r="J355" s="280">
        <f>I355/F355</f>
        <v>327</v>
      </c>
      <c r="K355" s="317">
        <f>H355/I355</f>
        <v>4</v>
      </c>
      <c r="L355" s="391">
        <f>295344+204961.5+145464.5+116108.5+111972.5+49984+26327+32042+18579+20005+19180+15980+2686.5+3166.5+366+13433+4493+735.5+607.5+2528+83+198+248+2348+825+2700+2268+393+2002+2063+343+1188+2020+398.46+291.4+240.58+592+2+2376+1308</f>
        <v>1105851.44</v>
      </c>
      <c r="M355" s="392">
        <f>36142+24747+19417+15404+14719+7567+3314+5289+3173+3275+3534+2826+540+724+52+2536+882+130+150+615+21+66+51+497+165+675+506+78+241+404+59+297+505+86+63+59+148+594+327</f>
        <v>149878</v>
      </c>
      <c r="N355" s="630">
        <f>+L355/M355</f>
        <v>7.378343986442306</v>
      </c>
      <c r="O355" s="99">
        <v>345</v>
      </c>
    </row>
    <row r="356" spans="1:15" s="90" customFormat="1" ht="12" customHeight="1">
      <c r="A356" s="91">
        <v>346</v>
      </c>
      <c r="B356" s="633" t="s">
        <v>325</v>
      </c>
      <c r="C356" s="250">
        <v>40459</v>
      </c>
      <c r="D356" s="741" t="s">
        <v>23</v>
      </c>
      <c r="E356" s="208">
        <v>93</v>
      </c>
      <c r="F356" s="208">
        <v>1</v>
      </c>
      <c r="G356" s="208">
        <v>14</v>
      </c>
      <c r="H356" s="638">
        <v>2415</v>
      </c>
      <c r="I356" s="531">
        <v>875</v>
      </c>
      <c r="J356" s="40">
        <f>I356/F356</f>
        <v>875</v>
      </c>
      <c r="K356" s="252">
        <f>+H356/I356</f>
        <v>2.76</v>
      </c>
      <c r="L356" s="640">
        <v>1072374</v>
      </c>
      <c r="M356" s="40">
        <v>99383</v>
      </c>
      <c r="N356" s="281">
        <f>+L356/M356</f>
        <v>10.790316251270339</v>
      </c>
      <c r="O356" s="99">
        <v>346</v>
      </c>
    </row>
    <row r="357" spans="1:15" s="90" customFormat="1" ht="12" customHeight="1">
      <c r="A357" s="91">
        <v>347</v>
      </c>
      <c r="B357" s="460" t="s">
        <v>402</v>
      </c>
      <c r="C357" s="689">
        <v>40529</v>
      </c>
      <c r="D357" s="577" t="s">
        <v>21</v>
      </c>
      <c r="E357" s="688">
        <v>134</v>
      </c>
      <c r="F357" s="688">
        <v>1</v>
      </c>
      <c r="G357" s="688">
        <v>12</v>
      </c>
      <c r="H357" s="794">
        <v>1782</v>
      </c>
      <c r="I357" s="795">
        <v>356</v>
      </c>
      <c r="J357" s="280">
        <f>I357/F357</f>
        <v>356</v>
      </c>
      <c r="K357" s="317">
        <f>H357/I357</f>
        <v>5.00561797752809</v>
      </c>
      <c r="L357" s="581">
        <f>415183+3929+3246+2363+1074+230+2072+4630+1180+1782</f>
        <v>435689</v>
      </c>
      <c r="M357" s="625">
        <f>52315+638+476+361+299+38+414+683+192+356</f>
        <v>55772</v>
      </c>
      <c r="N357" s="630">
        <f>+L357/M357</f>
        <v>7.811966578211289</v>
      </c>
      <c r="O357" s="99">
        <v>347</v>
      </c>
    </row>
    <row r="358" spans="1:15" s="90" customFormat="1" ht="12" customHeight="1">
      <c r="A358" s="91">
        <v>348</v>
      </c>
      <c r="B358" s="460" t="s">
        <v>164</v>
      </c>
      <c r="C358" s="461">
        <v>40529</v>
      </c>
      <c r="D358" s="552" t="s">
        <v>21</v>
      </c>
      <c r="E358" s="4">
        <v>134</v>
      </c>
      <c r="F358" s="4">
        <v>121</v>
      </c>
      <c r="G358" s="4">
        <v>3</v>
      </c>
      <c r="H358" s="794">
        <v>49789.5</v>
      </c>
      <c r="I358" s="478">
        <v>7079</v>
      </c>
      <c r="J358" s="94">
        <f>IF(H358&lt;&gt;0,I358/F358,"")</f>
        <v>58.50413223140496</v>
      </c>
      <c r="K358" s="211">
        <f>IF(H358&lt;&gt;0,H358/I358,"")</f>
        <v>7.0334086735414605</v>
      </c>
      <c r="L358" s="581">
        <f>244174+121219.5+H358</f>
        <v>415183</v>
      </c>
      <c r="M358" s="40">
        <f>29518+15718+I358</f>
        <v>52315</v>
      </c>
      <c r="N358" s="276">
        <f>IF(L358&lt;&gt;0,L358/M358,"")</f>
        <v>7.936213323138679</v>
      </c>
      <c r="O358" s="99">
        <v>348</v>
      </c>
    </row>
    <row r="359" spans="1:15" s="90" customFormat="1" ht="12" customHeight="1">
      <c r="A359" s="91">
        <v>349</v>
      </c>
      <c r="B359" s="480" t="s">
        <v>164</v>
      </c>
      <c r="C359" s="461">
        <v>40529</v>
      </c>
      <c r="D359" s="462" t="s">
        <v>21</v>
      </c>
      <c r="E359" s="4">
        <v>134</v>
      </c>
      <c r="F359" s="4">
        <v>2</v>
      </c>
      <c r="G359" s="4">
        <v>10</v>
      </c>
      <c r="H359" s="477">
        <v>4630</v>
      </c>
      <c r="I359" s="478">
        <v>683</v>
      </c>
      <c r="J359" s="94">
        <f>IF(H359&lt;&gt;0,I359/F359,"")</f>
        <v>341.5</v>
      </c>
      <c r="K359" s="212">
        <f>IF(H359&lt;&gt;0,H359/I359,"")</f>
        <v>6.77891654465593</v>
      </c>
      <c r="L359" s="45">
        <f>415183+3929+3246+2363+1074+230+2072+4630</f>
        <v>432727</v>
      </c>
      <c r="M359" s="40">
        <f>52315+638+476+361+299+38+414+683</f>
        <v>55224</v>
      </c>
      <c r="N359" s="276">
        <f>IF(L359&lt;&gt;0,L359/M359,"")</f>
        <v>7.8358503549181515</v>
      </c>
      <c r="O359" s="99">
        <v>349</v>
      </c>
    </row>
    <row r="360" spans="1:15" s="90" customFormat="1" ht="12" customHeight="1">
      <c r="A360" s="91">
        <v>350</v>
      </c>
      <c r="B360" s="480" t="s">
        <v>164</v>
      </c>
      <c r="C360" s="461">
        <v>40529</v>
      </c>
      <c r="D360" s="552" t="s">
        <v>21</v>
      </c>
      <c r="E360" s="4">
        <v>134</v>
      </c>
      <c r="F360" s="4">
        <v>12</v>
      </c>
      <c r="G360" s="4">
        <v>4</v>
      </c>
      <c r="H360" s="477">
        <v>3929</v>
      </c>
      <c r="I360" s="478">
        <v>638</v>
      </c>
      <c r="J360" s="94">
        <f>IF(H360&lt;&gt;0,I360/F360,"")</f>
        <v>53.166666666666664</v>
      </c>
      <c r="K360" s="212">
        <f>IF(H360&lt;&gt;0,H360/I360,"")</f>
        <v>6.158307210031348</v>
      </c>
      <c r="L360" s="45">
        <f>415183+3929</f>
        <v>419112</v>
      </c>
      <c r="M360" s="40">
        <f>52315+638</f>
        <v>52953</v>
      </c>
      <c r="N360" s="276">
        <f>IF(L360&lt;&gt;0,L360/M360,"")</f>
        <v>7.914792363038921</v>
      </c>
      <c r="O360" s="99">
        <v>350</v>
      </c>
    </row>
    <row r="361" spans="1:15" s="90" customFormat="1" ht="12" customHeight="1">
      <c r="A361" s="91">
        <v>351</v>
      </c>
      <c r="B361" s="468" t="s">
        <v>164</v>
      </c>
      <c r="C361" s="461">
        <v>40529</v>
      </c>
      <c r="D361" s="469" t="s">
        <v>21</v>
      </c>
      <c r="E361" s="6">
        <v>134</v>
      </c>
      <c r="F361" s="6">
        <v>8</v>
      </c>
      <c r="G361" s="6">
        <v>5</v>
      </c>
      <c r="H361" s="477">
        <v>3246</v>
      </c>
      <c r="I361" s="478">
        <v>476</v>
      </c>
      <c r="J361" s="94">
        <f>IF(H361&lt;&gt;0,I361/F361,"")</f>
        <v>59.5</v>
      </c>
      <c r="K361" s="212">
        <f>IF(H361&lt;&gt;0,H361/I361,"")</f>
        <v>6.819327731092437</v>
      </c>
      <c r="L361" s="45">
        <f>415183+3929+3246</f>
        <v>422358</v>
      </c>
      <c r="M361" s="40">
        <f>52315+638+476</f>
        <v>53429</v>
      </c>
      <c r="N361" s="276">
        <f>IF(L361&lt;&gt;0,L361/M361,"")</f>
        <v>7.9050328473301015</v>
      </c>
      <c r="O361" s="99">
        <v>351</v>
      </c>
    </row>
    <row r="362" spans="1:15" s="90" customFormat="1" ht="12" customHeight="1">
      <c r="A362" s="91">
        <v>352</v>
      </c>
      <c r="B362" s="460" t="s">
        <v>164</v>
      </c>
      <c r="C362" s="461">
        <v>40529</v>
      </c>
      <c r="D362" s="462" t="s">
        <v>21</v>
      </c>
      <c r="E362" s="4">
        <v>134</v>
      </c>
      <c r="F362" s="4">
        <v>6</v>
      </c>
      <c r="G362" s="4">
        <v>6</v>
      </c>
      <c r="H362" s="477">
        <v>2363</v>
      </c>
      <c r="I362" s="478">
        <v>361</v>
      </c>
      <c r="J362" s="94">
        <f>IF(H362&lt;&gt;0,I362/F362,"")</f>
        <v>60.166666666666664</v>
      </c>
      <c r="K362" s="212">
        <f>IF(H362&lt;&gt;0,H362/I362,"")</f>
        <v>6.545706371191136</v>
      </c>
      <c r="L362" s="45">
        <f>415183+3929+3246+2363</f>
        <v>424721</v>
      </c>
      <c r="M362" s="40">
        <f>52315+638+476+361</f>
        <v>53790</v>
      </c>
      <c r="N362" s="276">
        <f>IF(L362&lt;&gt;0,L362/M362,"")</f>
        <v>7.8959100204498975</v>
      </c>
      <c r="O362" s="99">
        <v>352</v>
      </c>
    </row>
    <row r="363" spans="1:15" s="90" customFormat="1" ht="12" customHeight="1">
      <c r="A363" s="91">
        <v>353</v>
      </c>
      <c r="B363" s="468" t="s">
        <v>164</v>
      </c>
      <c r="C363" s="461">
        <v>40529</v>
      </c>
      <c r="D363" s="469" t="s">
        <v>21</v>
      </c>
      <c r="E363" s="6">
        <v>134</v>
      </c>
      <c r="F363" s="6">
        <v>2</v>
      </c>
      <c r="G363" s="6">
        <v>9</v>
      </c>
      <c r="H363" s="794">
        <v>2072</v>
      </c>
      <c r="I363" s="795">
        <v>414</v>
      </c>
      <c r="J363" s="280">
        <f>IF(H363&lt;&gt;0,I363/F363,"")</f>
        <v>207</v>
      </c>
      <c r="K363" s="211">
        <f>IF(H363&lt;&gt;0,H363/I363,"")</f>
        <v>5.004830917874396</v>
      </c>
      <c r="L363" s="581">
        <f>415183+3929+3246+2363+1074+230+2072</f>
        <v>428097</v>
      </c>
      <c r="M363" s="625">
        <f>52315+638+476+361+299+38+414</f>
        <v>54541</v>
      </c>
      <c r="N363" s="276">
        <f>IF(L363&lt;&gt;0,L363/M363,"")</f>
        <v>7.84908600869071</v>
      </c>
      <c r="O363" s="99">
        <v>353</v>
      </c>
    </row>
    <row r="364" spans="1:15" s="90" customFormat="1" ht="12" customHeight="1">
      <c r="A364" s="91">
        <v>354</v>
      </c>
      <c r="B364" s="734" t="s">
        <v>164</v>
      </c>
      <c r="C364" s="738">
        <v>40529</v>
      </c>
      <c r="D364" s="740" t="s">
        <v>21</v>
      </c>
      <c r="E364" s="743">
        <v>134</v>
      </c>
      <c r="F364" s="743">
        <v>1</v>
      </c>
      <c r="G364" s="743">
        <v>11</v>
      </c>
      <c r="H364" s="477">
        <v>1180</v>
      </c>
      <c r="I364" s="478">
        <v>192</v>
      </c>
      <c r="J364" s="747">
        <f>IF(H364&lt;&gt;0,I364/F364,"")</f>
        <v>192</v>
      </c>
      <c r="K364" s="748">
        <f>IF(H364&lt;&gt;0,H364/I364,"")</f>
        <v>6.145833333333333</v>
      </c>
      <c r="L364" s="45">
        <f>415183+3929+3246+2363+1074+230+2072+4630+1180</f>
        <v>433907</v>
      </c>
      <c r="M364" s="40">
        <f>52315+638+476+361+299+38+414+683+192</f>
        <v>55416</v>
      </c>
      <c r="N364" s="751">
        <f>IF(L364&lt;&gt;0,L364/M364,"")</f>
        <v>7.829994947307637</v>
      </c>
      <c r="O364" s="99">
        <v>354</v>
      </c>
    </row>
    <row r="365" spans="1:15" s="90" customFormat="1" ht="12" customHeight="1">
      <c r="A365" s="91">
        <v>355</v>
      </c>
      <c r="B365" s="734" t="s">
        <v>164</v>
      </c>
      <c r="C365" s="461">
        <v>40529</v>
      </c>
      <c r="D365" s="462" t="s">
        <v>21</v>
      </c>
      <c r="E365" s="4">
        <v>134</v>
      </c>
      <c r="F365" s="4">
        <v>6</v>
      </c>
      <c r="G365" s="4">
        <v>6</v>
      </c>
      <c r="H365" s="477">
        <v>1074</v>
      </c>
      <c r="I365" s="478">
        <v>299</v>
      </c>
      <c r="J365" s="94">
        <f>IF(H365&lt;&gt;0,I365/F365,"")</f>
        <v>49.833333333333336</v>
      </c>
      <c r="K365" s="212">
        <f>IF(H365&lt;&gt;0,H365/I365,"")</f>
        <v>3.591973244147157</v>
      </c>
      <c r="L365" s="45">
        <f>415183+3929+3246+2363+1074</f>
        <v>425795</v>
      </c>
      <c r="M365" s="40">
        <f>52315+638+476+361+299</f>
        <v>54089</v>
      </c>
      <c r="N365" s="276">
        <f>IF(L365&lt;&gt;0,L365/M365,"")</f>
        <v>7.872118175599475</v>
      </c>
      <c r="O365" s="99">
        <v>355</v>
      </c>
    </row>
    <row r="366" spans="1:15" s="90" customFormat="1" ht="12" customHeight="1">
      <c r="A366" s="91">
        <v>356</v>
      </c>
      <c r="B366" s="468" t="s">
        <v>164</v>
      </c>
      <c r="C366" s="461">
        <v>40529</v>
      </c>
      <c r="D366" s="469" t="s">
        <v>21</v>
      </c>
      <c r="E366" s="6">
        <v>134</v>
      </c>
      <c r="F366" s="6">
        <v>1</v>
      </c>
      <c r="G366" s="6">
        <v>8</v>
      </c>
      <c r="H366" s="477">
        <v>230</v>
      </c>
      <c r="I366" s="478">
        <v>38</v>
      </c>
      <c r="J366" s="94">
        <f>IF(H366&lt;&gt;0,I366/F366,"")</f>
        <v>38</v>
      </c>
      <c r="K366" s="212">
        <f>IF(H366&lt;&gt;0,H366/I366,"")</f>
        <v>6.052631578947368</v>
      </c>
      <c r="L366" s="45">
        <f>415183+3929+3246+2363+1074+230</f>
        <v>426025</v>
      </c>
      <c r="M366" s="40">
        <f>52315+638+476+361+299+38</f>
        <v>54127</v>
      </c>
      <c r="N366" s="276">
        <f>IF(L366&lt;&gt;0,L366/M366,"")</f>
        <v>7.870840800339941</v>
      </c>
      <c r="O366" s="99">
        <v>356</v>
      </c>
    </row>
    <row r="367" spans="1:15" s="90" customFormat="1" ht="12" customHeight="1">
      <c r="A367" s="91">
        <v>357</v>
      </c>
      <c r="B367" s="194" t="s">
        <v>326</v>
      </c>
      <c r="C367" s="250">
        <v>40053</v>
      </c>
      <c r="D367" s="195" t="s">
        <v>31</v>
      </c>
      <c r="E367" s="196">
        <v>14</v>
      </c>
      <c r="F367" s="196">
        <v>1</v>
      </c>
      <c r="G367" s="196">
        <v>11</v>
      </c>
      <c r="H367" s="504">
        <v>952</v>
      </c>
      <c r="I367" s="501">
        <v>238</v>
      </c>
      <c r="J367" s="106">
        <f>(I367/F367)</f>
        <v>238</v>
      </c>
      <c r="K367" s="197">
        <f>H367/I367</f>
        <v>4</v>
      </c>
      <c r="L367" s="43">
        <f>46744+27773.5+29652+15092+1850+3126+1717.5+468+83+54+952</f>
        <v>127512</v>
      </c>
      <c r="M367" s="9">
        <f>3724+2772+2752+1903+308+472+380+135+20+18+238</f>
        <v>12722</v>
      </c>
      <c r="N367" s="198">
        <f>L367/M367</f>
        <v>10.022952365980192</v>
      </c>
      <c r="O367" s="99">
        <v>357</v>
      </c>
    </row>
    <row r="368" spans="1:15" s="90" customFormat="1" ht="12" customHeight="1">
      <c r="A368" s="91">
        <v>358</v>
      </c>
      <c r="B368" s="194" t="s">
        <v>326</v>
      </c>
      <c r="C368" s="250">
        <v>40053</v>
      </c>
      <c r="D368" s="195" t="s">
        <v>31</v>
      </c>
      <c r="E368" s="196">
        <v>14</v>
      </c>
      <c r="F368" s="196">
        <v>1</v>
      </c>
      <c r="G368" s="196">
        <v>12</v>
      </c>
      <c r="H368" s="510">
        <v>236</v>
      </c>
      <c r="I368" s="511">
        <v>59</v>
      </c>
      <c r="J368" s="390">
        <f>(I368/F368)</f>
        <v>59</v>
      </c>
      <c r="K368" s="266">
        <f>H368/I368</f>
        <v>4</v>
      </c>
      <c r="L368" s="391">
        <f>46744+27773.5+29652+15092+1850+3126+1717.5+468+83+54+952+236</f>
        <v>127748</v>
      </c>
      <c r="M368" s="392">
        <f>3724+2772+2752+1903+308+472+380+135+20+18+238+59</f>
        <v>12781</v>
      </c>
      <c r="N368" s="198">
        <f>L368/M368</f>
        <v>9.99514904937016</v>
      </c>
      <c r="O368" s="99">
        <v>358</v>
      </c>
    </row>
    <row r="369" spans="1:15" s="90" customFormat="1" ht="12" customHeight="1">
      <c r="A369" s="91">
        <v>359</v>
      </c>
      <c r="B369" s="470" t="s">
        <v>165</v>
      </c>
      <c r="C369" s="461">
        <v>40529</v>
      </c>
      <c r="D369" s="471" t="s">
        <v>8</v>
      </c>
      <c r="E369" s="6">
        <v>32</v>
      </c>
      <c r="F369" s="6">
        <v>5</v>
      </c>
      <c r="G369" s="6">
        <v>3</v>
      </c>
      <c r="H369" s="535">
        <v>964</v>
      </c>
      <c r="I369" s="536">
        <v>140</v>
      </c>
      <c r="J369" s="94">
        <f>+I369/F369</f>
        <v>28</v>
      </c>
      <c r="K369" s="211">
        <f>+H369/I369</f>
        <v>6.885714285714286</v>
      </c>
      <c r="L369" s="472">
        <v>18563</v>
      </c>
      <c r="M369" s="8">
        <v>1767</v>
      </c>
      <c r="N369" s="276">
        <f>+L369/M369</f>
        <v>10.505376344086022</v>
      </c>
      <c r="O369" s="99">
        <v>359</v>
      </c>
    </row>
    <row r="370" spans="1:15" s="90" customFormat="1" ht="12" customHeight="1">
      <c r="A370" s="91">
        <v>360</v>
      </c>
      <c r="B370" s="205" t="s">
        <v>165</v>
      </c>
      <c r="C370" s="2">
        <v>40529</v>
      </c>
      <c r="D370" s="25" t="s">
        <v>8</v>
      </c>
      <c r="E370" s="5">
        <v>32</v>
      </c>
      <c r="F370" s="5">
        <v>1</v>
      </c>
      <c r="G370" s="5">
        <v>4</v>
      </c>
      <c r="H370" s="494">
        <v>523</v>
      </c>
      <c r="I370" s="495">
        <v>92</v>
      </c>
      <c r="J370" s="94">
        <f>+I370/F370</f>
        <v>92</v>
      </c>
      <c r="K370" s="212">
        <f>+H370/I370</f>
        <v>5.684782608695652</v>
      </c>
      <c r="L370" s="10">
        <v>19085</v>
      </c>
      <c r="M370" s="11">
        <v>1859</v>
      </c>
      <c r="N370" s="276">
        <f>+L370/M370</f>
        <v>10.266272189349113</v>
      </c>
      <c r="O370" s="99">
        <v>360</v>
      </c>
    </row>
    <row r="371" spans="1:15" s="90" customFormat="1" ht="12" customHeight="1">
      <c r="A371" s="91">
        <v>361</v>
      </c>
      <c r="B371" s="265" t="s">
        <v>327</v>
      </c>
      <c r="C371" s="250">
        <v>40347</v>
      </c>
      <c r="D371" s="195" t="s">
        <v>31</v>
      </c>
      <c r="E371" s="208">
        <v>2</v>
      </c>
      <c r="F371" s="208">
        <v>1</v>
      </c>
      <c r="G371" s="208">
        <v>20</v>
      </c>
      <c r="H371" s="509">
        <v>713</v>
      </c>
      <c r="I371" s="340">
        <v>178</v>
      </c>
      <c r="J371" s="106">
        <f>(I371/F371)</f>
        <v>178</v>
      </c>
      <c r="K371" s="266">
        <f>H371/I371</f>
        <v>4.00561797752809</v>
      </c>
      <c r="L371" s="26">
        <f>15693+762+1031+1133+707+492+1323.5+1397+447+357+524+229+713</f>
        <v>24808.5</v>
      </c>
      <c r="M371" s="13">
        <f>1559+119+194+179+86+57+150+195+165+58+85+48+178</f>
        <v>3073</v>
      </c>
      <c r="N371" s="198">
        <f>L371/M371</f>
        <v>8.073055645948584</v>
      </c>
      <c r="O371" s="99">
        <v>361</v>
      </c>
    </row>
    <row r="372" spans="1:15" s="90" customFormat="1" ht="12" customHeight="1">
      <c r="A372" s="91">
        <v>362</v>
      </c>
      <c r="B372" s="601" t="s">
        <v>328</v>
      </c>
      <c r="C372" s="250">
        <v>40536</v>
      </c>
      <c r="D372" s="741" t="s">
        <v>23</v>
      </c>
      <c r="E372" s="208">
        <v>112</v>
      </c>
      <c r="F372" s="208">
        <v>116</v>
      </c>
      <c r="G372" s="208">
        <v>2</v>
      </c>
      <c r="H372" s="526">
        <v>694227</v>
      </c>
      <c r="I372" s="500">
        <v>58647</v>
      </c>
      <c r="J372" s="40">
        <f>I372/F372</f>
        <v>505.57758620689657</v>
      </c>
      <c r="K372" s="481">
        <f>+H372/I372</f>
        <v>11.837382986342012</v>
      </c>
      <c r="L372" s="28">
        <v>1663782</v>
      </c>
      <c r="M372" s="39">
        <v>141056</v>
      </c>
      <c r="N372" s="281">
        <f>+L372/M372</f>
        <v>11.795187726860254</v>
      </c>
      <c r="O372" s="99">
        <v>362</v>
      </c>
    </row>
    <row r="373" spans="1:15" s="90" customFormat="1" ht="12" customHeight="1">
      <c r="A373" s="91">
        <v>363</v>
      </c>
      <c r="B373" s="633" t="s">
        <v>328</v>
      </c>
      <c r="C373" s="250">
        <v>40536</v>
      </c>
      <c r="D373" s="741" t="s">
        <v>23</v>
      </c>
      <c r="E373" s="208">
        <v>112</v>
      </c>
      <c r="F373" s="208">
        <v>114</v>
      </c>
      <c r="G373" s="208">
        <v>3</v>
      </c>
      <c r="H373" s="638">
        <v>439081</v>
      </c>
      <c r="I373" s="531">
        <v>38093</v>
      </c>
      <c r="J373" s="40">
        <f>I373/F373</f>
        <v>334.14912280701753</v>
      </c>
      <c r="K373" s="252">
        <f>+H373/I373</f>
        <v>11.526553435014307</v>
      </c>
      <c r="L373" s="640">
        <v>2102863</v>
      </c>
      <c r="M373" s="41">
        <v>179149</v>
      </c>
      <c r="N373" s="281">
        <f>+L373/M373</f>
        <v>11.738067195462994</v>
      </c>
      <c r="O373" s="99">
        <v>363</v>
      </c>
    </row>
    <row r="374" spans="1:15" s="90" customFormat="1" ht="12" customHeight="1">
      <c r="A374" s="91">
        <v>364</v>
      </c>
      <c r="B374" s="604" t="s">
        <v>328</v>
      </c>
      <c r="C374" s="250">
        <v>40536</v>
      </c>
      <c r="D374" s="195" t="s">
        <v>23</v>
      </c>
      <c r="E374" s="196">
        <v>112</v>
      </c>
      <c r="F374" s="196">
        <v>67</v>
      </c>
      <c r="G374" s="196">
        <v>7</v>
      </c>
      <c r="H374" s="638">
        <v>251883</v>
      </c>
      <c r="I374" s="531">
        <v>23368</v>
      </c>
      <c r="J374" s="40">
        <f>I374/F374</f>
        <v>348.7761194029851</v>
      </c>
      <c r="K374" s="252">
        <f>+H374/I374</f>
        <v>10.778971242725094</v>
      </c>
      <c r="L374" s="640">
        <v>2567209</v>
      </c>
      <c r="M374" s="41">
        <v>225627</v>
      </c>
      <c r="N374" s="281">
        <f>+L374/M374</f>
        <v>11.378110775749356</v>
      </c>
      <c r="O374" s="99">
        <v>364</v>
      </c>
    </row>
    <row r="375" spans="1:15" s="90" customFormat="1" ht="12" customHeight="1">
      <c r="A375" s="91">
        <v>365</v>
      </c>
      <c r="B375" s="632" t="s">
        <v>328</v>
      </c>
      <c r="C375" s="634">
        <v>40536</v>
      </c>
      <c r="D375" s="635" t="s">
        <v>23</v>
      </c>
      <c r="E375" s="637">
        <v>112</v>
      </c>
      <c r="F375" s="637">
        <v>51</v>
      </c>
      <c r="G375" s="637">
        <v>4</v>
      </c>
      <c r="H375" s="538">
        <v>136869</v>
      </c>
      <c r="I375" s="503">
        <v>12796</v>
      </c>
      <c r="J375" s="389">
        <f>I375/F375</f>
        <v>250.90196078431373</v>
      </c>
      <c r="K375" s="450">
        <f>+H375/I375</f>
        <v>10.696233197874335</v>
      </c>
      <c r="L375" s="248">
        <v>2239732</v>
      </c>
      <c r="M375" s="249">
        <v>191945</v>
      </c>
      <c r="N375" s="641">
        <f>+L375/M375</f>
        <v>11.668613404881606</v>
      </c>
      <c r="O375" s="99">
        <v>365</v>
      </c>
    </row>
    <row r="376" spans="1:15" s="90" customFormat="1" ht="12" customHeight="1">
      <c r="A376" s="91">
        <v>366</v>
      </c>
      <c r="B376" s="632" t="s">
        <v>328</v>
      </c>
      <c r="C376" s="634">
        <v>40536</v>
      </c>
      <c r="D376" s="635" t="s">
        <v>23</v>
      </c>
      <c r="E376" s="637">
        <v>112</v>
      </c>
      <c r="F376" s="637">
        <v>76</v>
      </c>
      <c r="G376" s="637">
        <v>8</v>
      </c>
      <c r="H376" s="538">
        <v>133175</v>
      </c>
      <c r="I376" s="503">
        <v>12385</v>
      </c>
      <c r="J376" s="389">
        <f>I376/F376</f>
        <v>162.96052631578948</v>
      </c>
      <c r="K376" s="450">
        <f>+H376/I376</f>
        <v>10.752926927735164</v>
      </c>
      <c r="L376" s="248">
        <v>2700384</v>
      </c>
      <c r="M376" s="249">
        <v>238012</v>
      </c>
      <c r="N376" s="641">
        <f>+L376/M376</f>
        <v>11.345579214493387</v>
      </c>
      <c r="O376" s="99">
        <v>366</v>
      </c>
    </row>
    <row r="377" spans="1:15" s="90" customFormat="1" ht="12" customHeight="1">
      <c r="A377" s="91">
        <v>367</v>
      </c>
      <c r="B377" s="633" t="s">
        <v>328</v>
      </c>
      <c r="C377" s="250">
        <v>40536</v>
      </c>
      <c r="D377" s="636" t="s">
        <v>23</v>
      </c>
      <c r="E377" s="208">
        <v>112</v>
      </c>
      <c r="F377" s="208">
        <v>16</v>
      </c>
      <c r="G377" s="208">
        <v>6</v>
      </c>
      <c r="H377" s="638">
        <v>40300</v>
      </c>
      <c r="I377" s="531">
        <v>4735</v>
      </c>
      <c r="J377" s="40">
        <f>I377/F377</f>
        <v>295.9375</v>
      </c>
      <c r="K377" s="252">
        <f>+H377/I377</f>
        <v>8.511087645195353</v>
      </c>
      <c r="L377" s="640">
        <v>2315326</v>
      </c>
      <c r="M377" s="41">
        <v>202259</v>
      </c>
      <c r="N377" s="275">
        <f>+L377/M377</f>
        <v>11.447332380759324</v>
      </c>
      <c r="O377" s="99">
        <v>367</v>
      </c>
    </row>
    <row r="378" spans="1:15" s="90" customFormat="1" ht="12" customHeight="1">
      <c r="A378" s="91">
        <v>368</v>
      </c>
      <c r="B378" s="601" t="s">
        <v>328</v>
      </c>
      <c r="C378" s="32">
        <v>40536</v>
      </c>
      <c r="D378" s="636" t="s">
        <v>23</v>
      </c>
      <c r="E378" s="208">
        <v>112</v>
      </c>
      <c r="F378" s="208">
        <v>26</v>
      </c>
      <c r="G378" s="208">
        <v>5</v>
      </c>
      <c r="H378" s="638">
        <v>35294</v>
      </c>
      <c r="I378" s="531">
        <v>5579</v>
      </c>
      <c r="J378" s="40">
        <f>I378/F378</f>
        <v>214.57692307692307</v>
      </c>
      <c r="K378" s="252">
        <f>+H378/I378</f>
        <v>6.3262233375156836</v>
      </c>
      <c r="L378" s="640">
        <v>2275026</v>
      </c>
      <c r="M378" s="41">
        <v>197524</v>
      </c>
      <c r="N378" s="281">
        <f>+L378/M378</f>
        <v>11.51771936574796</v>
      </c>
      <c r="O378" s="99">
        <v>368</v>
      </c>
    </row>
    <row r="379" spans="1:15" s="90" customFormat="1" ht="12" customHeight="1">
      <c r="A379" s="91">
        <v>369</v>
      </c>
      <c r="B379" s="604" t="s">
        <v>328</v>
      </c>
      <c r="C379" s="250">
        <v>40536</v>
      </c>
      <c r="D379" s="195" t="s">
        <v>23</v>
      </c>
      <c r="E379" s="196">
        <v>112</v>
      </c>
      <c r="F379" s="196">
        <v>21</v>
      </c>
      <c r="G379" s="196">
        <v>9</v>
      </c>
      <c r="H379" s="638">
        <v>25605</v>
      </c>
      <c r="I379" s="531">
        <v>2458</v>
      </c>
      <c r="J379" s="40">
        <f>I379/F379</f>
        <v>117.04761904761905</v>
      </c>
      <c r="K379" s="252">
        <f>+H379/I379</f>
        <v>10.417005695687552</v>
      </c>
      <c r="L379" s="640">
        <v>2725989</v>
      </c>
      <c r="M379" s="41">
        <v>240471</v>
      </c>
      <c r="N379" s="281">
        <f>+L379/M379</f>
        <v>11.33604052047856</v>
      </c>
      <c r="O379" s="99">
        <v>369</v>
      </c>
    </row>
    <row r="380" spans="1:15" s="90" customFormat="1" ht="12" customHeight="1">
      <c r="A380" s="91">
        <v>370</v>
      </c>
      <c r="B380" s="604" t="s">
        <v>328</v>
      </c>
      <c r="C380" s="250">
        <v>40536</v>
      </c>
      <c r="D380" s="195" t="s">
        <v>23</v>
      </c>
      <c r="E380" s="196">
        <v>112</v>
      </c>
      <c r="F380" s="196">
        <v>15</v>
      </c>
      <c r="G380" s="196">
        <v>10</v>
      </c>
      <c r="H380" s="530">
        <v>6766</v>
      </c>
      <c r="I380" s="639">
        <v>855</v>
      </c>
      <c r="J380" s="625">
        <f>I380/F380</f>
        <v>57</v>
      </c>
      <c r="K380" s="481">
        <f>+H380/I380</f>
        <v>7.913450292397661</v>
      </c>
      <c r="L380" s="488">
        <v>2732755</v>
      </c>
      <c r="M380" s="592">
        <v>241326</v>
      </c>
      <c r="N380" s="281">
        <f>+L380/M380</f>
        <v>11.323914538839578</v>
      </c>
      <c r="O380" s="99">
        <v>370</v>
      </c>
    </row>
    <row r="381" spans="1:15" s="90" customFormat="1" ht="12" customHeight="1">
      <c r="A381" s="91">
        <v>371</v>
      </c>
      <c r="B381" s="263" t="s">
        <v>328</v>
      </c>
      <c r="C381" s="250">
        <v>40536</v>
      </c>
      <c r="D381" s="636" t="s">
        <v>23</v>
      </c>
      <c r="E381" s="208">
        <v>112</v>
      </c>
      <c r="F381" s="208">
        <v>3</v>
      </c>
      <c r="G381" s="208">
        <v>17</v>
      </c>
      <c r="H381" s="638">
        <v>5237</v>
      </c>
      <c r="I381" s="531">
        <v>1250</v>
      </c>
      <c r="J381" s="40">
        <f>I381/F381</f>
        <v>416.6666666666667</v>
      </c>
      <c r="K381" s="252">
        <f>+H381/I381</f>
        <v>4.1896</v>
      </c>
      <c r="L381" s="640">
        <v>2754565</v>
      </c>
      <c r="M381" s="40">
        <v>246263</v>
      </c>
      <c r="N381" s="281">
        <f>+L381/M381</f>
        <v>11.185460259965971</v>
      </c>
      <c r="O381" s="99">
        <v>371</v>
      </c>
    </row>
    <row r="382" spans="1:15" s="90" customFormat="1" ht="12" customHeight="1">
      <c r="A382" s="91">
        <v>372</v>
      </c>
      <c r="B382" s="633" t="s">
        <v>328</v>
      </c>
      <c r="C382" s="250">
        <v>40536</v>
      </c>
      <c r="D382" s="636" t="s">
        <v>23</v>
      </c>
      <c r="E382" s="208">
        <v>112</v>
      </c>
      <c r="F382" s="208">
        <v>11</v>
      </c>
      <c r="G382" s="208">
        <v>11</v>
      </c>
      <c r="H382" s="638">
        <v>4094</v>
      </c>
      <c r="I382" s="531">
        <v>695</v>
      </c>
      <c r="J382" s="40">
        <f>I382/F382</f>
        <v>63.18181818181818</v>
      </c>
      <c r="K382" s="252">
        <f>+H382/I382</f>
        <v>5.890647482014389</v>
      </c>
      <c r="L382" s="640">
        <v>2736849</v>
      </c>
      <c r="M382" s="41">
        <v>242021</v>
      </c>
      <c r="N382" s="281">
        <f>+L382/M382</f>
        <v>11.30831208862041</v>
      </c>
      <c r="O382" s="99">
        <v>372</v>
      </c>
    </row>
    <row r="383" spans="1:15" s="90" customFormat="1" ht="12" customHeight="1">
      <c r="A383" s="91">
        <v>373</v>
      </c>
      <c r="B383" s="841" t="s">
        <v>328</v>
      </c>
      <c r="C383" s="842">
        <v>40536</v>
      </c>
      <c r="D383" s="843" t="s">
        <v>23</v>
      </c>
      <c r="E383" s="845">
        <v>112</v>
      </c>
      <c r="F383" s="845">
        <v>7</v>
      </c>
      <c r="G383" s="845">
        <v>12</v>
      </c>
      <c r="H383" s="538">
        <v>3805</v>
      </c>
      <c r="I383" s="503">
        <v>818</v>
      </c>
      <c r="J383" s="704">
        <f>I383/F383</f>
        <v>116.85714285714286</v>
      </c>
      <c r="K383" s="706">
        <f>+H383/I383</f>
        <v>4.65158924205379</v>
      </c>
      <c r="L383" s="848">
        <v>2740654</v>
      </c>
      <c r="M383" s="850">
        <v>242839</v>
      </c>
      <c r="N383" s="709">
        <f>+L383/M383</f>
        <v>11.28588900464917</v>
      </c>
      <c r="O383" s="99">
        <v>373</v>
      </c>
    </row>
    <row r="384" spans="1:15" s="90" customFormat="1" ht="12" customHeight="1">
      <c r="A384" s="91">
        <v>374</v>
      </c>
      <c r="B384" s="690" t="s">
        <v>328</v>
      </c>
      <c r="C384" s="695">
        <v>40536</v>
      </c>
      <c r="D384" s="696" t="s">
        <v>23</v>
      </c>
      <c r="E384" s="698">
        <v>112</v>
      </c>
      <c r="F384" s="698">
        <v>4</v>
      </c>
      <c r="G384" s="698">
        <v>16</v>
      </c>
      <c r="H384" s="846">
        <v>2799</v>
      </c>
      <c r="I384" s="847">
        <v>759</v>
      </c>
      <c r="J384" s="463">
        <v>189.75</v>
      </c>
      <c r="K384" s="207">
        <v>3.6877470355731226</v>
      </c>
      <c r="L384" s="849">
        <v>2749328</v>
      </c>
      <c r="M384" s="851">
        <v>245013</v>
      </c>
      <c r="N384" s="708">
        <v>11.221151530735105</v>
      </c>
      <c r="O384" s="99">
        <v>374</v>
      </c>
    </row>
    <row r="385" spans="1:15" s="90" customFormat="1" ht="12" customHeight="1">
      <c r="A385" s="91">
        <v>375</v>
      </c>
      <c r="B385" s="633" t="s">
        <v>328</v>
      </c>
      <c r="C385" s="250">
        <v>40536</v>
      </c>
      <c r="D385" s="636" t="s">
        <v>23</v>
      </c>
      <c r="E385" s="208">
        <v>112</v>
      </c>
      <c r="F385" s="208">
        <v>4</v>
      </c>
      <c r="G385" s="208">
        <v>13</v>
      </c>
      <c r="H385" s="638">
        <v>2777</v>
      </c>
      <c r="I385" s="531">
        <v>596</v>
      </c>
      <c r="J385" s="40">
        <f>I385/F385</f>
        <v>149</v>
      </c>
      <c r="K385" s="252">
        <f>+H385/I385</f>
        <v>4.659395973154362</v>
      </c>
      <c r="L385" s="640">
        <v>2743431</v>
      </c>
      <c r="M385" s="41">
        <v>243435</v>
      </c>
      <c r="N385" s="281">
        <f>+L385/M385</f>
        <v>11.269665413765482</v>
      </c>
      <c r="O385" s="99">
        <v>375</v>
      </c>
    </row>
    <row r="386" spans="1:15" s="90" customFormat="1" ht="12" customHeight="1">
      <c r="A386" s="91">
        <v>376</v>
      </c>
      <c r="B386" s="694" t="s">
        <v>328</v>
      </c>
      <c r="C386" s="475">
        <v>40536</v>
      </c>
      <c r="D386" s="467" t="s">
        <v>23</v>
      </c>
      <c r="E386" s="554">
        <v>112</v>
      </c>
      <c r="F386" s="554">
        <v>1</v>
      </c>
      <c r="G386" s="554">
        <v>23</v>
      </c>
      <c r="H386" s="530">
        <v>2151</v>
      </c>
      <c r="I386" s="639">
        <v>326</v>
      </c>
      <c r="J386" s="280">
        <f>I386/F386</f>
        <v>326</v>
      </c>
      <c r="K386" s="317">
        <f>H386/I386</f>
        <v>6.598159509202454</v>
      </c>
      <c r="L386" s="488">
        <v>2759090</v>
      </c>
      <c r="M386" s="592">
        <v>247200</v>
      </c>
      <c r="N386" s="630">
        <f>+L386/M386</f>
        <v>11.161367313915857</v>
      </c>
      <c r="O386" s="99">
        <v>376</v>
      </c>
    </row>
    <row r="387" spans="1:15" s="90" customFormat="1" ht="12" customHeight="1">
      <c r="A387" s="91">
        <v>377</v>
      </c>
      <c r="B387" s="604" t="s">
        <v>328</v>
      </c>
      <c r="C387" s="250">
        <v>40536</v>
      </c>
      <c r="D387" s="195" t="s">
        <v>23</v>
      </c>
      <c r="E387" s="196">
        <v>112</v>
      </c>
      <c r="F387" s="196">
        <v>3</v>
      </c>
      <c r="G387" s="196">
        <v>14</v>
      </c>
      <c r="H387" s="638">
        <v>1828</v>
      </c>
      <c r="I387" s="531">
        <v>458</v>
      </c>
      <c r="J387" s="40">
        <f>I387/F387</f>
        <v>152.66666666666666</v>
      </c>
      <c r="K387" s="705">
        <f>+H387/I387</f>
        <v>3.9912663755458517</v>
      </c>
      <c r="L387" s="640">
        <v>2745259</v>
      </c>
      <c r="M387" s="41">
        <v>243893</v>
      </c>
      <c r="N387" s="281">
        <f>+L387/M387</f>
        <v>11.255997507103524</v>
      </c>
      <c r="O387" s="99">
        <v>377</v>
      </c>
    </row>
    <row r="388" spans="1:15" s="90" customFormat="1" ht="12" customHeight="1">
      <c r="A388" s="91">
        <v>378</v>
      </c>
      <c r="B388" s="632" t="s">
        <v>328</v>
      </c>
      <c r="C388" s="407">
        <v>40536</v>
      </c>
      <c r="D388" s="635" t="s">
        <v>23</v>
      </c>
      <c r="E388" s="637">
        <v>112</v>
      </c>
      <c r="F388" s="637">
        <v>2</v>
      </c>
      <c r="G388" s="637">
        <v>15</v>
      </c>
      <c r="H388" s="538">
        <v>1270</v>
      </c>
      <c r="I388" s="503">
        <v>361</v>
      </c>
      <c r="J388" s="389">
        <f>I388/F388</f>
        <v>180.5</v>
      </c>
      <c r="K388" s="450">
        <f>+H388/I388</f>
        <v>3.518005540166205</v>
      </c>
      <c r="L388" s="248">
        <v>2746529</v>
      </c>
      <c r="M388" s="249">
        <v>244254</v>
      </c>
      <c r="N388" s="641">
        <f>+L388/M388</f>
        <v>11.244560989789317</v>
      </c>
      <c r="O388" s="99">
        <v>378</v>
      </c>
    </row>
    <row r="389" spans="1:15" s="90" customFormat="1" ht="12" customHeight="1">
      <c r="A389" s="91">
        <v>379</v>
      </c>
      <c r="B389" s="691" t="s">
        <v>328</v>
      </c>
      <c r="C389" s="250">
        <v>40536</v>
      </c>
      <c r="D389" s="636" t="s">
        <v>23</v>
      </c>
      <c r="E389" s="208">
        <v>112</v>
      </c>
      <c r="F389" s="208">
        <v>1</v>
      </c>
      <c r="G389" s="208">
        <v>18</v>
      </c>
      <c r="H389" s="638">
        <v>1205</v>
      </c>
      <c r="I389" s="531">
        <v>385</v>
      </c>
      <c r="J389" s="40">
        <f>I389/F389</f>
        <v>385</v>
      </c>
      <c r="K389" s="252">
        <f>+H389/I389</f>
        <v>3.1298701298701297</v>
      </c>
      <c r="L389" s="640">
        <v>2755770</v>
      </c>
      <c r="M389" s="41">
        <v>246648</v>
      </c>
      <c r="N389" s="281">
        <f>+L389/M389</f>
        <v>11.172886056242094</v>
      </c>
      <c r="O389" s="99">
        <v>379</v>
      </c>
    </row>
    <row r="390" spans="1:15" s="90" customFormat="1" ht="12" customHeight="1">
      <c r="A390" s="91">
        <v>380</v>
      </c>
      <c r="B390" s="694" t="s">
        <v>328</v>
      </c>
      <c r="C390" s="475">
        <v>40536</v>
      </c>
      <c r="D390" s="467" t="s">
        <v>23</v>
      </c>
      <c r="E390" s="554">
        <v>112</v>
      </c>
      <c r="F390" s="554">
        <v>1</v>
      </c>
      <c r="G390" s="554">
        <v>22</v>
      </c>
      <c r="H390" s="701">
        <v>974</v>
      </c>
      <c r="I390" s="702">
        <v>161</v>
      </c>
      <c r="J390" s="94">
        <f>I390/F390</f>
        <v>161</v>
      </c>
      <c r="K390" s="95">
        <f>H390/I390</f>
        <v>6.049689440993789</v>
      </c>
      <c r="L390" s="653">
        <v>2756939</v>
      </c>
      <c r="M390" s="707">
        <v>246874</v>
      </c>
      <c r="N390" s="98">
        <f>+L390/M390</f>
        <v>11.167393083111223</v>
      </c>
      <c r="O390" s="99">
        <v>380</v>
      </c>
    </row>
    <row r="391" spans="1:15" s="90" customFormat="1" ht="12" customHeight="1">
      <c r="A391" s="91">
        <v>381</v>
      </c>
      <c r="B391" s="465" t="s">
        <v>328</v>
      </c>
      <c r="C391" s="113">
        <v>40536</v>
      </c>
      <c r="D391" s="114" t="s">
        <v>23</v>
      </c>
      <c r="E391" s="115">
        <v>112</v>
      </c>
      <c r="F391" s="115">
        <v>1</v>
      </c>
      <c r="G391" s="115">
        <v>22</v>
      </c>
      <c r="H391" s="1149">
        <v>974</v>
      </c>
      <c r="I391" s="702">
        <v>161</v>
      </c>
      <c r="J391" s="94">
        <f>I391/F391</f>
        <v>161</v>
      </c>
      <c r="K391" s="95">
        <f>H391/I391</f>
        <v>6.049689440993789</v>
      </c>
      <c r="L391" s="1150">
        <v>2756939</v>
      </c>
      <c r="M391" s="707">
        <v>246874</v>
      </c>
      <c r="N391" s="98">
        <f>+L391/M391</f>
        <v>11.167393083111223</v>
      </c>
      <c r="O391" s="99">
        <v>381</v>
      </c>
    </row>
    <row r="392" spans="1:15" s="90" customFormat="1" ht="12" customHeight="1">
      <c r="A392" s="91">
        <v>382</v>
      </c>
      <c r="B392" s="465" t="s">
        <v>328</v>
      </c>
      <c r="C392" s="113">
        <v>40536</v>
      </c>
      <c r="D392" s="114" t="s">
        <v>23</v>
      </c>
      <c r="E392" s="119">
        <v>112</v>
      </c>
      <c r="F392" s="119">
        <v>1</v>
      </c>
      <c r="G392" s="1148">
        <v>25</v>
      </c>
      <c r="H392" s="380">
        <v>777</v>
      </c>
      <c r="I392" s="503">
        <v>127</v>
      </c>
      <c r="J392" s="280">
        <f>I392/F392</f>
        <v>127</v>
      </c>
      <c r="K392" s="317">
        <f>H392/I392</f>
        <v>6.118110236220472</v>
      </c>
      <c r="L392" s="242">
        <v>2759867</v>
      </c>
      <c r="M392" s="249">
        <v>247327</v>
      </c>
      <c r="N392" s="98">
        <f>+L392/M392</f>
        <v>11.15877765064065</v>
      </c>
      <c r="O392" s="99">
        <v>382</v>
      </c>
    </row>
    <row r="393" spans="1:15" s="90" customFormat="1" ht="12" customHeight="1">
      <c r="A393" s="91">
        <v>383</v>
      </c>
      <c r="B393" s="192" t="s">
        <v>329</v>
      </c>
      <c r="C393" s="32">
        <v>40319</v>
      </c>
      <c r="D393" s="178" t="s">
        <v>135</v>
      </c>
      <c r="E393" s="181">
        <v>2</v>
      </c>
      <c r="F393" s="181">
        <v>1</v>
      </c>
      <c r="G393" s="181">
        <v>17</v>
      </c>
      <c r="H393" s="339">
        <v>2970</v>
      </c>
      <c r="I393" s="501">
        <v>2755</v>
      </c>
      <c r="J393" s="106">
        <f>(I393/F393)</f>
        <v>2755</v>
      </c>
      <c r="K393" s="487">
        <f>H393/I393</f>
        <v>1.0780399274047188</v>
      </c>
      <c r="L393" s="12">
        <f>4143+1077+726+775+2269+1451+561+189+370+613+538+181+79+246+238+1188+2970</f>
        <v>17614</v>
      </c>
      <c r="M393" s="9">
        <f>330+90+108+118+312+209+62+36+139+104+67+25+11+37+68+297+742</f>
        <v>2755</v>
      </c>
      <c r="N393" s="198">
        <f>L393/M393</f>
        <v>6.393466424682396</v>
      </c>
      <c r="O393" s="99">
        <v>383</v>
      </c>
    </row>
    <row r="394" spans="1:15" s="90" customFormat="1" ht="12" customHeight="1">
      <c r="A394" s="91">
        <v>384</v>
      </c>
      <c r="B394" s="180" t="s">
        <v>329</v>
      </c>
      <c r="C394" s="32">
        <v>40319</v>
      </c>
      <c r="D394" s="30" t="s">
        <v>31</v>
      </c>
      <c r="E394" s="33">
        <v>2</v>
      </c>
      <c r="F394" s="33">
        <v>1</v>
      </c>
      <c r="G394" s="33">
        <v>16</v>
      </c>
      <c r="H394" s="339">
        <v>1188</v>
      </c>
      <c r="I394" s="340">
        <v>297</v>
      </c>
      <c r="J394" s="106">
        <f>(I394/F394)</f>
        <v>297</v>
      </c>
      <c r="K394" s="197">
        <f>H394/I394</f>
        <v>4</v>
      </c>
      <c r="L394" s="12">
        <f>4143+1077+726+775+2269+1451+561+189+370+613+538+181+79+246+238+1188</f>
        <v>14644</v>
      </c>
      <c r="M394" s="13">
        <f>330+90+108+118+312+209+62+36+139+104+67+25+11+37+68+297</f>
        <v>2013</v>
      </c>
      <c r="N394" s="198">
        <f>L394/M394</f>
        <v>7.27471435668157</v>
      </c>
      <c r="O394" s="99">
        <v>384</v>
      </c>
    </row>
    <row r="395" spans="1:15" s="90" customFormat="1" ht="12" customHeight="1">
      <c r="A395" s="91">
        <v>385</v>
      </c>
      <c r="B395" s="177" t="s">
        <v>166</v>
      </c>
      <c r="C395" s="32">
        <v>40529</v>
      </c>
      <c r="D395" s="31" t="s">
        <v>28</v>
      </c>
      <c r="E395" s="33">
        <v>5</v>
      </c>
      <c r="F395" s="33">
        <v>3</v>
      </c>
      <c r="G395" s="33">
        <v>3</v>
      </c>
      <c r="H395" s="526">
        <v>2915</v>
      </c>
      <c r="I395" s="500">
        <v>305</v>
      </c>
      <c r="J395" s="94">
        <f>IF(H395&lt;&gt;0,I395/F395,"")</f>
        <v>101.66666666666667</v>
      </c>
      <c r="K395" s="211">
        <f>IF(H395&lt;&gt;0,H395/I395,"")</f>
        <v>9.557377049180328</v>
      </c>
      <c r="L395" s="28">
        <f>9892.5+4913+2915</f>
        <v>17720.5</v>
      </c>
      <c r="M395" s="38">
        <f>1037+523+305</f>
        <v>1865</v>
      </c>
      <c r="N395" s="276">
        <f>IF(L395&lt;&gt;0,L395/M395,"")</f>
        <v>9.501608579088472</v>
      </c>
      <c r="O395" s="99">
        <v>385</v>
      </c>
    </row>
    <row r="396" spans="1:15" s="90" customFormat="1" ht="12" customHeight="1">
      <c r="A396" s="91">
        <v>386</v>
      </c>
      <c r="B396" s="600" t="s">
        <v>330</v>
      </c>
      <c r="C396" s="425">
        <v>40410</v>
      </c>
      <c r="D396" s="114" t="s">
        <v>31</v>
      </c>
      <c r="E396" s="427">
        <v>100</v>
      </c>
      <c r="F396" s="186">
        <v>1</v>
      </c>
      <c r="G396" s="427">
        <v>19</v>
      </c>
      <c r="H396" s="339">
        <v>1782</v>
      </c>
      <c r="I396" s="340">
        <v>446</v>
      </c>
      <c r="J396" s="94">
        <f>I396/F396</f>
        <v>446</v>
      </c>
      <c r="K396" s="95">
        <f>H396/I396</f>
        <v>3.995515695067265</v>
      </c>
      <c r="L396" s="12">
        <f>4793.5+233907+173006+95171+69286+22212.5+11921.5+10683+6473+5548+3621+5930+360+5346+2138.5+6058.5+4752+950.5+1782+1782</f>
        <v>665722</v>
      </c>
      <c r="M396" s="13">
        <f>312+25267+17706+10642+10638+3791+2335+2134+1501+1673+635+1434+72+1336+534+1515+1188+238+445+446</f>
        <v>83842</v>
      </c>
      <c r="N396" s="98">
        <f>+L396/M396</f>
        <v>7.940197037284416</v>
      </c>
      <c r="O396" s="99">
        <v>386</v>
      </c>
    </row>
    <row r="397" spans="1:15" s="90" customFormat="1" ht="12" customHeight="1">
      <c r="A397" s="91">
        <v>387</v>
      </c>
      <c r="B397" s="177" t="s">
        <v>330</v>
      </c>
      <c r="C397" s="32">
        <v>40410</v>
      </c>
      <c r="D397" s="178" t="s">
        <v>31</v>
      </c>
      <c r="E397" s="33">
        <v>100</v>
      </c>
      <c r="F397" s="33">
        <v>1</v>
      </c>
      <c r="G397" s="33">
        <v>18</v>
      </c>
      <c r="H397" s="339">
        <v>1782</v>
      </c>
      <c r="I397" s="340">
        <v>445</v>
      </c>
      <c r="J397" s="106">
        <f>(I397/F397)</f>
        <v>445</v>
      </c>
      <c r="K397" s="197">
        <f>H397/I397</f>
        <v>4.004494382022472</v>
      </c>
      <c r="L397" s="12">
        <f>4793.5+233907+173006+95171+69286+22212.5+11921.5+10683+6473+5548+3621+5930+360+5346+2138.5+6058.5+4752+950.5+1782</f>
        <v>663940</v>
      </c>
      <c r="M397" s="13">
        <f>312+25267+17706+10642+10638+3791+2335+2134+1501+1673+635+1434+72+1336+534+1515+1188+238+445</f>
        <v>83396</v>
      </c>
      <c r="N397" s="198">
        <f>L397/M397</f>
        <v>7.9612931075830975</v>
      </c>
      <c r="O397" s="99">
        <v>387</v>
      </c>
    </row>
    <row r="398" spans="1:15" s="90" customFormat="1" ht="12" customHeight="1">
      <c r="A398" s="91">
        <v>388</v>
      </c>
      <c r="B398" s="180" t="s">
        <v>330</v>
      </c>
      <c r="C398" s="32">
        <v>40410</v>
      </c>
      <c r="D398" s="178" t="s">
        <v>31</v>
      </c>
      <c r="E398" s="33">
        <v>100</v>
      </c>
      <c r="F398" s="33">
        <v>1</v>
      </c>
      <c r="G398" s="33">
        <v>17</v>
      </c>
      <c r="H398" s="504">
        <v>950.5</v>
      </c>
      <c r="I398" s="501">
        <v>238</v>
      </c>
      <c r="J398" s="106">
        <f>(I398/F398)</f>
        <v>238</v>
      </c>
      <c r="K398" s="197">
        <f>H398/I398</f>
        <v>3.9936974789915967</v>
      </c>
      <c r="L398" s="43">
        <f>4793.5+233907+173006+95171+69286+22212.5+11921.5+10683+6473+5548+3621+5930+360+5346+2138.5+6058.5+4752+950.5</f>
        <v>662158</v>
      </c>
      <c r="M398" s="9">
        <f>312+25267+17706+10642+10638+3791+2335+2134+1501+1673+635+1434+72+1336+534+1515+1188+238</f>
        <v>82951</v>
      </c>
      <c r="N398" s="198">
        <f>L398/M398</f>
        <v>7.9825198008462825</v>
      </c>
      <c r="O398" s="99">
        <v>388</v>
      </c>
    </row>
    <row r="399" spans="1:15" s="90" customFormat="1" ht="12" customHeight="1">
      <c r="A399" s="91">
        <v>389</v>
      </c>
      <c r="B399" s="192" t="s">
        <v>331</v>
      </c>
      <c r="C399" s="32">
        <v>40039</v>
      </c>
      <c r="D399" s="178" t="s">
        <v>31</v>
      </c>
      <c r="E399" s="181">
        <v>8</v>
      </c>
      <c r="F399" s="181">
        <v>1</v>
      </c>
      <c r="G399" s="181">
        <v>11</v>
      </c>
      <c r="H399" s="504">
        <v>952</v>
      </c>
      <c r="I399" s="501">
        <v>238</v>
      </c>
      <c r="J399" s="106">
        <f>(I399/F399)</f>
        <v>238</v>
      </c>
      <c r="K399" s="197">
        <f>H399/I399</f>
        <v>4</v>
      </c>
      <c r="L399" s="43">
        <f>29121.25+9335.5+10783.5+6805.5+6780.5+3746+1541.5+84+273+1188+952</f>
        <v>70610.75</v>
      </c>
      <c r="M399" s="9">
        <f>2428+976+1509+1029+1087+466+273+24+62+297+238</f>
        <v>8389</v>
      </c>
      <c r="N399" s="198">
        <f>L399/M399</f>
        <v>8.417064012397187</v>
      </c>
      <c r="O399" s="99">
        <v>389</v>
      </c>
    </row>
    <row r="400" spans="1:15" s="90" customFormat="1" ht="12" customHeight="1">
      <c r="A400" s="91">
        <v>390</v>
      </c>
      <c r="B400" s="716" t="s">
        <v>140</v>
      </c>
      <c r="C400" s="32">
        <v>40522</v>
      </c>
      <c r="D400" s="178" t="s">
        <v>31</v>
      </c>
      <c r="E400" s="33">
        <v>127</v>
      </c>
      <c r="F400" s="33">
        <v>65</v>
      </c>
      <c r="G400" s="33">
        <v>4</v>
      </c>
      <c r="H400" s="510">
        <v>70165.5</v>
      </c>
      <c r="I400" s="501">
        <v>8841</v>
      </c>
      <c r="J400" s="106">
        <f>(I400/F400)</f>
        <v>136.01538461538462</v>
      </c>
      <c r="K400" s="266">
        <f>H400/I400</f>
        <v>7.9363759755683745</v>
      </c>
      <c r="L400" s="391">
        <f>1048675+809166.5+457718.5+70165.5</f>
        <v>2385725.5</v>
      </c>
      <c r="M400" s="9">
        <f>92481+73795+43350+8841</f>
        <v>218467</v>
      </c>
      <c r="N400" s="198">
        <f>L400/M400</f>
        <v>10.92030146429438</v>
      </c>
      <c r="O400" s="99">
        <v>390</v>
      </c>
    </row>
    <row r="401" spans="1:15" s="90" customFormat="1" ht="12" customHeight="1">
      <c r="A401" s="91">
        <v>391</v>
      </c>
      <c r="B401" s="491" t="s">
        <v>140</v>
      </c>
      <c r="C401" s="433">
        <v>40522</v>
      </c>
      <c r="D401" s="195" t="s">
        <v>31</v>
      </c>
      <c r="E401" s="199">
        <v>127</v>
      </c>
      <c r="F401" s="199">
        <v>11</v>
      </c>
      <c r="G401" s="199">
        <v>6</v>
      </c>
      <c r="H401" s="506">
        <v>12164</v>
      </c>
      <c r="I401" s="512">
        <v>2869</v>
      </c>
      <c r="J401" s="434">
        <f>(I401/F401)</f>
        <v>260.8181818181818</v>
      </c>
      <c r="K401" s="435">
        <f>H401/I401</f>
        <v>4.239804810038341</v>
      </c>
      <c r="L401" s="189">
        <f>1048675+809166.5+457718.5+70165.5+7102+12164</f>
        <v>2404991.5</v>
      </c>
      <c r="M401" s="190">
        <f>92481+73795+43350+8841+1153+2869</f>
        <v>222489</v>
      </c>
      <c r="N401" s="486">
        <f>L401/M401</f>
        <v>10.809484963301557</v>
      </c>
      <c r="O401" s="99">
        <v>391</v>
      </c>
    </row>
    <row r="402" spans="1:15" s="90" customFormat="1" ht="12" customHeight="1">
      <c r="A402" s="91">
        <v>392</v>
      </c>
      <c r="B402" s="491" t="s">
        <v>140</v>
      </c>
      <c r="C402" s="250">
        <v>40522</v>
      </c>
      <c r="D402" s="195" t="s">
        <v>31</v>
      </c>
      <c r="E402" s="208">
        <v>127</v>
      </c>
      <c r="F402" s="208">
        <v>8</v>
      </c>
      <c r="G402" s="208">
        <v>8</v>
      </c>
      <c r="H402" s="339">
        <v>11777.5</v>
      </c>
      <c r="I402" s="340">
        <v>2831</v>
      </c>
      <c r="J402" s="106">
        <f>(I402/F402)</f>
        <v>353.875</v>
      </c>
      <c r="K402" s="197">
        <f>H402/I402</f>
        <v>4.160190745319675</v>
      </c>
      <c r="L402" s="12">
        <f>1048675+809166.5+457718.5+70165.5+7102+12164+8619.5+11777.5</f>
        <v>2425388.5</v>
      </c>
      <c r="M402" s="13">
        <f>92481+73795+43350+8841+1153+2869+1615+2831</f>
        <v>226935</v>
      </c>
      <c r="N402" s="198">
        <f>L402/M402</f>
        <v>10.68759116046445</v>
      </c>
      <c r="O402" s="99">
        <v>392</v>
      </c>
    </row>
    <row r="403" spans="1:15" s="90" customFormat="1" ht="12" customHeight="1">
      <c r="A403" s="91">
        <v>393</v>
      </c>
      <c r="B403" s="194" t="s">
        <v>140</v>
      </c>
      <c r="C403" s="250">
        <v>40522</v>
      </c>
      <c r="D403" s="195" t="s">
        <v>31</v>
      </c>
      <c r="E403" s="196">
        <v>127</v>
      </c>
      <c r="F403" s="196">
        <v>10</v>
      </c>
      <c r="G403" s="196">
        <v>11</v>
      </c>
      <c r="H403" s="339">
        <v>10420.5</v>
      </c>
      <c r="I403" s="340">
        <v>2477</v>
      </c>
      <c r="J403" s="106">
        <f>(I403/F403)</f>
        <v>247.7</v>
      </c>
      <c r="K403" s="197">
        <f>H403/I403</f>
        <v>4.206903512313282</v>
      </c>
      <c r="L403" s="12">
        <f>1048675+809166.5+457718.5+70165.5+7102+12164+8619.5+11777.5+6559.5+3338.5+10420.5</f>
        <v>2445707</v>
      </c>
      <c r="M403" s="13">
        <f>92481+73795+43350+8841+1153+2869+1615+2831+1620+630+2477</f>
        <v>231662</v>
      </c>
      <c r="N403" s="198">
        <f>L403/M403</f>
        <v>10.557221296544103</v>
      </c>
      <c r="O403" s="99">
        <v>393</v>
      </c>
    </row>
    <row r="404" spans="1:15" s="90" customFormat="1" ht="12" customHeight="1">
      <c r="A404" s="91">
        <v>394</v>
      </c>
      <c r="B404" s="541" t="s">
        <v>140</v>
      </c>
      <c r="C404" s="250">
        <v>40522</v>
      </c>
      <c r="D404" s="195" t="s">
        <v>31</v>
      </c>
      <c r="E404" s="208">
        <v>127</v>
      </c>
      <c r="F404" s="208">
        <v>10</v>
      </c>
      <c r="G404" s="208">
        <v>7</v>
      </c>
      <c r="H404" s="339">
        <v>8619.5</v>
      </c>
      <c r="I404" s="340">
        <v>1615</v>
      </c>
      <c r="J404" s="106">
        <f>(I404/F404)</f>
        <v>161.5</v>
      </c>
      <c r="K404" s="197">
        <f>H404/I404</f>
        <v>5.337151702786378</v>
      </c>
      <c r="L404" s="12">
        <f>1048675+809166.5+457718.5+70165.5+7102+12164+8619.5</f>
        <v>2413611</v>
      </c>
      <c r="M404" s="13">
        <f>92481+73795+43350+8841+1153+2869+1615</f>
        <v>224104</v>
      </c>
      <c r="N404" s="198">
        <f>L404/M404</f>
        <v>10.770048727376576</v>
      </c>
      <c r="O404" s="99">
        <v>394</v>
      </c>
    </row>
    <row r="405" spans="1:15" s="90" customFormat="1" ht="12" customHeight="1">
      <c r="A405" s="91">
        <v>395</v>
      </c>
      <c r="B405" s="491" t="s">
        <v>140</v>
      </c>
      <c r="C405" s="250">
        <v>40522</v>
      </c>
      <c r="D405" s="195" t="s">
        <v>31</v>
      </c>
      <c r="E405" s="208">
        <v>127</v>
      </c>
      <c r="F405" s="208">
        <v>10</v>
      </c>
      <c r="G405" s="208">
        <v>5</v>
      </c>
      <c r="H405" s="504">
        <v>7102</v>
      </c>
      <c r="I405" s="501">
        <v>1153</v>
      </c>
      <c r="J405" s="106">
        <f>(I405/F405)</f>
        <v>115.3</v>
      </c>
      <c r="K405" s="197">
        <f>H405/I405</f>
        <v>6.159583694709454</v>
      </c>
      <c r="L405" s="43">
        <f>1048675+809166.5+457718.5+70165.5+7102</f>
        <v>2392827.5</v>
      </c>
      <c r="M405" s="9">
        <f>92481+73795+43350+8841+1153</f>
        <v>219620</v>
      </c>
      <c r="N405" s="198">
        <f>L405/M405</f>
        <v>10.8953078043894</v>
      </c>
      <c r="O405" s="99">
        <v>395</v>
      </c>
    </row>
    <row r="406" spans="1:15" s="90" customFormat="1" ht="12" customHeight="1">
      <c r="A406" s="91">
        <v>396</v>
      </c>
      <c r="B406" s="194" t="s">
        <v>140</v>
      </c>
      <c r="C406" s="250">
        <v>40522</v>
      </c>
      <c r="D406" s="195" t="s">
        <v>31</v>
      </c>
      <c r="E406" s="196">
        <v>127</v>
      </c>
      <c r="F406" s="196">
        <v>5</v>
      </c>
      <c r="G406" s="196">
        <v>9</v>
      </c>
      <c r="H406" s="504">
        <v>6559.5</v>
      </c>
      <c r="I406" s="501">
        <v>1620</v>
      </c>
      <c r="J406" s="106">
        <f>(I406/F406)</f>
        <v>324</v>
      </c>
      <c r="K406" s="197">
        <f>H406/I406</f>
        <v>4.049074074074074</v>
      </c>
      <c r="L406" s="43">
        <f>1048675+809166.5+457718.5+70165.5+7102+12164+8619.5+11777.5+6559.5</f>
        <v>2431948</v>
      </c>
      <c r="M406" s="9">
        <f>92481+73795+43350+8841+1153+2869+1615+2831+1620</f>
        <v>228555</v>
      </c>
      <c r="N406" s="198">
        <f>L406/M406</f>
        <v>10.640537288617619</v>
      </c>
      <c r="O406" s="99">
        <v>396</v>
      </c>
    </row>
    <row r="407" spans="1:15" s="90" customFormat="1" ht="12" customHeight="1">
      <c r="A407" s="91">
        <v>397</v>
      </c>
      <c r="B407" s="840" t="s">
        <v>140</v>
      </c>
      <c r="C407" s="542">
        <v>40522</v>
      </c>
      <c r="D407" s="467" t="s">
        <v>31</v>
      </c>
      <c r="E407" s="543">
        <v>127</v>
      </c>
      <c r="F407" s="199">
        <v>4</v>
      </c>
      <c r="G407" s="938">
        <v>20</v>
      </c>
      <c r="H407" s="339">
        <v>5583.5</v>
      </c>
      <c r="I407" s="340">
        <v>1394</v>
      </c>
      <c r="J407" s="94">
        <f>I407/F407</f>
        <v>348.5</v>
      </c>
      <c r="K407" s="95">
        <f>H407/I407</f>
        <v>4.005380200860833</v>
      </c>
      <c r="L407" s="12">
        <f>1048675+809166.5+457718.5+70165.5+7102+12164+8619.5+11777.5+6559.5+3338.5+10420.5+3303+3205+2076+1722.5+314+264+550+5455+5583.5</f>
        <v>2468180</v>
      </c>
      <c r="M407" s="13">
        <f>92481+73795+43350+8841+1153+2869+1615+2831+1620+630+2477+726+513+481+318+38+33+104+1359+1394</f>
        <v>236628</v>
      </c>
      <c r="N407" s="98">
        <f>+L407/M407</f>
        <v>10.430633737343003</v>
      </c>
      <c r="O407" s="99">
        <v>397</v>
      </c>
    </row>
    <row r="408" spans="1:15" s="90" customFormat="1" ht="12" customHeight="1">
      <c r="A408" s="91">
        <v>398</v>
      </c>
      <c r="B408" s="491" t="s">
        <v>140</v>
      </c>
      <c r="C408" s="250">
        <v>40522</v>
      </c>
      <c r="D408" s="264" t="s">
        <v>31</v>
      </c>
      <c r="E408" s="208">
        <v>127</v>
      </c>
      <c r="F408" s="208">
        <v>4</v>
      </c>
      <c r="G408" s="208">
        <v>19</v>
      </c>
      <c r="H408" s="504">
        <v>5455</v>
      </c>
      <c r="I408" s="501">
        <v>1359</v>
      </c>
      <c r="J408" s="106">
        <f>(I408/F408)</f>
        <v>339.75</v>
      </c>
      <c r="K408" s="197">
        <f>H408/I408</f>
        <v>4.013980868285504</v>
      </c>
      <c r="L408" s="43">
        <f>1048675+809166.5+457718.5+70165.5+7102+12164+8619.5+11777.5+6559.5+3338.5+10420.5+3303+3205+2076+1722.5+314+264+550+5455</f>
        <v>2462596.5</v>
      </c>
      <c r="M408" s="9">
        <f>92481+73795+43350+8841+1153+2869+1615+2831+1620+630+2477+726+513+481+318+38+33+104+1359</f>
        <v>235234</v>
      </c>
      <c r="N408" s="198">
        <f>L408/M408</f>
        <v>10.468709880374435</v>
      </c>
      <c r="O408" s="99">
        <v>398</v>
      </c>
    </row>
    <row r="409" spans="1:15" s="90" customFormat="1" ht="12" customHeight="1">
      <c r="A409" s="91">
        <v>399</v>
      </c>
      <c r="B409" s="492" t="s">
        <v>140</v>
      </c>
      <c r="C409" s="433">
        <v>40522</v>
      </c>
      <c r="D409" s="195" t="s">
        <v>31</v>
      </c>
      <c r="E409" s="199">
        <v>127</v>
      </c>
      <c r="F409" s="199">
        <v>5</v>
      </c>
      <c r="G409" s="199">
        <v>10</v>
      </c>
      <c r="H409" s="940">
        <v>3338.5</v>
      </c>
      <c r="I409" s="505">
        <v>630</v>
      </c>
      <c r="J409" s="434">
        <f>(I409/F409)</f>
        <v>126</v>
      </c>
      <c r="K409" s="435">
        <f>H409/I409</f>
        <v>5.299206349206349</v>
      </c>
      <c r="L409" s="943">
        <f>1048675+809166.5+457718.5+70165.5+7102+12164+8619.5+11777.5+6559.5+3338.5</f>
        <v>2435286.5</v>
      </c>
      <c r="M409" s="388">
        <f>92481+73795+43350+8841+1153+2869+1615+2831+1620+630</f>
        <v>229185</v>
      </c>
      <c r="N409" s="486">
        <f>L409/M409</f>
        <v>10.625854658900016</v>
      </c>
      <c r="O409" s="99">
        <v>399</v>
      </c>
    </row>
    <row r="410" spans="1:15" s="90" customFormat="1" ht="12" customHeight="1">
      <c r="A410" s="91">
        <v>400</v>
      </c>
      <c r="B410" s="194" t="s">
        <v>140</v>
      </c>
      <c r="C410" s="250">
        <v>40522</v>
      </c>
      <c r="D410" s="195" t="s">
        <v>31</v>
      </c>
      <c r="E410" s="196">
        <v>127</v>
      </c>
      <c r="F410" s="196">
        <v>6</v>
      </c>
      <c r="G410" s="196">
        <v>12</v>
      </c>
      <c r="H410" s="509">
        <v>3303</v>
      </c>
      <c r="I410" s="523">
        <v>726</v>
      </c>
      <c r="J410" s="390">
        <f>(I410/F410)</f>
        <v>121</v>
      </c>
      <c r="K410" s="266">
        <f>H410/I410</f>
        <v>4.549586776859504</v>
      </c>
      <c r="L410" s="26">
        <f>1048675+809166.5+457718.5+70165.5+7102+12164+8619.5+11777.5+6559.5+3338.5+10420.5+3303</f>
        <v>2449010</v>
      </c>
      <c r="M410" s="27">
        <f>92481+73795+43350+8841+1153+2869+1615+2831+1620+630+2477+726</f>
        <v>232388</v>
      </c>
      <c r="N410" s="198">
        <f>L410/M410</f>
        <v>10.538452932165171</v>
      </c>
      <c r="O410" s="99">
        <v>400</v>
      </c>
    </row>
    <row r="411" spans="1:15" s="90" customFormat="1" ht="12" customHeight="1">
      <c r="A411" s="91">
        <v>401</v>
      </c>
      <c r="B411" s="262" t="s">
        <v>140</v>
      </c>
      <c r="C411" s="32">
        <v>40522</v>
      </c>
      <c r="D411" s="30" t="s">
        <v>31</v>
      </c>
      <c r="E411" s="33">
        <v>127</v>
      </c>
      <c r="F411" s="33">
        <v>5</v>
      </c>
      <c r="G411" s="33">
        <v>13</v>
      </c>
      <c r="H411" s="504">
        <v>3205</v>
      </c>
      <c r="I411" s="501">
        <v>513</v>
      </c>
      <c r="J411" s="106">
        <f>(I411/F411)</f>
        <v>102.6</v>
      </c>
      <c r="K411" s="197">
        <f>H411/I411</f>
        <v>6.247563352826511</v>
      </c>
      <c r="L411" s="43">
        <f>1048675+809166.5+457718.5+70165.5+7102+12164+8619.5+11777.5+6559.5+3338.5+10420.5+3303+3205</f>
        <v>2452215</v>
      </c>
      <c r="M411" s="9">
        <f>92481+73795+43350+8841+1153+2869+1615+2831+1620+630+2477+726+513</f>
        <v>232901</v>
      </c>
      <c r="N411" s="176">
        <f>L411/M411</f>
        <v>10.529001592951511</v>
      </c>
      <c r="O411" s="99">
        <v>401</v>
      </c>
    </row>
    <row r="412" spans="1:15" s="90" customFormat="1" ht="12" customHeight="1">
      <c r="A412" s="91">
        <v>402</v>
      </c>
      <c r="B412" s="491" t="s">
        <v>140</v>
      </c>
      <c r="C412" s="250">
        <v>40522</v>
      </c>
      <c r="D412" s="264" t="s">
        <v>31</v>
      </c>
      <c r="E412" s="208">
        <v>127</v>
      </c>
      <c r="F412" s="208">
        <v>2</v>
      </c>
      <c r="G412" s="208">
        <v>14</v>
      </c>
      <c r="H412" s="339">
        <v>2076</v>
      </c>
      <c r="I412" s="340">
        <v>481</v>
      </c>
      <c r="J412" s="106">
        <f>(I412/F412)</f>
        <v>240.5</v>
      </c>
      <c r="K412" s="197">
        <f>H412/I412</f>
        <v>4.316008316008316</v>
      </c>
      <c r="L412" s="12">
        <f>1048675+809166.5+457718.5+70165.5+7102+12164+8619.5+11777.5+6559.5+3338.5+10420.5+3303+3205+2076</f>
        <v>2454291</v>
      </c>
      <c r="M412" s="13">
        <f>92481+73795+43350+8841+1153+2869+1615+2831+1620+630+2477+726+513+481</f>
        <v>233382</v>
      </c>
      <c r="N412" s="198">
        <f>L412/M412</f>
        <v>10.516196621847444</v>
      </c>
      <c r="O412" s="99">
        <v>402</v>
      </c>
    </row>
    <row r="413" spans="1:15" s="90" customFormat="1" ht="12" customHeight="1">
      <c r="A413" s="91">
        <v>403</v>
      </c>
      <c r="B413" s="840" t="s">
        <v>140</v>
      </c>
      <c r="C413" s="542">
        <v>40522</v>
      </c>
      <c r="D413" s="844" t="s">
        <v>135</v>
      </c>
      <c r="E413" s="543">
        <v>127</v>
      </c>
      <c r="F413" s="199">
        <v>2</v>
      </c>
      <c r="G413" s="543">
        <v>21</v>
      </c>
      <c r="H413" s="339">
        <v>1818.5</v>
      </c>
      <c r="I413" s="340">
        <v>447</v>
      </c>
      <c r="J413" s="94">
        <f>I413/F413</f>
        <v>223.5</v>
      </c>
      <c r="K413" s="95">
        <f>H413/I413</f>
        <v>4.068232662192393</v>
      </c>
      <c r="L413" s="12">
        <f>1048675+809166.5+457718.5+70165.5+7102+12164+8619.5+11777.5+6559.5+3338.5+10420.5+3303+3205+2076+1722.5+314+264+550+5455+5583.5+1818.5</f>
        <v>2469998.5</v>
      </c>
      <c r="M413" s="13">
        <f>92481+73795+43350+8841+1153+2869+1615+2831+1620+630+2477+726+513+481+318+38+33+104+1359+1394+447</f>
        <v>237075</v>
      </c>
      <c r="N413" s="98">
        <f>+L413/M413</f>
        <v>10.418637561952968</v>
      </c>
      <c r="O413" s="99">
        <v>403</v>
      </c>
    </row>
    <row r="414" spans="1:15" s="90" customFormat="1" ht="12" customHeight="1">
      <c r="A414" s="91">
        <v>404</v>
      </c>
      <c r="B414" s="491" t="s">
        <v>140</v>
      </c>
      <c r="C414" s="32">
        <v>40522</v>
      </c>
      <c r="D414" s="30" t="s">
        <v>31</v>
      </c>
      <c r="E414" s="208">
        <v>127</v>
      </c>
      <c r="F414" s="208">
        <v>2</v>
      </c>
      <c r="G414" s="208">
        <v>15</v>
      </c>
      <c r="H414" s="504">
        <v>1722.5</v>
      </c>
      <c r="I414" s="501">
        <v>318</v>
      </c>
      <c r="J414" s="106">
        <f>(I414/F414)</f>
        <v>159</v>
      </c>
      <c r="K414" s="197">
        <f>H414/I414</f>
        <v>5.416666666666667</v>
      </c>
      <c r="L414" s="43">
        <f>1048675+809166.5+457718.5+70165.5+7102+12164+8619.5+11777.5+6559.5+3338.5+10420.5+3303+3205+2076+1722.5</f>
        <v>2456013.5</v>
      </c>
      <c r="M414" s="9">
        <f>92481+73795+43350+8841+1153+2869+1615+2831+1620+630+2477+726+513+481+318</f>
        <v>233700</v>
      </c>
      <c r="N414" s="198">
        <f>L414/M414</f>
        <v>10.509257595207531</v>
      </c>
      <c r="O414" s="99">
        <v>404</v>
      </c>
    </row>
    <row r="415" spans="1:15" s="90" customFormat="1" ht="12" customHeight="1">
      <c r="A415" s="91">
        <v>405</v>
      </c>
      <c r="B415" s="491" t="s">
        <v>140</v>
      </c>
      <c r="C415" s="250">
        <v>40522</v>
      </c>
      <c r="D415" s="264" t="s">
        <v>31</v>
      </c>
      <c r="E415" s="208">
        <v>127</v>
      </c>
      <c r="F415" s="33">
        <v>1</v>
      </c>
      <c r="G415" s="33">
        <v>18</v>
      </c>
      <c r="H415" s="339">
        <v>550</v>
      </c>
      <c r="I415" s="340">
        <v>104</v>
      </c>
      <c r="J415" s="106">
        <f>(I415/F415)</f>
        <v>104</v>
      </c>
      <c r="K415" s="197">
        <f>H415/I415</f>
        <v>5.288461538461538</v>
      </c>
      <c r="L415" s="12">
        <f>1048675+809166.5+457718.5+70165.5+7102+12164+8619.5+11777.5+6559.5+3338.5+10420.5+3303+3205+2076+1722.5+314+264+550</f>
        <v>2457141.5</v>
      </c>
      <c r="M415" s="13">
        <f>92481+73795+43350+8841+1153+2869+1615+2831+1620+630+2477+726+513+481+318+38+33+104</f>
        <v>233875</v>
      </c>
      <c r="N415" s="198">
        <f>L415/M415</f>
        <v>10.506216996258685</v>
      </c>
      <c r="O415" s="99">
        <v>405</v>
      </c>
    </row>
    <row r="416" spans="1:15" s="90" customFormat="1" ht="12" customHeight="1">
      <c r="A416" s="91">
        <v>406</v>
      </c>
      <c r="B416" s="194" t="s">
        <v>140</v>
      </c>
      <c r="C416" s="250">
        <v>40522</v>
      </c>
      <c r="D416" s="195" t="s">
        <v>135</v>
      </c>
      <c r="E416" s="196">
        <v>127</v>
      </c>
      <c r="F416" s="181">
        <v>1</v>
      </c>
      <c r="G416" s="181">
        <v>16</v>
      </c>
      <c r="H416" s="339">
        <v>314</v>
      </c>
      <c r="I416" s="340">
        <v>38</v>
      </c>
      <c r="J416" s="106">
        <f>(I416/F416)</f>
        <v>38</v>
      </c>
      <c r="K416" s="487">
        <f>H416/I416</f>
        <v>8.263157894736842</v>
      </c>
      <c r="L416" s="12">
        <f>1048675+809166.5+457718.5+70165.5+7102+12164+8619.5+11777.5+6559.5+3338.5+10420.5+3303+3205+2076+1722.5+314</f>
        <v>2456327.5</v>
      </c>
      <c r="M416" s="13">
        <f>92481+73795+43350+8841+1153+2869+1615+2831+1620+630+2477+726+513+481+318+38</f>
        <v>233738</v>
      </c>
      <c r="N416" s="198">
        <f>L416/M416</f>
        <v>10.508892435119664</v>
      </c>
      <c r="O416" s="99">
        <v>406</v>
      </c>
    </row>
    <row r="417" spans="1:15" s="90" customFormat="1" ht="12" customHeight="1">
      <c r="A417" s="91">
        <v>407</v>
      </c>
      <c r="B417" s="466" t="s">
        <v>140</v>
      </c>
      <c r="C417" s="185">
        <v>40522</v>
      </c>
      <c r="D417" s="490" t="s">
        <v>31</v>
      </c>
      <c r="E417" s="186">
        <v>127</v>
      </c>
      <c r="F417" s="186">
        <v>1</v>
      </c>
      <c r="G417" s="186">
        <v>17</v>
      </c>
      <c r="H417" s="506">
        <v>264</v>
      </c>
      <c r="I417" s="512">
        <v>33</v>
      </c>
      <c r="J417" s="434">
        <f>(I417/F417)</f>
        <v>33</v>
      </c>
      <c r="K417" s="435">
        <f>H417/I417</f>
        <v>8</v>
      </c>
      <c r="L417" s="189">
        <f>1048675+809166.5+457718.5+70165.5+7102+12164+8619.5+11777.5+6559.5+3338.5+10420.5+3303+3205+2076+1722.5+314+264</f>
        <v>2456591.5</v>
      </c>
      <c r="M417" s="190">
        <f>92481+73795+43350+8841+1153+2869+1615+2831+1620+630+2477+726+513+481+318+38+33</f>
        <v>233771</v>
      </c>
      <c r="N417" s="486">
        <f>L417/M417</f>
        <v>10.5085382703586</v>
      </c>
      <c r="O417" s="99">
        <v>407</v>
      </c>
    </row>
    <row r="418" spans="1:15" s="90" customFormat="1" ht="12" customHeight="1">
      <c r="A418" s="91">
        <v>408</v>
      </c>
      <c r="B418" s="414" t="s">
        <v>449</v>
      </c>
      <c r="C418" s="415">
        <v>40438</v>
      </c>
      <c r="D418" s="467" t="s">
        <v>31</v>
      </c>
      <c r="E418" s="726">
        <v>19</v>
      </c>
      <c r="F418" s="726">
        <v>1</v>
      </c>
      <c r="G418" s="858">
        <v>15</v>
      </c>
      <c r="H418" s="339">
        <v>140</v>
      </c>
      <c r="I418" s="340">
        <v>14</v>
      </c>
      <c r="J418" s="94">
        <f>I418/F418</f>
        <v>14</v>
      </c>
      <c r="K418" s="95">
        <f>H418/I418</f>
        <v>10</v>
      </c>
      <c r="L418" s="12">
        <f>56752.5+38871+22868.5+4839+2786+2829.5+8012+670+1368+140+42+628+1188+1425.5+140</f>
        <v>142560</v>
      </c>
      <c r="M418" s="13">
        <f>4639+3072+2103+531+316+368+936+83+203+20+6+98+297+356+14</f>
        <v>13042</v>
      </c>
      <c r="N418" s="101">
        <f>L418/M418</f>
        <v>10.930838828400551</v>
      </c>
      <c r="O418" s="99">
        <v>408</v>
      </c>
    </row>
    <row r="419" spans="1:15" s="90" customFormat="1" ht="12" customHeight="1">
      <c r="A419" s="91">
        <v>409</v>
      </c>
      <c r="B419" s="180" t="s">
        <v>332</v>
      </c>
      <c r="C419" s="32">
        <v>40151</v>
      </c>
      <c r="D419" s="264" t="s">
        <v>31</v>
      </c>
      <c r="E419" s="33">
        <v>2</v>
      </c>
      <c r="F419" s="33">
        <v>1</v>
      </c>
      <c r="G419" s="33">
        <v>10</v>
      </c>
      <c r="H419" s="339">
        <v>2138.5</v>
      </c>
      <c r="I419" s="340">
        <v>534</v>
      </c>
      <c r="J419" s="106">
        <f>(I419/F419)</f>
        <v>534</v>
      </c>
      <c r="K419" s="197">
        <f>H419/I419</f>
        <v>4.004681647940075</v>
      </c>
      <c r="L419" s="12">
        <f>14952+6112+2196+2975+2853+674+1006+530+2139+2138.5</f>
        <v>35575.5</v>
      </c>
      <c r="M419" s="13">
        <f>1468+666+254+478+502+81+130+107+535+534</f>
        <v>4755</v>
      </c>
      <c r="N419" s="198">
        <f>L419/M419</f>
        <v>7.481703470031546</v>
      </c>
      <c r="O419" s="99">
        <v>409</v>
      </c>
    </row>
    <row r="420" spans="1:15" s="90" customFormat="1" ht="12" customHeight="1">
      <c r="A420" s="91">
        <v>410</v>
      </c>
      <c r="B420" s="432" t="s">
        <v>333</v>
      </c>
      <c r="C420" s="250">
        <v>40529</v>
      </c>
      <c r="D420" s="195" t="s">
        <v>31</v>
      </c>
      <c r="E420" s="208">
        <v>27</v>
      </c>
      <c r="F420" s="33">
        <v>11</v>
      </c>
      <c r="G420" s="33">
        <v>3</v>
      </c>
      <c r="H420" s="509">
        <v>7073.5</v>
      </c>
      <c r="I420" s="340">
        <v>920</v>
      </c>
      <c r="J420" s="106">
        <f>(I420/F420)</f>
        <v>83.63636363636364</v>
      </c>
      <c r="K420" s="266">
        <f>H420/I420</f>
        <v>7.688586956521739</v>
      </c>
      <c r="L420" s="26">
        <f>68045+25663+7073.5</f>
        <v>100781.5</v>
      </c>
      <c r="M420" s="13">
        <f>5442+2277+920</f>
        <v>8639</v>
      </c>
      <c r="N420" s="198">
        <f>L420/M420</f>
        <v>11.665875680055562</v>
      </c>
      <c r="O420" s="99">
        <v>410</v>
      </c>
    </row>
    <row r="421" spans="1:15" s="90" customFormat="1" ht="12" customHeight="1">
      <c r="A421" s="91">
        <v>411</v>
      </c>
      <c r="B421" s="432" t="s">
        <v>333</v>
      </c>
      <c r="C421" s="185">
        <v>40529</v>
      </c>
      <c r="D421" s="178" t="s">
        <v>31</v>
      </c>
      <c r="E421" s="199">
        <v>27</v>
      </c>
      <c r="F421" s="186">
        <v>4</v>
      </c>
      <c r="G421" s="186">
        <v>4</v>
      </c>
      <c r="H421" s="339">
        <v>5233</v>
      </c>
      <c r="I421" s="340">
        <v>1185</v>
      </c>
      <c r="J421" s="106">
        <f>(I421/F421)</f>
        <v>296.25</v>
      </c>
      <c r="K421" s="197">
        <f>H421/I421</f>
        <v>4.4160337552742615</v>
      </c>
      <c r="L421" s="12">
        <f>68045+25663+7073.5+5233</f>
        <v>106014.5</v>
      </c>
      <c r="M421" s="13">
        <f>5442+2277+920+1185</f>
        <v>9824</v>
      </c>
      <c r="N421" s="198">
        <f>L421/M421</f>
        <v>10.79137825732899</v>
      </c>
      <c r="O421" s="99">
        <v>411</v>
      </c>
    </row>
    <row r="422" spans="1:15" s="90" customFormat="1" ht="12" customHeight="1">
      <c r="A422" s="91">
        <v>412</v>
      </c>
      <c r="B422" s="265" t="s">
        <v>333</v>
      </c>
      <c r="C422" s="250">
        <v>40529</v>
      </c>
      <c r="D422" s="195" t="s">
        <v>31</v>
      </c>
      <c r="E422" s="208">
        <v>27</v>
      </c>
      <c r="F422" s="33">
        <v>2</v>
      </c>
      <c r="G422" s="33">
        <v>5</v>
      </c>
      <c r="H422" s="339">
        <v>3859</v>
      </c>
      <c r="I422" s="340">
        <v>711</v>
      </c>
      <c r="J422" s="106">
        <f>(I422/F422)</f>
        <v>355.5</v>
      </c>
      <c r="K422" s="197">
        <f>H422/I422</f>
        <v>5.427566807313643</v>
      </c>
      <c r="L422" s="12">
        <f>68045+25663+7073.5+5233+3859</f>
        <v>109873.5</v>
      </c>
      <c r="M422" s="13">
        <f>5442+2277+920+1185+711</f>
        <v>10535</v>
      </c>
      <c r="N422" s="198">
        <f>L422/M422</f>
        <v>10.42937826293308</v>
      </c>
      <c r="O422" s="99">
        <v>412</v>
      </c>
    </row>
    <row r="423" spans="1:15" s="90" customFormat="1" ht="12" customHeight="1">
      <c r="A423" s="91">
        <v>413</v>
      </c>
      <c r="B423" s="432" t="s">
        <v>333</v>
      </c>
      <c r="C423" s="433">
        <v>40529</v>
      </c>
      <c r="D423" s="467" t="s">
        <v>31</v>
      </c>
      <c r="E423" s="199">
        <v>27</v>
      </c>
      <c r="F423" s="186">
        <v>1</v>
      </c>
      <c r="G423" s="186">
        <v>9</v>
      </c>
      <c r="H423" s="339">
        <v>1782</v>
      </c>
      <c r="I423" s="340">
        <v>446</v>
      </c>
      <c r="J423" s="280">
        <f>I423/F423</f>
        <v>446</v>
      </c>
      <c r="K423" s="317">
        <f>H423/I423</f>
        <v>3.995515695067265</v>
      </c>
      <c r="L423" s="12">
        <f>68045+25663+7073.5+5233+3859+470+100+1497+1782</f>
        <v>113722.5</v>
      </c>
      <c r="M423" s="13">
        <f>5442+2277+920+1185+711+78+13+218+446</f>
        <v>11290</v>
      </c>
      <c r="N423" s="98">
        <f>+L423/M423</f>
        <v>10.072852081488042</v>
      </c>
      <c r="O423" s="99">
        <v>413</v>
      </c>
    </row>
    <row r="424" spans="1:15" s="90" customFormat="1" ht="12" customHeight="1">
      <c r="A424" s="91">
        <v>414</v>
      </c>
      <c r="B424" s="263" t="s">
        <v>333</v>
      </c>
      <c r="C424" s="250">
        <v>40529</v>
      </c>
      <c r="D424" s="264" t="s">
        <v>31</v>
      </c>
      <c r="E424" s="208">
        <v>27</v>
      </c>
      <c r="F424" s="33">
        <v>1</v>
      </c>
      <c r="G424" s="33">
        <v>8</v>
      </c>
      <c r="H424" s="339">
        <v>1497</v>
      </c>
      <c r="I424" s="340">
        <v>218</v>
      </c>
      <c r="J424" s="106">
        <f>(I424/F424)</f>
        <v>218</v>
      </c>
      <c r="K424" s="197">
        <f>H424/I424</f>
        <v>6.86697247706422</v>
      </c>
      <c r="L424" s="12">
        <f>68045+25663+7073.5+5233+3859+470+100+1497</f>
        <v>111940.5</v>
      </c>
      <c r="M424" s="13">
        <f>5442+2277+920+1185+711+78+13+218</f>
        <v>10844</v>
      </c>
      <c r="N424" s="198">
        <f>L424/M424</f>
        <v>10.322805237919587</v>
      </c>
      <c r="O424" s="99">
        <v>414</v>
      </c>
    </row>
    <row r="425" spans="1:15" s="90" customFormat="1" ht="12" customHeight="1">
      <c r="A425" s="91">
        <v>415</v>
      </c>
      <c r="B425" s="432" t="s">
        <v>333</v>
      </c>
      <c r="C425" s="433">
        <v>40529</v>
      </c>
      <c r="D425" s="195" t="s">
        <v>31</v>
      </c>
      <c r="E425" s="199">
        <v>27</v>
      </c>
      <c r="F425" s="186">
        <v>1</v>
      </c>
      <c r="G425" s="186">
        <v>6</v>
      </c>
      <c r="H425" s="339">
        <v>470</v>
      </c>
      <c r="I425" s="340">
        <v>78</v>
      </c>
      <c r="J425" s="106">
        <f>(I425/F425)</f>
        <v>78</v>
      </c>
      <c r="K425" s="197">
        <f>H425/I425</f>
        <v>6.0256410256410255</v>
      </c>
      <c r="L425" s="12">
        <f>68045+25663+7073.5+5233+3859+470</f>
        <v>110343.5</v>
      </c>
      <c r="M425" s="13">
        <f>5442+2277+920+1185+711+78</f>
        <v>10613</v>
      </c>
      <c r="N425" s="198">
        <f>L425/M425</f>
        <v>10.397013097145011</v>
      </c>
      <c r="O425" s="99">
        <v>415</v>
      </c>
    </row>
    <row r="426" spans="1:15" s="90" customFormat="1" ht="12" customHeight="1">
      <c r="A426" s="91">
        <v>416</v>
      </c>
      <c r="B426" s="192" t="s">
        <v>333</v>
      </c>
      <c r="C426" s="32">
        <v>40529</v>
      </c>
      <c r="D426" s="195" t="s">
        <v>31</v>
      </c>
      <c r="E426" s="181">
        <v>27</v>
      </c>
      <c r="F426" s="181">
        <v>1</v>
      </c>
      <c r="G426" s="181">
        <v>7</v>
      </c>
      <c r="H426" s="339">
        <v>100</v>
      </c>
      <c r="I426" s="340">
        <v>13</v>
      </c>
      <c r="J426" s="106">
        <f>(I426/F426)</f>
        <v>13</v>
      </c>
      <c r="K426" s="197">
        <f>H426/I426</f>
        <v>7.6923076923076925</v>
      </c>
      <c r="L426" s="12">
        <f>68045+25663+7073.5+5233+3859+470+100</f>
        <v>110443.5</v>
      </c>
      <c r="M426" s="13">
        <f>5442+2277+920+1185+711+78+13</f>
        <v>10626</v>
      </c>
      <c r="N426" s="198">
        <f>L426/M426</f>
        <v>10.393704121964992</v>
      </c>
      <c r="O426" s="99">
        <v>416</v>
      </c>
    </row>
    <row r="427" spans="1:15" s="90" customFormat="1" ht="12" customHeight="1">
      <c r="A427" s="91">
        <v>417</v>
      </c>
      <c r="B427" s="813" t="s">
        <v>388</v>
      </c>
      <c r="C427" s="814">
        <v>40333</v>
      </c>
      <c r="D427" s="577" t="s">
        <v>31</v>
      </c>
      <c r="E427" s="815">
        <v>4</v>
      </c>
      <c r="F427" s="31">
        <v>1</v>
      </c>
      <c r="G427" s="668">
        <v>12</v>
      </c>
      <c r="H427" s="509">
        <v>1425.5</v>
      </c>
      <c r="I427" s="523">
        <v>356</v>
      </c>
      <c r="J427" s="280">
        <f>I427/F427</f>
        <v>356</v>
      </c>
      <c r="K427" s="317">
        <f>H427/I427</f>
        <v>4.004213483146067</v>
      </c>
      <c r="L427" s="26">
        <f>24273.7+308+483+1188+1425.5</f>
        <v>27678.2</v>
      </c>
      <c r="M427" s="27">
        <f>2830+67+68+297+356</f>
        <v>3618</v>
      </c>
      <c r="N427" s="319">
        <f>L427/M427</f>
        <v>7.650138197899392</v>
      </c>
      <c r="O427" s="99">
        <v>417</v>
      </c>
    </row>
    <row r="428" spans="1:15" s="90" customFormat="1" ht="12" customHeight="1">
      <c r="A428" s="91">
        <v>418</v>
      </c>
      <c r="B428" s="600" t="s">
        <v>388</v>
      </c>
      <c r="C428" s="425">
        <v>40333</v>
      </c>
      <c r="D428" s="467" t="s">
        <v>31</v>
      </c>
      <c r="E428" s="427">
        <v>4</v>
      </c>
      <c r="F428" s="186">
        <v>3</v>
      </c>
      <c r="G428" s="427">
        <v>11</v>
      </c>
      <c r="H428" s="339">
        <v>1188</v>
      </c>
      <c r="I428" s="340">
        <v>297</v>
      </c>
      <c r="J428" s="94">
        <f>I428/F428</f>
        <v>99</v>
      </c>
      <c r="K428" s="95">
        <f>H428/I428</f>
        <v>4</v>
      </c>
      <c r="L428" s="12">
        <f>24273.7+308+483+1188</f>
        <v>26252.7</v>
      </c>
      <c r="M428" s="13">
        <f>2830+67+68+297</f>
        <v>3262</v>
      </c>
      <c r="N428" s="98">
        <f>+L428/M428</f>
        <v>8.048038013488657</v>
      </c>
      <c r="O428" s="99">
        <v>418</v>
      </c>
    </row>
    <row r="429" spans="1:15" s="90" customFormat="1" ht="12" customHeight="1">
      <c r="A429" s="91">
        <v>419</v>
      </c>
      <c r="B429" s="692" t="s">
        <v>420</v>
      </c>
      <c r="C429" s="661">
        <v>38639</v>
      </c>
      <c r="D429" s="583" t="s">
        <v>28</v>
      </c>
      <c r="E429" s="208">
        <v>60</v>
      </c>
      <c r="F429" s="33">
        <v>1</v>
      </c>
      <c r="G429" s="33">
        <v>15</v>
      </c>
      <c r="H429" s="516">
        <v>2398</v>
      </c>
      <c r="I429" s="517">
        <v>400</v>
      </c>
      <c r="J429" s="94">
        <f>I429/F429</f>
        <v>400</v>
      </c>
      <c r="K429" s="95">
        <f>H429/I429</f>
        <v>5.995</v>
      </c>
      <c r="L429" s="175">
        <f>256115+134174+46036+56793+18694+21163+10994+6120+3004+2376+1265+152+2376+2376+2398</f>
        <v>564036</v>
      </c>
      <c r="M429" s="39">
        <f>41300+22031+8828+16651+4873+6972+2927+1374+1020+1188+228+31+1188+1188+400+29</f>
        <v>110228</v>
      </c>
      <c r="N429" s="98">
        <f>+L430/M430</f>
        <v>8.817558144304524</v>
      </c>
      <c r="O429" s="99">
        <v>419</v>
      </c>
    </row>
    <row r="430" spans="1:15" s="90" customFormat="1" ht="12" customHeight="1">
      <c r="A430" s="91">
        <v>420</v>
      </c>
      <c r="B430" s="468" t="s">
        <v>334</v>
      </c>
      <c r="C430" s="2">
        <v>40417</v>
      </c>
      <c r="D430" s="20" t="s">
        <v>10</v>
      </c>
      <c r="E430" s="6">
        <v>119</v>
      </c>
      <c r="F430" s="5">
        <v>1</v>
      </c>
      <c r="G430" s="5">
        <v>15</v>
      </c>
      <c r="H430" s="378">
        <v>941</v>
      </c>
      <c r="I430" s="379">
        <v>843</v>
      </c>
      <c r="J430" s="463">
        <f>I430/F430</f>
        <v>843</v>
      </c>
      <c r="K430" s="207">
        <f>H430/I430</f>
        <v>1.1162514827995256</v>
      </c>
      <c r="L430" s="44">
        <v>859853</v>
      </c>
      <c r="M430" s="46">
        <v>97516</v>
      </c>
      <c r="N430" s="275">
        <f>+L430/M430</f>
        <v>8.817558144304524</v>
      </c>
      <c r="O430" s="99">
        <v>420</v>
      </c>
    </row>
    <row r="431" spans="1:15" s="90" customFormat="1" ht="12" customHeight="1">
      <c r="A431" s="91">
        <v>421</v>
      </c>
      <c r="B431" s="470" t="s">
        <v>335</v>
      </c>
      <c r="C431" s="461">
        <v>40480</v>
      </c>
      <c r="D431" s="471" t="s">
        <v>8</v>
      </c>
      <c r="E431" s="6">
        <v>21</v>
      </c>
      <c r="F431" s="5">
        <v>12</v>
      </c>
      <c r="G431" s="5">
        <v>10</v>
      </c>
      <c r="H431" s="528">
        <v>8985</v>
      </c>
      <c r="I431" s="495">
        <v>1356</v>
      </c>
      <c r="J431" s="94">
        <f>+I431/F431</f>
        <v>113</v>
      </c>
      <c r="K431" s="211">
        <f>+H431/I431</f>
        <v>6.626106194690266</v>
      </c>
      <c r="L431" s="23">
        <v>295457</v>
      </c>
      <c r="M431" s="11">
        <v>26551</v>
      </c>
      <c r="N431" s="276">
        <f>+L431/M431</f>
        <v>11.127904787013671</v>
      </c>
      <c r="O431" s="99">
        <v>421</v>
      </c>
    </row>
    <row r="432" spans="1:15" s="90" customFormat="1" ht="12" customHeight="1">
      <c r="A432" s="91">
        <v>422</v>
      </c>
      <c r="B432" s="468" t="s">
        <v>335</v>
      </c>
      <c r="C432" s="461">
        <v>40480</v>
      </c>
      <c r="D432" s="473" t="s">
        <v>8</v>
      </c>
      <c r="E432" s="5">
        <v>21</v>
      </c>
      <c r="F432" s="5">
        <v>9</v>
      </c>
      <c r="G432" s="5">
        <v>21</v>
      </c>
      <c r="H432" s="494">
        <v>6650</v>
      </c>
      <c r="I432" s="495">
        <v>974</v>
      </c>
      <c r="J432" s="463">
        <f>I432/F432</f>
        <v>108.22222222222223</v>
      </c>
      <c r="K432" s="207">
        <f>H432/I432</f>
        <v>6.827515400410678</v>
      </c>
      <c r="L432" s="10">
        <v>311586</v>
      </c>
      <c r="M432" s="11">
        <v>29016</v>
      </c>
      <c r="N432" s="276">
        <f>+L432/M432</f>
        <v>10.73842018196857</v>
      </c>
      <c r="O432" s="99">
        <v>422</v>
      </c>
    </row>
    <row r="433" spans="1:15" s="90" customFormat="1" ht="12" customHeight="1">
      <c r="A433" s="91">
        <v>423</v>
      </c>
      <c r="B433" s="468" t="s">
        <v>335</v>
      </c>
      <c r="C433" s="461">
        <v>40480</v>
      </c>
      <c r="D433" s="473" t="s">
        <v>8</v>
      </c>
      <c r="E433" s="5">
        <v>21</v>
      </c>
      <c r="F433" s="5">
        <v>2</v>
      </c>
      <c r="G433" s="5">
        <v>18</v>
      </c>
      <c r="H433" s="494">
        <v>3250</v>
      </c>
      <c r="I433" s="495">
        <v>468</v>
      </c>
      <c r="J433" s="94">
        <f>+I433/F433</f>
        <v>234</v>
      </c>
      <c r="K433" s="212">
        <f>+H433/I433</f>
        <v>6.944444444444445</v>
      </c>
      <c r="L433" s="10">
        <v>309476</v>
      </c>
      <c r="M433" s="11">
        <v>28704</v>
      </c>
      <c r="N433" s="276">
        <f>+L433/M433</f>
        <v>10.781633221850614</v>
      </c>
      <c r="O433" s="99">
        <v>423</v>
      </c>
    </row>
    <row r="434" spans="1:15" s="90" customFormat="1" ht="12" customHeight="1">
      <c r="A434" s="91">
        <v>424</v>
      </c>
      <c r="B434" s="468" t="s">
        <v>335</v>
      </c>
      <c r="C434" s="461">
        <v>40480</v>
      </c>
      <c r="D434" s="469" t="s">
        <v>8</v>
      </c>
      <c r="E434" s="5">
        <v>21</v>
      </c>
      <c r="F434" s="5">
        <v>3</v>
      </c>
      <c r="G434" s="5">
        <v>13</v>
      </c>
      <c r="H434" s="494">
        <v>2972</v>
      </c>
      <c r="I434" s="495">
        <v>535</v>
      </c>
      <c r="J434" s="94">
        <f>+I434/F434</f>
        <v>178.33333333333334</v>
      </c>
      <c r="K434" s="212">
        <f>+H434/I434</f>
        <v>5.555140186915888</v>
      </c>
      <c r="L434" s="10">
        <v>302074</v>
      </c>
      <c r="M434" s="11">
        <v>27572</v>
      </c>
      <c r="N434" s="276">
        <f>+L434/M434</f>
        <v>10.95582474974612</v>
      </c>
      <c r="O434" s="99">
        <v>424</v>
      </c>
    </row>
    <row r="435" spans="1:15" s="90" customFormat="1" ht="12" customHeight="1">
      <c r="A435" s="91">
        <v>425</v>
      </c>
      <c r="B435" s="468" t="s">
        <v>335</v>
      </c>
      <c r="C435" s="461">
        <v>40480</v>
      </c>
      <c r="D435" s="473" t="s">
        <v>8</v>
      </c>
      <c r="E435" s="5">
        <v>21</v>
      </c>
      <c r="F435" s="5">
        <v>2</v>
      </c>
      <c r="G435" s="5">
        <v>17</v>
      </c>
      <c r="H435" s="494">
        <v>2367</v>
      </c>
      <c r="I435" s="495">
        <v>314</v>
      </c>
      <c r="J435" s="94">
        <f>+I435/F435</f>
        <v>157</v>
      </c>
      <c r="K435" s="212">
        <f>+H435/I435</f>
        <v>7.538216560509555</v>
      </c>
      <c r="L435" s="10">
        <v>306226</v>
      </c>
      <c r="M435" s="11">
        <v>28236</v>
      </c>
      <c r="N435" s="276">
        <f>+L435/M435</f>
        <v>10.84523303584077</v>
      </c>
      <c r="O435" s="99">
        <v>425</v>
      </c>
    </row>
    <row r="436" spans="1:15" s="90" customFormat="1" ht="12" customHeight="1">
      <c r="A436" s="91">
        <v>426</v>
      </c>
      <c r="B436" s="474" t="s">
        <v>335</v>
      </c>
      <c r="C436" s="475">
        <v>40480</v>
      </c>
      <c r="D436" s="476" t="s">
        <v>8</v>
      </c>
      <c r="E436" s="119">
        <v>21</v>
      </c>
      <c r="F436" s="119">
        <v>3</v>
      </c>
      <c r="G436" s="119">
        <v>22</v>
      </c>
      <c r="H436" s="497">
        <v>2357</v>
      </c>
      <c r="I436" s="498">
        <v>335</v>
      </c>
      <c r="J436" s="94">
        <f>I436/F436</f>
        <v>111.66666666666667</v>
      </c>
      <c r="K436" s="95">
        <f>H436/I436</f>
        <v>7.035820895522388</v>
      </c>
      <c r="L436" s="35">
        <v>320593</v>
      </c>
      <c r="M436" s="37">
        <v>30325</v>
      </c>
      <c r="N436" s="98">
        <f>+L436/M436</f>
        <v>10.571904369332234</v>
      </c>
      <c r="O436" s="99">
        <v>426</v>
      </c>
    </row>
    <row r="437" spans="1:15" s="90" customFormat="1" ht="12" customHeight="1">
      <c r="A437" s="91">
        <v>427</v>
      </c>
      <c r="B437" s="205" t="s">
        <v>335</v>
      </c>
      <c r="C437" s="2">
        <v>40480</v>
      </c>
      <c r="D437" s="473" t="s">
        <v>8</v>
      </c>
      <c r="E437" s="5">
        <v>21</v>
      </c>
      <c r="F437" s="5">
        <v>1</v>
      </c>
      <c r="G437" s="5">
        <v>12</v>
      </c>
      <c r="H437" s="494">
        <v>1139</v>
      </c>
      <c r="I437" s="495">
        <v>203</v>
      </c>
      <c r="J437" s="94">
        <f>+I437/F437</f>
        <v>203</v>
      </c>
      <c r="K437" s="212">
        <f>+H437/I437</f>
        <v>5.610837438423645</v>
      </c>
      <c r="L437" s="10">
        <v>299102</v>
      </c>
      <c r="M437" s="11">
        <v>27037</v>
      </c>
      <c r="N437" s="276">
        <f>+L437/M437</f>
        <v>11.062691866701186</v>
      </c>
      <c r="O437" s="99">
        <v>427</v>
      </c>
    </row>
    <row r="438" spans="1:15" s="90" customFormat="1" ht="12" customHeight="1">
      <c r="A438" s="91">
        <v>428</v>
      </c>
      <c r="B438" s="468" t="s">
        <v>335</v>
      </c>
      <c r="C438" s="461">
        <v>40480</v>
      </c>
      <c r="D438" s="473" t="s">
        <v>8</v>
      </c>
      <c r="E438" s="6">
        <v>21</v>
      </c>
      <c r="F438" s="5">
        <v>2</v>
      </c>
      <c r="G438" s="5">
        <v>20</v>
      </c>
      <c r="H438" s="494">
        <v>1062</v>
      </c>
      <c r="I438" s="495">
        <v>160</v>
      </c>
      <c r="J438" s="94">
        <f>+I438/F438</f>
        <v>80</v>
      </c>
      <c r="K438" s="212">
        <f>+H438/I438</f>
        <v>6.6375</v>
      </c>
      <c r="L438" s="10">
        <v>311586</v>
      </c>
      <c r="M438" s="11">
        <v>29016</v>
      </c>
      <c r="N438" s="276">
        <f>+L438/M438</f>
        <v>10.73842018196857</v>
      </c>
      <c r="O438" s="99">
        <v>428</v>
      </c>
    </row>
    <row r="439" spans="1:15" s="90" customFormat="1" ht="12" customHeight="1">
      <c r="A439" s="91">
        <v>429</v>
      </c>
      <c r="B439" s="468" t="s">
        <v>335</v>
      </c>
      <c r="C439" s="2">
        <v>40480</v>
      </c>
      <c r="D439" s="21" t="s">
        <v>8</v>
      </c>
      <c r="E439" s="6">
        <v>21</v>
      </c>
      <c r="F439" s="5">
        <v>1</v>
      </c>
      <c r="G439" s="5">
        <v>19</v>
      </c>
      <c r="H439" s="494">
        <v>1048</v>
      </c>
      <c r="I439" s="495">
        <v>152</v>
      </c>
      <c r="J439" s="94">
        <f>+I439/F439</f>
        <v>152</v>
      </c>
      <c r="K439" s="211">
        <f>+H439/I439</f>
        <v>6.894736842105263</v>
      </c>
      <c r="L439" s="10">
        <v>310524</v>
      </c>
      <c r="M439" s="11">
        <v>28856</v>
      </c>
      <c r="N439" s="276">
        <f>+L439/M439</f>
        <v>10.761158857776545</v>
      </c>
      <c r="O439" s="99">
        <v>429</v>
      </c>
    </row>
    <row r="440" spans="1:15" s="90" customFormat="1" ht="12" customHeight="1">
      <c r="A440" s="91">
        <v>430</v>
      </c>
      <c r="B440" s="468" t="s">
        <v>335</v>
      </c>
      <c r="C440" s="461">
        <v>40480</v>
      </c>
      <c r="D440" s="469" t="s">
        <v>8</v>
      </c>
      <c r="E440" s="6">
        <v>21</v>
      </c>
      <c r="F440" s="5">
        <v>1</v>
      </c>
      <c r="G440" s="5">
        <v>14</v>
      </c>
      <c r="H440" s="528">
        <v>1028</v>
      </c>
      <c r="I440" s="529">
        <v>201</v>
      </c>
      <c r="J440" s="280">
        <f>+I440/F440</f>
        <v>201</v>
      </c>
      <c r="K440" s="211">
        <f>+H440/I440</f>
        <v>5.114427860696518</v>
      </c>
      <c r="L440" s="23">
        <v>303102</v>
      </c>
      <c r="M440" s="431">
        <v>27773</v>
      </c>
      <c r="N440" s="276">
        <f>+L440/M440</f>
        <v>10.913549130450438</v>
      </c>
      <c r="O440" s="99">
        <v>430</v>
      </c>
    </row>
    <row r="441" spans="1:15" s="90" customFormat="1" ht="12" customHeight="1">
      <c r="A441" s="91">
        <v>431</v>
      </c>
      <c r="B441" s="205" t="s">
        <v>335</v>
      </c>
      <c r="C441" s="2">
        <v>40480</v>
      </c>
      <c r="D441" s="473" t="s">
        <v>8</v>
      </c>
      <c r="E441" s="5">
        <v>21</v>
      </c>
      <c r="F441" s="5">
        <v>1</v>
      </c>
      <c r="G441" s="5">
        <v>15</v>
      </c>
      <c r="H441" s="494">
        <v>484</v>
      </c>
      <c r="I441" s="495">
        <v>96</v>
      </c>
      <c r="J441" s="94">
        <f>+I441/F441</f>
        <v>96</v>
      </c>
      <c r="K441" s="212">
        <f>+H441/I441</f>
        <v>5.041666666666667</v>
      </c>
      <c r="L441" s="10">
        <v>303586</v>
      </c>
      <c r="M441" s="11">
        <v>27869</v>
      </c>
      <c r="N441" s="276">
        <f>+L441/M441</f>
        <v>10.89332232947002</v>
      </c>
      <c r="O441" s="99">
        <v>431</v>
      </c>
    </row>
    <row r="442" spans="1:15" s="90" customFormat="1" ht="12" customHeight="1">
      <c r="A442" s="91">
        <v>432</v>
      </c>
      <c r="B442" s="468" t="s">
        <v>335</v>
      </c>
      <c r="C442" s="461">
        <v>40480</v>
      </c>
      <c r="D442" s="473" t="s">
        <v>8</v>
      </c>
      <c r="E442" s="6">
        <v>21</v>
      </c>
      <c r="F442" s="5">
        <v>1</v>
      </c>
      <c r="G442" s="5">
        <v>16</v>
      </c>
      <c r="H442" s="494">
        <v>273</v>
      </c>
      <c r="I442" s="495">
        <v>53</v>
      </c>
      <c r="J442" s="94">
        <f>+I442/F442</f>
        <v>53</v>
      </c>
      <c r="K442" s="212">
        <f>+H442/I442</f>
        <v>5.150943396226415</v>
      </c>
      <c r="L442" s="10">
        <v>303859</v>
      </c>
      <c r="M442" s="11">
        <v>27922</v>
      </c>
      <c r="N442" s="276">
        <f>+L442/M442</f>
        <v>10.882422462574315</v>
      </c>
      <c r="O442" s="99">
        <v>432</v>
      </c>
    </row>
    <row r="443" spans="1:15" s="90" customFormat="1" ht="12" customHeight="1">
      <c r="A443" s="91">
        <v>433</v>
      </c>
      <c r="B443" s="468" t="s">
        <v>336</v>
      </c>
      <c r="C443" s="2">
        <v>37193</v>
      </c>
      <c r="D443" s="20" t="s">
        <v>8</v>
      </c>
      <c r="E443" s="6">
        <v>21</v>
      </c>
      <c r="F443" s="5">
        <v>1</v>
      </c>
      <c r="G443" s="5">
        <v>11</v>
      </c>
      <c r="H443" s="494">
        <v>2506</v>
      </c>
      <c r="I443" s="495">
        <v>283</v>
      </c>
      <c r="J443" s="94">
        <f>+I443/F443</f>
        <v>283</v>
      </c>
      <c r="K443" s="212">
        <f>+H443/I443</f>
        <v>8.855123674911662</v>
      </c>
      <c r="L443" s="10">
        <v>297963</v>
      </c>
      <c r="M443" s="11">
        <v>26834</v>
      </c>
      <c r="N443" s="276">
        <f>+L443/M443</f>
        <v>11.103935305955131</v>
      </c>
      <c r="O443" s="99">
        <v>433</v>
      </c>
    </row>
    <row r="444" spans="1:15" s="90" customFormat="1" ht="12" customHeight="1">
      <c r="A444" s="91">
        <v>434</v>
      </c>
      <c r="B444" s="1144" t="s">
        <v>337</v>
      </c>
      <c r="C444" s="250">
        <v>39920</v>
      </c>
      <c r="D444" s="264" t="s">
        <v>31</v>
      </c>
      <c r="E444" s="208">
        <v>133</v>
      </c>
      <c r="F444" s="33">
        <v>1</v>
      </c>
      <c r="G444" s="33">
        <v>24</v>
      </c>
      <c r="H444" s="339">
        <v>14</v>
      </c>
      <c r="I444" s="340">
        <v>7</v>
      </c>
      <c r="J444" s="106">
        <f>(I444/F444)</f>
        <v>7</v>
      </c>
      <c r="K444" s="197">
        <f>H444/I444</f>
        <v>2</v>
      </c>
      <c r="L444" s="12">
        <f>814797.5+158602+44526+7105.5+1443+731+330+3273+1356+388+2317+2290.5+138+112.5+37+1136+51+98+1424+1780+1780+2020+4040+14</f>
        <v>1049790</v>
      </c>
      <c r="M444" s="13">
        <f>100614+19257+6285+1176+234+205+67+783+301+48+521+500+23+18+9+170+23+30+356+445+445+505+1010+7</f>
        <v>133032</v>
      </c>
      <c r="N444" s="198">
        <f>L444/M444</f>
        <v>7.891259245895724</v>
      </c>
      <c r="O444" s="99">
        <v>434</v>
      </c>
    </row>
    <row r="445" spans="1:15" s="90" customFormat="1" ht="12" customHeight="1">
      <c r="A445" s="91">
        <v>435</v>
      </c>
      <c r="B445" s="460" t="s">
        <v>403</v>
      </c>
      <c r="C445" s="1147">
        <v>40312</v>
      </c>
      <c r="D445" s="577" t="s">
        <v>21</v>
      </c>
      <c r="E445" s="687">
        <v>76</v>
      </c>
      <c r="F445" s="687">
        <v>1</v>
      </c>
      <c r="G445" s="687">
        <v>26</v>
      </c>
      <c r="H445" s="515">
        <v>1600</v>
      </c>
      <c r="I445" s="527">
        <v>200</v>
      </c>
      <c r="J445" s="280">
        <f>I445/F445</f>
        <v>200</v>
      </c>
      <c r="K445" s="317">
        <f>H445/I445</f>
        <v>8</v>
      </c>
      <c r="L445" s="34">
        <v>380002</v>
      </c>
      <c r="M445" s="29">
        <v>34659</v>
      </c>
      <c r="N445" s="630">
        <f>+L445/M445</f>
        <v>10.964020889235119</v>
      </c>
      <c r="O445" s="99">
        <v>435</v>
      </c>
    </row>
    <row r="446" spans="1:15" s="90" customFormat="1" ht="12" customHeight="1">
      <c r="A446" s="91">
        <v>436</v>
      </c>
      <c r="B446" s="480" t="s">
        <v>338</v>
      </c>
      <c r="C446" s="461">
        <v>40473</v>
      </c>
      <c r="D446" s="462" t="s">
        <v>10</v>
      </c>
      <c r="E446" s="3">
        <v>74</v>
      </c>
      <c r="F446" s="3">
        <v>1</v>
      </c>
      <c r="G446" s="3">
        <v>9</v>
      </c>
      <c r="H446" s="378">
        <v>3572</v>
      </c>
      <c r="I446" s="379">
        <v>893</v>
      </c>
      <c r="J446" s="463">
        <f>I446/F446</f>
        <v>893</v>
      </c>
      <c r="K446" s="207">
        <f>H446/I446</f>
        <v>4</v>
      </c>
      <c r="L446" s="44">
        <v>981252</v>
      </c>
      <c r="M446" s="46">
        <v>84379</v>
      </c>
      <c r="N446" s="275">
        <f>+L446/M446</f>
        <v>11.62910202775572</v>
      </c>
      <c r="O446" s="99">
        <v>436</v>
      </c>
    </row>
    <row r="447" spans="1:15" s="90" customFormat="1" ht="12" customHeight="1">
      <c r="A447" s="91">
        <v>437</v>
      </c>
      <c r="B447" s="480" t="s">
        <v>338</v>
      </c>
      <c r="C447" s="461">
        <v>40473</v>
      </c>
      <c r="D447" s="462" t="s">
        <v>10</v>
      </c>
      <c r="E447" s="4">
        <v>74</v>
      </c>
      <c r="F447" s="3">
        <v>1</v>
      </c>
      <c r="G447" s="3">
        <v>11</v>
      </c>
      <c r="H447" s="378">
        <v>1190</v>
      </c>
      <c r="I447" s="379">
        <v>238</v>
      </c>
      <c r="J447" s="463">
        <f>I447/F447</f>
        <v>238</v>
      </c>
      <c r="K447" s="207">
        <f>H447/I447</f>
        <v>5</v>
      </c>
      <c r="L447" s="44">
        <v>983217</v>
      </c>
      <c r="M447" s="46">
        <v>84696</v>
      </c>
      <c r="N447" s="275">
        <f>+L447/M447</f>
        <v>11.608777274015301</v>
      </c>
      <c r="O447" s="99">
        <v>437</v>
      </c>
    </row>
    <row r="448" spans="1:15" s="90" customFormat="1" ht="12" customHeight="1">
      <c r="A448" s="91">
        <v>438</v>
      </c>
      <c r="B448" s="480" t="s">
        <v>338</v>
      </c>
      <c r="C448" s="461">
        <v>40473</v>
      </c>
      <c r="D448" s="462" t="s">
        <v>10</v>
      </c>
      <c r="E448" s="4">
        <v>74</v>
      </c>
      <c r="F448" s="3">
        <v>1</v>
      </c>
      <c r="G448" s="3">
        <v>10</v>
      </c>
      <c r="H448" s="378">
        <v>775</v>
      </c>
      <c r="I448" s="379">
        <v>79</v>
      </c>
      <c r="J448" s="463">
        <f>I448/F448</f>
        <v>79</v>
      </c>
      <c r="K448" s="207">
        <f>H448/I448</f>
        <v>9.810126582278482</v>
      </c>
      <c r="L448" s="44">
        <f>981252+775</f>
        <v>982027</v>
      </c>
      <c r="M448" s="46">
        <f>84379+79</f>
        <v>84458</v>
      </c>
      <c r="N448" s="275">
        <f>+L448/M448</f>
        <v>11.627400601482394</v>
      </c>
      <c r="O448" s="99">
        <v>438</v>
      </c>
    </row>
    <row r="449" spans="1:15" s="90" customFormat="1" ht="12" customHeight="1">
      <c r="A449" s="91">
        <v>439</v>
      </c>
      <c r="B449" s="480" t="s">
        <v>338</v>
      </c>
      <c r="C449" s="2">
        <v>40473</v>
      </c>
      <c r="D449" s="19" t="s">
        <v>10</v>
      </c>
      <c r="E449" s="4">
        <v>74</v>
      </c>
      <c r="F449" s="3">
        <v>1</v>
      </c>
      <c r="G449" s="3">
        <v>12</v>
      </c>
      <c r="H449" s="378">
        <v>464</v>
      </c>
      <c r="I449" s="379">
        <v>380</v>
      </c>
      <c r="J449" s="463">
        <f>I449/F449</f>
        <v>380</v>
      </c>
      <c r="K449" s="207">
        <f>H449/I449</f>
        <v>1.2210526315789474</v>
      </c>
      <c r="L449" s="44">
        <v>983681</v>
      </c>
      <c r="M449" s="46">
        <v>85076</v>
      </c>
      <c r="N449" s="275">
        <f>+L449/M449</f>
        <v>11.562379519488458</v>
      </c>
      <c r="O449" s="99">
        <v>439</v>
      </c>
    </row>
    <row r="450" spans="1:15" s="90" customFormat="1" ht="12" customHeight="1">
      <c r="A450" s="91">
        <v>440</v>
      </c>
      <c r="B450" s="480" t="s">
        <v>339</v>
      </c>
      <c r="C450" s="461">
        <v>40312</v>
      </c>
      <c r="D450" s="462" t="s">
        <v>21</v>
      </c>
      <c r="E450" s="4">
        <v>64</v>
      </c>
      <c r="F450" s="3">
        <v>1</v>
      </c>
      <c r="G450" s="3">
        <v>22</v>
      </c>
      <c r="H450" s="497">
        <v>2376</v>
      </c>
      <c r="I450" s="498">
        <v>475</v>
      </c>
      <c r="J450" s="94">
        <f>IF(H450&lt;&gt;0,I450/F450,"")</f>
        <v>475</v>
      </c>
      <c r="K450" s="212">
        <f>IF(H450&lt;&gt;0,H450/I450,"")</f>
        <v>5.002105263157895</v>
      </c>
      <c r="L450" s="35">
        <f>384993+315+150+24+2376</f>
        <v>387858</v>
      </c>
      <c r="M450" s="38">
        <f>43717+38+25+4+475</f>
        <v>44259</v>
      </c>
      <c r="N450" s="276">
        <f>IF(L450&lt;&gt;0,L450/M450,"")</f>
        <v>8.76337016200095</v>
      </c>
      <c r="O450" s="99">
        <v>440</v>
      </c>
    </row>
    <row r="451" spans="1:15" s="90" customFormat="1" ht="12" customHeight="1">
      <c r="A451" s="91">
        <v>441</v>
      </c>
      <c r="B451" s="470" t="s">
        <v>340</v>
      </c>
      <c r="C451" s="461">
        <v>40522</v>
      </c>
      <c r="D451" s="471" t="s">
        <v>8</v>
      </c>
      <c r="E451" s="5">
        <v>110</v>
      </c>
      <c r="F451" s="5">
        <v>110</v>
      </c>
      <c r="G451" s="5">
        <v>4</v>
      </c>
      <c r="H451" s="528">
        <v>694041</v>
      </c>
      <c r="I451" s="495">
        <v>64977</v>
      </c>
      <c r="J451" s="94">
        <f>+I451/F451</f>
        <v>590.7</v>
      </c>
      <c r="K451" s="211">
        <f>+H451/I451</f>
        <v>10.681333394893578</v>
      </c>
      <c r="L451" s="23">
        <v>4602088</v>
      </c>
      <c r="M451" s="11">
        <v>434759</v>
      </c>
      <c r="N451" s="276">
        <f>+L451/M451</f>
        <v>10.5853771859812</v>
      </c>
      <c r="O451" s="99">
        <v>441</v>
      </c>
    </row>
    <row r="452" spans="1:15" s="90" customFormat="1" ht="12" customHeight="1">
      <c r="A452" s="91">
        <v>442</v>
      </c>
      <c r="B452" s="468" t="s">
        <v>340</v>
      </c>
      <c r="C452" s="461">
        <v>40522</v>
      </c>
      <c r="D452" s="471" t="s">
        <v>8</v>
      </c>
      <c r="E452" s="5">
        <v>110</v>
      </c>
      <c r="F452" s="5">
        <v>71</v>
      </c>
      <c r="G452" s="5">
        <v>5</v>
      </c>
      <c r="H452" s="494">
        <v>224162</v>
      </c>
      <c r="I452" s="495">
        <v>19224</v>
      </c>
      <c r="J452" s="94">
        <f>+I452/F452</f>
        <v>270.76056338028167</v>
      </c>
      <c r="K452" s="212">
        <f>+H452/I452</f>
        <v>11.660528506034124</v>
      </c>
      <c r="L452" s="10">
        <v>4826250</v>
      </c>
      <c r="M452" s="11">
        <v>453983</v>
      </c>
      <c r="N452" s="276">
        <f>+L452/M452</f>
        <v>10.63090468145283</v>
      </c>
      <c r="O452" s="99">
        <v>442</v>
      </c>
    </row>
    <row r="453" spans="1:15" s="90" customFormat="1" ht="12" customHeight="1">
      <c r="A453" s="91">
        <v>443</v>
      </c>
      <c r="B453" s="468" t="s">
        <v>340</v>
      </c>
      <c r="C453" s="461">
        <v>40522</v>
      </c>
      <c r="D453" s="469" t="s">
        <v>8</v>
      </c>
      <c r="E453" s="5">
        <v>110</v>
      </c>
      <c r="F453" s="5">
        <v>66</v>
      </c>
      <c r="G453" s="5">
        <v>6</v>
      </c>
      <c r="H453" s="494">
        <v>118638</v>
      </c>
      <c r="I453" s="495">
        <v>12477</v>
      </c>
      <c r="J453" s="94">
        <f>+I453/F453</f>
        <v>189.04545454545453</v>
      </c>
      <c r="K453" s="212">
        <f>+H453/I453</f>
        <v>9.508535705698485</v>
      </c>
      <c r="L453" s="10">
        <v>4944888</v>
      </c>
      <c r="M453" s="11">
        <v>466460</v>
      </c>
      <c r="N453" s="276">
        <f>+L453/M453</f>
        <v>10.600883248295673</v>
      </c>
      <c r="O453" s="99">
        <v>443</v>
      </c>
    </row>
    <row r="454" spans="1:15" s="90" customFormat="1" ht="12" customHeight="1">
      <c r="A454" s="91">
        <v>444</v>
      </c>
      <c r="B454" s="470" t="s">
        <v>340</v>
      </c>
      <c r="C454" s="461">
        <v>40522</v>
      </c>
      <c r="D454" s="473" t="s">
        <v>8</v>
      </c>
      <c r="E454" s="5">
        <v>110</v>
      </c>
      <c r="F454" s="5">
        <v>32</v>
      </c>
      <c r="G454" s="5">
        <v>7</v>
      </c>
      <c r="H454" s="494">
        <v>51075</v>
      </c>
      <c r="I454" s="495">
        <v>6840</v>
      </c>
      <c r="J454" s="106">
        <f>(I454/F454)</f>
        <v>213.75</v>
      </c>
      <c r="K454" s="197">
        <f>H454/I454</f>
        <v>7.467105263157895</v>
      </c>
      <c r="L454" s="10">
        <v>4995963</v>
      </c>
      <c r="M454" s="11">
        <v>473300</v>
      </c>
      <c r="N454" s="198">
        <f>L454/M454</f>
        <v>10.55559476019438</v>
      </c>
      <c r="O454" s="99">
        <v>444</v>
      </c>
    </row>
    <row r="455" spans="1:15" s="90" customFormat="1" ht="12" customHeight="1">
      <c r="A455" s="91">
        <v>445</v>
      </c>
      <c r="B455" s="468" t="s">
        <v>340</v>
      </c>
      <c r="C455" s="461">
        <v>40522</v>
      </c>
      <c r="D455" s="473" t="s">
        <v>8</v>
      </c>
      <c r="E455" s="5">
        <v>110</v>
      </c>
      <c r="F455" s="5">
        <v>6</v>
      </c>
      <c r="G455" s="5">
        <v>10</v>
      </c>
      <c r="H455" s="494">
        <v>4744</v>
      </c>
      <c r="I455" s="495">
        <v>1467</v>
      </c>
      <c r="J455" s="94">
        <f>+I455/F455</f>
        <v>244.5</v>
      </c>
      <c r="K455" s="212">
        <f>+H455/I455</f>
        <v>3.2338104976141784</v>
      </c>
      <c r="L455" s="10">
        <v>5008119</v>
      </c>
      <c r="M455" s="11">
        <v>476107</v>
      </c>
      <c r="N455" s="276">
        <f>+L455/M455</f>
        <v>10.518893862094025</v>
      </c>
      <c r="O455" s="99">
        <v>445</v>
      </c>
    </row>
    <row r="456" spans="1:15" s="90" customFormat="1" ht="12" customHeight="1">
      <c r="A456" s="91">
        <v>446</v>
      </c>
      <c r="B456" s="205" t="s">
        <v>340</v>
      </c>
      <c r="C456" s="2">
        <v>40522</v>
      </c>
      <c r="D456" s="20" t="s">
        <v>8</v>
      </c>
      <c r="E456" s="5">
        <v>110</v>
      </c>
      <c r="F456" s="5">
        <v>6</v>
      </c>
      <c r="G456" s="5">
        <v>9</v>
      </c>
      <c r="H456" s="494">
        <v>4075</v>
      </c>
      <c r="I456" s="495">
        <v>848</v>
      </c>
      <c r="J456" s="94">
        <f>+I456/F456</f>
        <v>141.33333333333334</v>
      </c>
      <c r="K456" s="212">
        <f>+H456/I456</f>
        <v>4.805424528301887</v>
      </c>
      <c r="L456" s="10">
        <v>5003375</v>
      </c>
      <c r="M456" s="11">
        <v>474640</v>
      </c>
      <c r="N456" s="276">
        <f>+L456/M456</f>
        <v>10.541410332041126</v>
      </c>
      <c r="O456" s="99">
        <v>446</v>
      </c>
    </row>
    <row r="457" spans="1:15" s="90" customFormat="1" ht="12" customHeight="1">
      <c r="A457" s="91">
        <v>447</v>
      </c>
      <c r="B457" s="468" t="s">
        <v>340</v>
      </c>
      <c r="C457" s="461">
        <v>40522</v>
      </c>
      <c r="D457" s="469" t="s">
        <v>8</v>
      </c>
      <c r="E457" s="6">
        <v>110</v>
      </c>
      <c r="F457" s="5">
        <v>9</v>
      </c>
      <c r="G457" s="5">
        <v>11</v>
      </c>
      <c r="H457" s="494">
        <v>3734</v>
      </c>
      <c r="I457" s="495">
        <v>594</v>
      </c>
      <c r="J457" s="94">
        <f>+I457/F457</f>
        <v>66</v>
      </c>
      <c r="K457" s="212">
        <f>+H457/I457</f>
        <v>6.286195286195286</v>
      </c>
      <c r="L457" s="10">
        <v>5011853</v>
      </c>
      <c r="M457" s="11">
        <v>476701</v>
      </c>
      <c r="N457" s="276">
        <f>+L457/M457</f>
        <v>10.513619648374977</v>
      </c>
      <c r="O457" s="99">
        <v>447</v>
      </c>
    </row>
    <row r="458" spans="1:15" s="90" customFormat="1" ht="12" customHeight="1">
      <c r="A458" s="91">
        <v>448</v>
      </c>
      <c r="B458" s="468" t="s">
        <v>340</v>
      </c>
      <c r="C458" s="461">
        <v>40522</v>
      </c>
      <c r="D458" s="473" t="s">
        <v>8</v>
      </c>
      <c r="E458" s="6">
        <v>110</v>
      </c>
      <c r="F458" s="5">
        <v>7</v>
      </c>
      <c r="G458" s="5">
        <v>8</v>
      </c>
      <c r="H458" s="494">
        <v>3338</v>
      </c>
      <c r="I458" s="495">
        <v>492</v>
      </c>
      <c r="J458" s="94">
        <f>+I458/F458</f>
        <v>70.28571428571429</v>
      </c>
      <c r="K458" s="212">
        <f>+H458/I458</f>
        <v>6.784552845528455</v>
      </c>
      <c r="L458" s="10">
        <v>4999300</v>
      </c>
      <c r="M458" s="11">
        <v>473792</v>
      </c>
      <c r="N458" s="275">
        <f>+L458/M458</f>
        <v>10.551676685127651</v>
      </c>
      <c r="O458" s="99">
        <v>448</v>
      </c>
    </row>
    <row r="459" spans="1:15" s="90" customFormat="1" ht="12" customHeight="1">
      <c r="A459" s="91">
        <v>449</v>
      </c>
      <c r="B459" s="468" t="s">
        <v>340</v>
      </c>
      <c r="C459" s="2">
        <v>40522</v>
      </c>
      <c r="D459" s="21" t="s">
        <v>8</v>
      </c>
      <c r="E459" s="6">
        <v>110</v>
      </c>
      <c r="F459" s="6">
        <v>4</v>
      </c>
      <c r="G459" s="6">
        <v>13</v>
      </c>
      <c r="H459" s="494">
        <v>2400</v>
      </c>
      <c r="I459" s="495">
        <v>492</v>
      </c>
      <c r="J459" s="94">
        <f>+I459/F459</f>
        <v>123</v>
      </c>
      <c r="K459" s="212">
        <f>+H459/I459</f>
        <v>4.878048780487805</v>
      </c>
      <c r="L459" s="10">
        <v>5014749</v>
      </c>
      <c r="M459" s="11">
        <v>477268</v>
      </c>
      <c r="N459" s="276">
        <f>+L459/M459</f>
        <v>10.507197214143835</v>
      </c>
      <c r="O459" s="99">
        <v>449</v>
      </c>
    </row>
    <row r="460" spans="1:15" s="90" customFormat="1" ht="12" customHeight="1">
      <c r="A460" s="91">
        <v>450</v>
      </c>
      <c r="B460" s="468" t="s">
        <v>340</v>
      </c>
      <c r="C460" s="461">
        <v>40522</v>
      </c>
      <c r="D460" s="469" t="s">
        <v>8</v>
      </c>
      <c r="E460" s="6">
        <v>110</v>
      </c>
      <c r="F460" s="6">
        <v>2</v>
      </c>
      <c r="G460" s="6">
        <v>12</v>
      </c>
      <c r="H460" s="528">
        <v>496</v>
      </c>
      <c r="I460" s="529">
        <v>75</v>
      </c>
      <c r="J460" s="280">
        <f>+I460/F460</f>
        <v>37.5</v>
      </c>
      <c r="K460" s="211">
        <f>+H460/I460</f>
        <v>6.613333333333333</v>
      </c>
      <c r="L460" s="23">
        <v>5012349</v>
      </c>
      <c r="M460" s="431">
        <v>476776</v>
      </c>
      <c r="N460" s="276">
        <f>+L460/M460</f>
        <v>10.513006107689984</v>
      </c>
      <c r="O460" s="99">
        <v>450</v>
      </c>
    </row>
    <row r="461" spans="1:15" s="90" customFormat="1" ht="12" customHeight="1">
      <c r="A461" s="91">
        <v>451</v>
      </c>
      <c r="B461" s="474" t="s">
        <v>340</v>
      </c>
      <c r="C461" s="475">
        <v>40522</v>
      </c>
      <c r="D461" s="476" t="s">
        <v>8</v>
      </c>
      <c r="E461" s="5">
        <v>110</v>
      </c>
      <c r="F461" s="6">
        <v>1</v>
      </c>
      <c r="G461" s="939">
        <v>14</v>
      </c>
      <c r="H461" s="494">
        <v>362</v>
      </c>
      <c r="I461" s="495">
        <v>61</v>
      </c>
      <c r="J461" s="94">
        <f>I461/F461</f>
        <v>61</v>
      </c>
      <c r="K461" s="95">
        <f>H461/I461</f>
        <v>5.934426229508197</v>
      </c>
      <c r="L461" s="10">
        <v>5015111</v>
      </c>
      <c r="M461" s="11">
        <v>477329</v>
      </c>
      <c r="N461" s="98">
        <f>+L461/M461</f>
        <v>10.506612839362369</v>
      </c>
      <c r="O461" s="99">
        <v>451</v>
      </c>
    </row>
    <row r="462" spans="1:15" s="90" customFormat="1" ht="12" customHeight="1">
      <c r="A462" s="91">
        <v>452</v>
      </c>
      <c r="B462" s="692" t="s">
        <v>340</v>
      </c>
      <c r="C462" s="661">
        <v>40522</v>
      </c>
      <c r="D462" s="583" t="s">
        <v>8</v>
      </c>
      <c r="E462" s="584">
        <v>110</v>
      </c>
      <c r="F462" s="584">
        <v>1</v>
      </c>
      <c r="G462" s="584">
        <v>14</v>
      </c>
      <c r="H462" s="528">
        <v>234</v>
      </c>
      <c r="I462" s="529">
        <v>35</v>
      </c>
      <c r="J462" s="280">
        <f>I462/F462</f>
        <v>35</v>
      </c>
      <c r="K462" s="317">
        <f>H462/I462</f>
        <v>6.685714285714286</v>
      </c>
      <c r="L462" s="23">
        <v>5015345</v>
      </c>
      <c r="M462" s="431">
        <v>477364</v>
      </c>
      <c r="N462" s="319">
        <f>+L462/M462</f>
        <v>10.506332693709622</v>
      </c>
      <c r="O462" s="99">
        <v>452</v>
      </c>
    </row>
    <row r="463" spans="1:15" s="90" customFormat="1" ht="12" customHeight="1">
      <c r="A463" s="91">
        <v>453</v>
      </c>
      <c r="B463" s="692" t="s">
        <v>340</v>
      </c>
      <c r="C463" s="658">
        <v>40522</v>
      </c>
      <c r="D463" s="594" t="s">
        <v>8</v>
      </c>
      <c r="E463" s="584">
        <v>110</v>
      </c>
      <c r="F463" s="584">
        <v>1</v>
      </c>
      <c r="G463" s="584">
        <v>16</v>
      </c>
      <c r="H463" s="528">
        <v>91</v>
      </c>
      <c r="I463" s="529">
        <v>13</v>
      </c>
      <c r="J463" s="280">
        <f>I463/F463</f>
        <v>13</v>
      </c>
      <c r="K463" s="317">
        <f>H463/I463</f>
        <v>7</v>
      </c>
      <c r="L463" s="23">
        <v>5015436</v>
      </c>
      <c r="M463" s="431">
        <v>477377</v>
      </c>
      <c r="N463" s="630">
        <f>+L463/M463</f>
        <v>10.506237208746965</v>
      </c>
      <c r="O463" s="99">
        <v>453</v>
      </c>
    </row>
    <row r="464" spans="1:15" s="90" customFormat="1" ht="12" customHeight="1">
      <c r="A464" s="91">
        <v>454</v>
      </c>
      <c r="B464" s="460" t="s">
        <v>341</v>
      </c>
      <c r="C464" s="461">
        <v>40536</v>
      </c>
      <c r="D464" s="552" t="s">
        <v>10</v>
      </c>
      <c r="E464" s="4">
        <v>48</v>
      </c>
      <c r="F464" s="4">
        <v>48</v>
      </c>
      <c r="G464" s="4">
        <v>2</v>
      </c>
      <c r="H464" s="513">
        <v>281047</v>
      </c>
      <c r="I464" s="379">
        <v>23436</v>
      </c>
      <c r="J464" s="463">
        <f>I464/F464</f>
        <v>488.25</v>
      </c>
      <c r="K464" s="481">
        <f>+H464/I464</f>
        <v>11.992106161461</v>
      </c>
      <c r="L464" s="204">
        <v>605758</v>
      </c>
      <c r="M464" s="46">
        <v>52142</v>
      </c>
      <c r="N464" s="275">
        <f>+L464/M464</f>
        <v>11.61746768440029</v>
      </c>
      <c r="O464" s="99">
        <v>454</v>
      </c>
    </row>
    <row r="465" spans="1:15" s="90" customFormat="1" ht="12" customHeight="1">
      <c r="A465" s="91">
        <v>455</v>
      </c>
      <c r="B465" s="480" t="s">
        <v>341</v>
      </c>
      <c r="C465" s="461">
        <v>40536</v>
      </c>
      <c r="D465" s="552" t="s">
        <v>10</v>
      </c>
      <c r="E465" s="3">
        <v>48</v>
      </c>
      <c r="F465" s="4">
        <v>36</v>
      </c>
      <c r="G465" s="4">
        <v>3</v>
      </c>
      <c r="H465" s="378">
        <v>66790</v>
      </c>
      <c r="I465" s="379">
        <v>5435</v>
      </c>
      <c r="J465" s="463">
        <f>I465/F465</f>
        <v>150.97222222222223</v>
      </c>
      <c r="K465" s="207">
        <f>H465/I465</f>
        <v>12.288868445262189</v>
      </c>
      <c r="L465" s="44">
        <v>672548</v>
      </c>
      <c r="M465" s="46">
        <v>57577</v>
      </c>
      <c r="N465" s="275">
        <f>+L465/M465</f>
        <v>11.6808447817705</v>
      </c>
      <c r="O465" s="99">
        <v>455</v>
      </c>
    </row>
    <row r="466" spans="1:15" s="90" customFormat="1" ht="12" customHeight="1">
      <c r="A466" s="91">
        <v>456</v>
      </c>
      <c r="B466" s="460" t="s">
        <v>341</v>
      </c>
      <c r="C466" s="461">
        <v>40536</v>
      </c>
      <c r="D466" s="462" t="s">
        <v>10</v>
      </c>
      <c r="E466" s="3">
        <v>48</v>
      </c>
      <c r="F466" s="3">
        <v>10</v>
      </c>
      <c r="G466" s="3">
        <v>5</v>
      </c>
      <c r="H466" s="378">
        <v>11003</v>
      </c>
      <c r="I466" s="379">
        <v>1816</v>
      </c>
      <c r="J466" s="463">
        <f>I466/F466</f>
        <v>181.6</v>
      </c>
      <c r="K466" s="207">
        <f>H466/I466</f>
        <v>6.058920704845815</v>
      </c>
      <c r="L466" s="44">
        <v>691927</v>
      </c>
      <c r="M466" s="46">
        <v>60452</v>
      </c>
      <c r="N466" s="275">
        <f>+L466/M466</f>
        <v>11.445890954807119</v>
      </c>
      <c r="O466" s="99">
        <v>456</v>
      </c>
    </row>
    <row r="467" spans="1:15" s="90" customFormat="1" ht="12" customHeight="1">
      <c r="A467" s="91">
        <v>457</v>
      </c>
      <c r="B467" s="468" t="s">
        <v>341</v>
      </c>
      <c r="C467" s="461">
        <v>40536</v>
      </c>
      <c r="D467" s="469" t="s">
        <v>10</v>
      </c>
      <c r="E467" s="5">
        <v>48</v>
      </c>
      <c r="F467" s="5">
        <v>7</v>
      </c>
      <c r="G467" s="5">
        <v>4</v>
      </c>
      <c r="H467" s="378">
        <v>8376</v>
      </c>
      <c r="I467" s="379">
        <v>1059</v>
      </c>
      <c r="J467" s="463">
        <f>I467/F467</f>
        <v>151.28571428571428</v>
      </c>
      <c r="K467" s="207">
        <f>H467/I467</f>
        <v>7.909348441926346</v>
      </c>
      <c r="L467" s="44">
        <v>680924</v>
      </c>
      <c r="M467" s="46">
        <v>58636</v>
      </c>
      <c r="N467" s="275">
        <f>+L467/M467</f>
        <v>11.612729381267481</v>
      </c>
      <c r="O467" s="99">
        <v>457</v>
      </c>
    </row>
    <row r="468" spans="1:15" s="90" customFormat="1" ht="12" customHeight="1">
      <c r="A468" s="91">
        <v>458</v>
      </c>
      <c r="B468" s="468" t="s">
        <v>341</v>
      </c>
      <c r="C468" s="461">
        <v>40536</v>
      </c>
      <c r="D468" s="469" t="s">
        <v>10</v>
      </c>
      <c r="E468" s="5">
        <v>48</v>
      </c>
      <c r="F468" s="5">
        <v>4</v>
      </c>
      <c r="G468" s="5">
        <v>9</v>
      </c>
      <c r="H468" s="378">
        <v>3417</v>
      </c>
      <c r="I468" s="379">
        <v>493</v>
      </c>
      <c r="J468" s="463">
        <f>I468/F468</f>
        <v>123.25</v>
      </c>
      <c r="K468" s="207">
        <f>H468/I468</f>
        <v>6.931034482758621</v>
      </c>
      <c r="L468" s="44">
        <v>702704</v>
      </c>
      <c r="M468" s="46">
        <v>62786</v>
      </c>
      <c r="N468" s="275">
        <f>+L468/M468</f>
        <v>11.192049182938872</v>
      </c>
      <c r="O468" s="99">
        <v>458</v>
      </c>
    </row>
    <row r="469" spans="1:15" s="90" customFormat="1" ht="12" customHeight="1">
      <c r="A469" s="91">
        <v>459</v>
      </c>
      <c r="B469" s="480" t="s">
        <v>341</v>
      </c>
      <c r="C469" s="461">
        <v>40536</v>
      </c>
      <c r="D469" s="462" t="s">
        <v>10</v>
      </c>
      <c r="E469" s="4">
        <v>48</v>
      </c>
      <c r="F469" s="3">
        <v>5</v>
      </c>
      <c r="G469" s="3">
        <v>8</v>
      </c>
      <c r="H469" s="378">
        <v>2592</v>
      </c>
      <c r="I469" s="379">
        <v>363</v>
      </c>
      <c r="J469" s="463">
        <f>I469/F469</f>
        <v>72.6</v>
      </c>
      <c r="K469" s="207">
        <f>H469/I469</f>
        <v>7.140495867768595</v>
      </c>
      <c r="L469" s="44">
        <v>699287</v>
      </c>
      <c r="M469" s="46">
        <v>62293</v>
      </c>
      <c r="N469" s="275">
        <f>+L469/M469</f>
        <v>11.225771756056057</v>
      </c>
      <c r="O469" s="99">
        <v>459</v>
      </c>
    </row>
    <row r="470" spans="1:15" s="90" customFormat="1" ht="12" customHeight="1">
      <c r="A470" s="91">
        <v>460</v>
      </c>
      <c r="B470" s="468" t="s">
        <v>341</v>
      </c>
      <c r="C470" s="2">
        <v>40536</v>
      </c>
      <c r="D470" s="20" t="s">
        <v>10</v>
      </c>
      <c r="E470" s="6">
        <v>48</v>
      </c>
      <c r="F470" s="6">
        <v>2</v>
      </c>
      <c r="G470" s="6">
        <v>7</v>
      </c>
      <c r="H470" s="378">
        <v>2498</v>
      </c>
      <c r="I470" s="379">
        <v>822</v>
      </c>
      <c r="J470" s="463">
        <f>I470/F470</f>
        <v>411</v>
      </c>
      <c r="K470" s="207">
        <f>H470/I470</f>
        <v>3.0389294403892944</v>
      </c>
      <c r="L470" s="44">
        <v>696695</v>
      </c>
      <c r="M470" s="46">
        <v>61930</v>
      </c>
      <c r="N470" s="275">
        <f>+L470/M470</f>
        <v>11.249717422896818</v>
      </c>
      <c r="O470" s="99">
        <v>460</v>
      </c>
    </row>
    <row r="471" spans="1:15" s="90" customFormat="1" ht="12" customHeight="1">
      <c r="A471" s="91">
        <v>461</v>
      </c>
      <c r="B471" s="480" t="s">
        <v>341</v>
      </c>
      <c r="C471" s="461">
        <v>40536</v>
      </c>
      <c r="D471" s="462" t="s">
        <v>10</v>
      </c>
      <c r="E471" s="4">
        <v>48</v>
      </c>
      <c r="F471" s="4">
        <v>3</v>
      </c>
      <c r="G471" s="4">
        <v>6</v>
      </c>
      <c r="H471" s="378">
        <v>2270</v>
      </c>
      <c r="I471" s="379">
        <v>656</v>
      </c>
      <c r="J471" s="463">
        <f>I471/F471</f>
        <v>218.66666666666666</v>
      </c>
      <c r="K471" s="207">
        <f>H471/I471</f>
        <v>3.4603658536585367</v>
      </c>
      <c r="L471" s="44">
        <v>694197</v>
      </c>
      <c r="M471" s="46">
        <v>61108</v>
      </c>
      <c r="N471" s="275">
        <f>+L471/M471</f>
        <v>11.360165608430975</v>
      </c>
      <c r="O471" s="99">
        <v>461</v>
      </c>
    </row>
    <row r="472" spans="1:15" s="90" customFormat="1" ht="12" customHeight="1">
      <c r="A472" s="91">
        <v>462</v>
      </c>
      <c r="B472" s="468" t="s">
        <v>341</v>
      </c>
      <c r="C472" s="461">
        <v>40536</v>
      </c>
      <c r="D472" s="469" t="s">
        <v>10</v>
      </c>
      <c r="E472" s="5">
        <v>48</v>
      </c>
      <c r="F472" s="5">
        <v>2</v>
      </c>
      <c r="G472" s="5">
        <v>11</v>
      </c>
      <c r="H472" s="378">
        <v>2258</v>
      </c>
      <c r="I472" s="379">
        <v>388</v>
      </c>
      <c r="J472" s="463">
        <f>I472/F472</f>
        <v>194</v>
      </c>
      <c r="K472" s="482">
        <f>H472/I472</f>
        <v>5.819587628865979</v>
      </c>
      <c r="L472" s="44">
        <v>706152</v>
      </c>
      <c r="M472" s="46">
        <v>63570</v>
      </c>
      <c r="N472" s="275">
        <f>+L472/M472</f>
        <v>11.10825861255309</v>
      </c>
      <c r="O472" s="99">
        <v>462</v>
      </c>
    </row>
    <row r="473" spans="1:15" s="90" customFormat="1" ht="12" customHeight="1">
      <c r="A473" s="91">
        <v>463</v>
      </c>
      <c r="B473" s="480" t="s">
        <v>341</v>
      </c>
      <c r="C473" s="461">
        <v>40536</v>
      </c>
      <c r="D473" s="462" t="s">
        <v>10</v>
      </c>
      <c r="E473" s="3">
        <v>48</v>
      </c>
      <c r="F473" s="3">
        <v>1</v>
      </c>
      <c r="G473" s="3">
        <v>10</v>
      </c>
      <c r="H473" s="378">
        <v>1190</v>
      </c>
      <c r="I473" s="379">
        <v>396</v>
      </c>
      <c r="J473" s="463">
        <f>I473/F473</f>
        <v>396</v>
      </c>
      <c r="K473" s="207">
        <f>H473/I473</f>
        <v>3.005050505050505</v>
      </c>
      <c r="L473" s="44">
        <v>703894</v>
      </c>
      <c r="M473" s="46">
        <v>63182</v>
      </c>
      <c r="N473" s="275">
        <f>+L473/M473</f>
        <v>11.140736285650977</v>
      </c>
      <c r="O473" s="99">
        <v>463</v>
      </c>
    </row>
    <row r="474" spans="1:15" s="90" customFormat="1" ht="12" customHeight="1">
      <c r="A474" s="91">
        <v>464</v>
      </c>
      <c r="B474" s="468" t="s">
        <v>342</v>
      </c>
      <c r="C474" s="461">
        <v>39577</v>
      </c>
      <c r="D474" s="469" t="s">
        <v>79</v>
      </c>
      <c r="E474" s="5">
        <v>26</v>
      </c>
      <c r="F474" s="5">
        <v>1</v>
      </c>
      <c r="G474" s="5">
        <v>16</v>
      </c>
      <c r="H474" s="528">
        <v>1188</v>
      </c>
      <c r="I474" s="529">
        <v>198</v>
      </c>
      <c r="J474" s="483">
        <f>I474/F474</f>
        <v>198</v>
      </c>
      <c r="K474" s="484">
        <f>H474/I474</f>
        <v>6</v>
      </c>
      <c r="L474" s="23">
        <v>117962.42</v>
      </c>
      <c r="M474" s="431">
        <v>13895</v>
      </c>
      <c r="N474" s="485">
        <f>+L474/M474</f>
        <v>8.48955883411299</v>
      </c>
      <c r="O474" s="99">
        <v>464</v>
      </c>
    </row>
    <row r="475" spans="1:15" s="90" customFormat="1" ht="12" customHeight="1">
      <c r="A475" s="91">
        <v>465</v>
      </c>
      <c r="B475" s="474" t="s">
        <v>386</v>
      </c>
      <c r="C475" s="475">
        <v>40522</v>
      </c>
      <c r="D475" s="476" t="s">
        <v>8</v>
      </c>
      <c r="E475" s="5">
        <v>110</v>
      </c>
      <c r="F475" s="5">
        <v>1</v>
      </c>
      <c r="G475" s="5">
        <v>15</v>
      </c>
      <c r="H475" s="494">
        <v>800</v>
      </c>
      <c r="I475" s="495">
        <v>80</v>
      </c>
      <c r="J475" s="94">
        <f>I475/F475</f>
        <v>80</v>
      </c>
      <c r="K475" s="95">
        <f>H475/I475</f>
        <v>10</v>
      </c>
      <c r="L475" s="10">
        <v>5015911</v>
      </c>
      <c r="M475" s="11">
        <v>477409</v>
      </c>
      <c r="N475" s="98">
        <f>+L475/M475</f>
        <v>10.506527945639903</v>
      </c>
      <c r="O475" s="99">
        <v>465</v>
      </c>
    </row>
    <row r="476" spans="1:15" s="90" customFormat="1" ht="12" customHeight="1">
      <c r="A476" s="91">
        <v>466</v>
      </c>
      <c r="B476" s="459" t="s">
        <v>379</v>
      </c>
      <c r="C476" s="113">
        <v>40361</v>
      </c>
      <c r="D476" s="114" t="s">
        <v>23</v>
      </c>
      <c r="E476" s="115">
        <v>161</v>
      </c>
      <c r="F476" s="115">
        <v>1</v>
      </c>
      <c r="G476" s="115">
        <v>57</v>
      </c>
      <c r="H476" s="380">
        <v>1204</v>
      </c>
      <c r="I476" s="381">
        <v>350</v>
      </c>
      <c r="J476" s="280">
        <f>I476/F476</f>
        <v>350</v>
      </c>
      <c r="K476" s="317">
        <f>H476/I476</f>
        <v>3.44</v>
      </c>
      <c r="L476" s="242">
        <v>3668921</v>
      </c>
      <c r="M476" s="241">
        <v>336549</v>
      </c>
      <c r="N476" s="101">
        <f>+L476/M476</f>
        <v>10.901595310044005</v>
      </c>
      <c r="O476" s="99">
        <v>466</v>
      </c>
    </row>
    <row r="477" spans="1:15" s="90" customFormat="1" ht="12" customHeight="1">
      <c r="A477" s="91">
        <v>467</v>
      </c>
      <c r="B477" s="214" t="s">
        <v>379</v>
      </c>
      <c r="C477" s="631">
        <v>40361</v>
      </c>
      <c r="D477" s="577" t="s">
        <v>23</v>
      </c>
      <c r="E477" s="31">
        <v>161</v>
      </c>
      <c r="F477" s="31">
        <v>1</v>
      </c>
      <c r="G477" s="31">
        <v>57</v>
      </c>
      <c r="H477" s="526">
        <v>1204</v>
      </c>
      <c r="I477" s="532">
        <v>350</v>
      </c>
      <c r="J477" s="280">
        <f>I477/F477</f>
        <v>350</v>
      </c>
      <c r="K477" s="317">
        <f>H477/I477</f>
        <v>3.44</v>
      </c>
      <c r="L477" s="28">
        <v>3670125</v>
      </c>
      <c r="M477" s="29">
        <v>336899</v>
      </c>
      <c r="N477" s="319">
        <f>+L477/M477</f>
        <v>10.893843555486956</v>
      </c>
      <c r="O477" s="99">
        <v>467</v>
      </c>
    </row>
    <row r="478" spans="1:15" s="90" customFormat="1" ht="12" customHeight="1">
      <c r="A478" s="91">
        <v>468</v>
      </c>
      <c r="B478" s="214" t="s">
        <v>379</v>
      </c>
      <c r="C478" s="671">
        <v>40361</v>
      </c>
      <c r="D478" s="577" t="s">
        <v>23</v>
      </c>
      <c r="E478" s="31">
        <v>161</v>
      </c>
      <c r="F478" s="31">
        <v>1</v>
      </c>
      <c r="G478" s="31">
        <v>58</v>
      </c>
      <c r="H478" s="526">
        <v>1204</v>
      </c>
      <c r="I478" s="532">
        <v>350</v>
      </c>
      <c r="J478" s="280">
        <f>I478/F478</f>
        <v>350</v>
      </c>
      <c r="K478" s="317">
        <f>H478/I478</f>
        <v>3.44</v>
      </c>
      <c r="L478" s="28">
        <v>3671329</v>
      </c>
      <c r="M478" s="29">
        <v>337249</v>
      </c>
      <c r="N478" s="630">
        <f>+L478/M478</f>
        <v>10.886107890609017</v>
      </c>
      <c r="O478" s="99">
        <v>468</v>
      </c>
    </row>
    <row r="479" spans="1:15" s="90" customFormat="1" ht="12" customHeight="1">
      <c r="A479" s="91">
        <v>469</v>
      </c>
      <c r="B479" s="214" t="s">
        <v>379</v>
      </c>
      <c r="C479" s="932">
        <v>40361</v>
      </c>
      <c r="D479" s="594" t="s">
        <v>23</v>
      </c>
      <c r="E479" s="22">
        <v>161</v>
      </c>
      <c r="F479" s="22">
        <v>1</v>
      </c>
      <c r="G479" s="22">
        <v>59</v>
      </c>
      <c r="H479" s="526">
        <v>1204</v>
      </c>
      <c r="I479" s="532">
        <v>350</v>
      </c>
      <c r="J479" s="280">
        <f>I479/F479</f>
        <v>350</v>
      </c>
      <c r="K479" s="317">
        <f>H479/I479</f>
        <v>3.44</v>
      </c>
      <c r="L479" s="28">
        <v>3672533</v>
      </c>
      <c r="M479" s="29">
        <v>337599</v>
      </c>
      <c r="N479" s="630">
        <f>+L479/M479</f>
        <v>10.878388265368084</v>
      </c>
      <c r="O479" s="99">
        <v>469</v>
      </c>
    </row>
    <row r="480" spans="1:15" s="90" customFormat="1" ht="12" customHeight="1">
      <c r="A480" s="91">
        <v>470</v>
      </c>
      <c r="B480" s="559" t="s">
        <v>343</v>
      </c>
      <c r="C480" s="436">
        <v>40137</v>
      </c>
      <c r="D480" s="30" t="s">
        <v>31</v>
      </c>
      <c r="E480" s="437">
        <v>147</v>
      </c>
      <c r="F480" s="437">
        <v>1</v>
      </c>
      <c r="G480" s="437">
        <v>31</v>
      </c>
      <c r="H480" s="339">
        <v>138</v>
      </c>
      <c r="I480" s="340">
        <v>23</v>
      </c>
      <c r="J480" s="106">
        <v>22</v>
      </c>
      <c r="K480" s="197">
        <v>10</v>
      </c>
      <c r="L480" s="12">
        <f>10813638+1782+94+1782+138</f>
        <v>10817434</v>
      </c>
      <c r="M480" s="13">
        <f>1242823+446+17+445+23</f>
        <v>1243754</v>
      </c>
      <c r="N480" s="198">
        <v>8.700867299687888</v>
      </c>
      <c r="O480" s="99">
        <v>470</v>
      </c>
    </row>
    <row r="481" spans="1:15" s="90" customFormat="1" ht="12" customHeight="1">
      <c r="A481" s="91">
        <v>471</v>
      </c>
      <c r="B481" s="177" t="s">
        <v>167</v>
      </c>
      <c r="C481" s="32">
        <v>40508</v>
      </c>
      <c r="D481" s="178" t="s">
        <v>31</v>
      </c>
      <c r="E481" s="33">
        <v>44</v>
      </c>
      <c r="F481" s="33">
        <v>2</v>
      </c>
      <c r="G481" s="33">
        <v>6</v>
      </c>
      <c r="H481" s="509">
        <v>1171.5</v>
      </c>
      <c r="I481" s="340">
        <v>282</v>
      </c>
      <c r="J481" s="106">
        <f>(I481/F481)</f>
        <v>141</v>
      </c>
      <c r="K481" s="266">
        <f>H481/I481</f>
        <v>4.154255319148936</v>
      </c>
      <c r="L481" s="26">
        <f>49086+11854+1926+2212.5+1180+1171.5</f>
        <v>67430</v>
      </c>
      <c r="M481" s="13">
        <f>5689+1635+274+420+165+282</f>
        <v>8465</v>
      </c>
      <c r="N481" s="198">
        <f>L481/M481</f>
        <v>7.96574128765505</v>
      </c>
      <c r="O481" s="99">
        <v>471</v>
      </c>
    </row>
    <row r="482" spans="1:15" s="90" customFormat="1" ht="12" customHeight="1">
      <c r="A482" s="91">
        <v>472</v>
      </c>
      <c r="B482" s="602" t="s">
        <v>409</v>
      </c>
      <c r="C482" s="658">
        <v>39871</v>
      </c>
      <c r="D482" s="594" t="s">
        <v>28</v>
      </c>
      <c r="E482" s="31">
        <v>192</v>
      </c>
      <c r="F482" s="589">
        <v>1</v>
      </c>
      <c r="G482" s="589">
        <v>23</v>
      </c>
      <c r="H482" s="731">
        <v>2402</v>
      </c>
      <c r="I482" s="703">
        <v>480</v>
      </c>
      <c r="J482" s="280">
        <f>I482/F482</f>
        <v>480</v>
      </c>
      <c r="K482" s="317">
        <f>H482/I482</f>
        <v>5.004166666666666</v>
      </c>
      <c r="L482" s="626">
        <f>568084.5+439199.5+199559+109980+164256.5-20+26773.5+13463+1383+6404+0.5+715+335+85+378+1008+757+6618+713+0.75+243+1525+380+105+2395+1918+2402</f>
        <v>1548661.25</v>
      </c>
      <c r="M482" s="449">
        <f>79686+62524+31158+18444+26844-3+5195+2619+207+1137+130+77+14+84+252+149+1160+124+32+241+76+21+342+319+480</f>
        <v>231312</v>
      </c>
      <c r="N482" s="629">
        <f>+L482/M482</f>
        <v>6.695118497959466</v>
      </c>
      <c r="O482" s="99">
        <v>472</v>
      </c>
    </row>
    <row r="483" spans="1:15" s="90" customFormat="1" ht="12" customHeight="1">
      <c r="A483" s="91">
        <v>473</v>
      </c>
      <c r="B483" s="411" t="s">
        <v>344</v>
      </c>
      <c r="C483" s="493">
        <v>40473</v>
      </c>
      <c r="D483" s="178" t="s">
        <v>31</v>
      </c>
      <c r="E483" s="413">
        <v>2</v>
      </c>
      <c r="F483" s="413">
        <v>1</v>
      </c>
      <c r="G483" s="413">
        <v>8</v>
      </c>
      <c r="H483" s="509">
        <v>2138.5</v>
      </c>
      <c r="I483" s="523">
        <v>534</v>
      </c>
      <c r="J483" s="390">
        <f>(I483/F483)</f>
        <v>534</v>
      </c>
      <c r="K483" s="266">
        <f>H483/I483</f>
        <v>4.004681647940075</v>
      </c>
      <c r="L483" s="26">
        <f>6832+2665+3612+1330+1973+129+396+2138.5</f>
        <v>19075.5</v>
      </c>
      <c r="M483" s="27">
        <f>659+312+817+151+365+14+89+534</f>
        <v>2941</v>
      </c>
      <c r="N483" s="198">
        <f>L483/M483</f>
        <v>6.486059163549813</v>
      </c>
      <c r="O483" s="99">
        <v>473</v>
      </c>
    </row>
    <row r="484" spans="1:15" s="90" customFormat="1" ht="12" customHeight="1">
      <c r="A484" s="91">
        <v>474</v>
      </c>
      <c r="B484" s="417" t="s">
        <v>344</v>
      </c>
      <c r="C484" s="412">
        <v>40473</v>
      </c>
      <c r="D484" s="30" t="s">
        <v>31</v>
      </c>
      <c r="E484" s="418">
        <v>2</v>
      </c>
      <c r="F484" s="418">
        <v>1</v>
      </c>
      <c r="G484" s="418">
        <v>9</v>
      </c>
      <c r="H484" s="339">
        <v>1307</v>
      </c>
      <c r="I484" s="340">
        <v>327</v>
      </c>
      <c r="J484" s="106">
        <f>(I484/F484)</f>
        <v>327</v>
      </c>
      <c r="K484" s="197">
        <f>H484/I484</f>
        <v>3.996941896024465</v>
      </c>
      <c r="L484" s="12">
        <f>6832+2665+3612+1330+1973+129+396+2138.5+1307</f>
        <v>20382.5</v>
      </c>
      <c r="M484" s="13">
        <f>659+312+817+151+365+14+89+534+327</f>
        <v>3268</v>
      </c>
      <c r="N484" s="198">
        <f>L484/M484</f>
        <v>6.236995104039168</v>
      </c>
      <c r="O484" s="99">
        <v>474</v>
      </c>
    </row>
    <row r="485" spans="1:15" s="90" customFormat="1" ht="12" customHeight="1">
      <c r="A485" s="91">
        <v>475</v>
      </c>
      <c r="B485" s="1142" t="s">
        <v>344</v>
      </c>
      <c r="C485" s="493">
        <v>40473</v>
      </c>
      <c r="D485" s="195" t="s">
        <v>31</v>
      </c>
      <c r="E485" s="418">
        <v>2</v>
      </c>
      <c r="F485" s="418">
        <v>1</v>
      </c>
      <c r="G485" s="418">
        <v>7</v>
      </c>
      <c r="H485" s="339">
        <v>396</v>
      </c>
      <c r="I485" s="340">
        <v>89</v>
      </c>
      <c r="J485" s="106">
        <f>(I485/F485)</f>
        <v>89</v>
      </c>
      <c r="K485" s="197">
        <f>H485/I485</f>
        <v>4.449438202247191</v>
      </c>
      <c r="L485" s="12">
        <f>6832+2665+3612+1330+1973+129+396</f>
        <v>16937</v>
      </c>
      <c r="M485" s="13">
        <f>659+312+817+151+365+14+89</f>
        <v>2407</v>
      </c>
      <c r="N485" s="198">
        <f>L485/M485</f>
        <v>7.036560033236394</v>
      </c>
      <c r="O485" s="99">
        <v>475</v>
      </c>
    </row>
    <row r="486" spans="1:15" s="90" customFormat="1" ht="12" customHeight="1">
      <c r="A486" s="91">
        <v>476</v>
      </c>
      <c r="B486" s="419" t="s">
        <v>344</v>
      </c>
      <c r="C486" s="412">
        <v>40473</v>
      </c>
      <c r="D486" s="178" t="s">
        <v>31</v>
      </c>
      <c r="E486" s="418">
        <v>2</v>
      </c>
      <c r="F486" s="418">
        <v>1</v>
      </c>
      <c r="G486" s="418">
        <v>6</v>
      </c>
      <c r="H486" s="509">
        <v>129</v>
      </c>
      <c r="I486" s="340">
        <v>14</v>
      </c>
      <c r="J486" s="106">
        <f>(I486/F486)</f>
        <v>14</v>
      </c>
      <c r="K486" s="266">
        <f>H486/I486</f>
        <v>9.214285714285714</v>
      </c>
      <c r="L486" s="26">
        <f>6832+2665+3612+1330+1973+129</f>
        <v>16541</v>
      </c>
      <c r="M486" s="13">
        <f>659+312+817+151+365+14</f>
        <v>2318</v>
      </c>
      <c r="N486" s="198">
        <f>L486/M486</f>
        <v>7.135893011216566</v>
      </c>
      <c r="O486" s="99">
        <v>476</v>
      </c>
    </row>
    <row r="487" spans="1:15" s="90" customFormat="1" ht="12" customHeight="1">
      <c r="A487" s="91">
        <v>477</v>
      </c>
      <c r="B487" s="177" t="s">
        <v>345</v>
      </c>
      <c r="C487" s="32">
        <v>40494</v>
      </c>
      <c r="D487" s="195" t="s">
        <v>31</v>
      </c>
      <c r="E487" s="33">
        <v>80</v>
      </c>
      <c r="F487" s="33">
        <v>13</v>
      </c>
      <c r="G487" s="33">
        <v>8</v>
      </c>
      <c r="H487" s="509">
        <v>11751.5</v>
      </c>
      <c r="I487" s="340">
        <v>2055</v>
      </c>
      <c r="J487" s="106">
        <f>(I487/F487)</f>
        <v>158.07692307692307</v>
      </c>
      <c r="K487" s="266">
        <f>H487/I487</f>
        <v>5.718491484184915</v>
      </c>
      <c r="L487" s="26">
        <f>400584.5+260220.5+91588.5+26738.5+6598.5+10112.5+8832+11751.5</f>
        <v>816426.5</v>
      </c>
      <c r="M487" s="13">
        <f>34427+24318+9929+5066+1310+1866+1322+2055</f>
        <v>80293</v>
      </c>
      <c r="N487" s="198">
        <f>L487/M487</f>
        <v>10.168090618111167</v>
      </c>
      <c r="O487" s="99">
        <v>477</v>
      </c>
    </row>
    <row r="488" spans="1:15" s="90" customFormat="1" ht="12" customHeight="1">
      <c r="A488" s="91">
        <v>478</v>
      </c>
      <c r="B488" s="177" t="s">
        <v>345</v>
      </c>
      <c r="C488" s="32">
        <v>40494</v>
      </c>
      <c r="D488" s="195" t="s">
        <v>31</v>
      </c>
      <c r="E488" s="33">
        <v>80</v>
      </c>
      <c r="F488" s="33">
        <v>1</v>
      </c>
      <c r="G488" s="33">
        <v>11</v>
      </c>
      <c r="H488" s="339">
        <v>3564</v>
      </c>
      <c r="I488" s="340">
        <v>891</v>
      </c>
      <c r="J488" s="106">
        <f>(I488/F488)</f>
        <v>891</v>
      </c>
      <c r="K488" s="197">
        <f>H488/I488</f>
        <v>4</v>
      </c>
      <c r="L488" s="12">
        <f>400584.5+260220.5+91588.5+26738.5+6598.5+10112.5+8832+11751.5+1782+1570.5+3564</f>
        <v>823343</v>
      </c>
      <c r="M488" s="13">
        <f>34427+24318+9929+5066+1310+1866+1322+2055+445+470+891</f>
        <v>82099</v>
      </c>
      <c r="N488" s="198">
        <f>L488/M488</f>
        <v>10.02866051961656</v>
      </c>
      <c r="O488" s="99">
        <v>478</v>
      </c>
    </row>
    <row r="489" spans="1:15" s="90" customFormat="1" ht="12" customHeight="1">
      <c r="A489" s="91">
        <v>479</v>
      </c>
      <c r="B489" s="180" t="s">
        <v>345</v>
      </c>
      <c r="C489" s="32">
        <v>40494</v>
      </c>
      <c r="D489" s="178" t="s">
        <v>31</v>
      </c>
      <c r="E489" s="33">
        <v>80</v>
      </c>
      <c r="F489" s="33">
        <v>1</v>
      </c>
      <c r="G489" s="33">
        <v>9</v>
      </c>
      <c r="H489" s="339">
        <v>1782</v>
      </c>
      <c r="I489" s="340">
        <v>445</v>
      </c>
      <c r="J489" s="106">
        <f>(I489/F489)</f>
        <v>445</v>
      </c>
      <c r="K489" s="197">
        <f>H489/I489</f>
        <v>4.004494382022472</v>
      </c>
      <c r="L489" s="12">
        <f>400584.5+260220.5+91588.5+26738.5+6598.5+10112.5+8832+11751.5+1782</f>
        <v>818208.5</v>
      </c>
      <c r="M489" s="13">
        <f>34427+24318+9929+5066+1310+1866+1322+2055+445</f>
        <v>80738</v>
      </c>
      <c r="N489" s="198">
        <f>L489/M489</f>
        <v>10.134119002204661</v>
      </c>
      <c r="O489" s="99">
        <v>479</v>
      </c>
    </row>
    <row r="490" spans="1:15" s="90" customFormat="1" ht="12" customHeight="1">
      <c r="A490" s="91">
        <v>480</v>
      </c>
      <c r="B490" s="432" t="s">
        <v>345</v>
      </c>
      <c r="C490" s="433">
        <v>40494</v>
      </c>
      <c r="D490" s="195" t="s">
        <v>31</v>
      </c>
      <c r="E490" s="186">
        <v>80</v>
      </c>
      <c r="F490" s="186">
        <v>2</v>
      </c>
      <c r="G490" s="186">
        <v>10</v>
      </c>
      <c r="H490" s="506">
        <v>1570.5</v>
      </c>
      <c r="I490" s="512">
        <v>470</v>
      </c>
      <c r="J490" s="434">
        <f>(I490/F490)</f>
        <v>235</v>
      </c>
      <c r="K490" s="435">
        <f>H490/I490</f>
        <v>3.3414893617021275</v>
      </c>
      <c r="L490" s="189">
        <f>400584.5+260220.5+91588.5+26738.5+6598.5+10112.5+8832+11751.5+1782+1570.5</f>
        <v>819779</v>
      </c>
      <c r="M490" s="190">
        <f>34427+24318+9929+5066+1310+1866+1322+2055+445+470</f>
        <v>81208</v>
      </c>
      <c r="N490" s="486">
        <f>L490/M490</f>
        <v>10.094805930450201</v>
      </c>
      <c r="O490" s="99">
        <v>480</v>
      </c>
    </row>
    <row r="491" spans="1:15" s="90" customFormat="1" ht="12" customHeight="1">
      <c r="A491" s="91">
        <v>481</v>
      </c>
      <c r="B491" s="1143" t="s">
        <v>345</v>
      </c>
      <c r="C491" s="475">
        <v>40494</v>
      </c>
      <c r="D491" s="467" t="s">
        <v>31</v>
      </c>
      <c r="E491" s="115">
        <v>80</v>
      </c>
      <c r="F491" s="115">
        <v>1</v>
      </c>
      <c r="G491" s="115">
        <v>12</v>
      </c>
      <c r="H491" s="456">
        <v>90</v>
      </c>
      <c r="I491" s="457">
        <v>15</v>
      </c>
      <c r="J491" s="94">
        <f>I491/F491</f>
        <v>15</v>
      </c>
      <c r="K491" s="95">
        <f>H491/I491</f>
        <v>6</v>
      </c>
      <c r="L491" s="107">
        <f>400584.5+260220.5+91588.5+26738.5+6598.5+10112.5+8832+11751.5+1782+1570.5+3564+90</f>
        <v>823433</v>
      </c>
      <c r="M491" s="108">
        <f>34427+24318+9929+5066+1310+1866+1322+2055+445+470+891+15</f>
        <v>82114</v>
      </c>
      <c r="N491" s="98">
        <f>+L491/M491</f>
        <v>10.0279245926395</v>
      </c>
      <c r="O491" s="99">
        <v>481</v>
      </c>
    </row>
    <row r="492" spans="1:15" s="90" customFormat="1" ht="12" customHeight="1">
      <c r="A492" s="91">
        <v>482</v>
      </c>
      <c r="B492" s="1143" t="s">
        <v>345</v>
      </c>
      <c r="C492" s="475">
        <v>40494</v>
      </c>
      <c r="D492" s="467" t="s">
        <v>31</v>
      </c>
      <c r="E492" s="115">
        <v>80</v>
      </c>
      <c r="F492" s="115">
        <v>1</v>
      </c>
      <c r="G492" s="115">
        <v>12</v>
      </c>
      <c r="H492" s="456">
        <v>90</v>
      </c>
      <c r="I492" s="457">
        <v>15</v>
      </c>
      <c r="J492" s="94">
        <f>I492/F492</f>
        <v>15</v>
      </c>
      <c r="K492" s="95">
        <f>H492/I492</f>
        <v>6</v>
      </c>
      <c r="L492" s="107">
        <f>400584.5+260220.5+91588.5+26738.5+6598.5+10112.5+8832+11751.5+1782+1570.5+3564+90</f>
        <v>823433</v>
      </c>
      <c r="M492" s="108">
        <f>34427+24318+9929+5066+1310+1866+1322+2055+445+470+891+15</f>
        <v>82114</v>
      </c>
      <c r="N492" s="98">
        <f>+L492/M492</f>
        <v>10.0279245926395</v>
      </c>
      <c r="O492" s="99">
        <v>482</v>
      </c>
    </row>
    <row r="493" spans="1:15" s="90" customFormat="1" ht="12" customHeight="1">
      <c r="A493" s="91">
        <v>483</v>
      </c>
      <c r="B493" s="263" t="s">
        <v>168</v>
      </c>
      <c r="C493" s="250">
        <v>40445</v>
      </c>
      <c r="D493" s="195" t="s">
        <v>31</v>
      </c>
      <c r="E493" s="33">
        <v>99</v>
      </c>
      <c r="F493" s="33">
        <v>1</v>
      </c>
      <c r="G493" s="33">
        <v>13</v>
      </c>
      <c r="H493" s="339">
        <v>966</v>
      </c>
      <c r="I493" s="340">
        <v>317</v>
      </c>
      <c r="J493" s="106">
        <f>(I493/F493)</f>
        <v>317</v>
      </c>
      <c r="K493" s="197">
        <f>H493/I493</f>
        <v>3.047318611987382</v>
      </c>
      <c r="L493" s="12">
        <f>321502+248658+168337.5+120626.5+93787.5+82596.5+8900+14133+4789+1421+2440+594+966</f>
        <v>1068751</v>
      </c>
      <c r="M493" s="13">
        <f>37510+29635+22309+17930+15012+11746+1292+2243+804+260+600+115+317</f>
        <v>139773</v>
      </c>
      <c r="N493" s="198">
        <f>L493/M493</f>
        <v>7.64633369821067</v>
      </c>
      <c r="O493" s="99">
        <v>483</v>
      </c>
    </row>
    <row r="494" spans="1:15" s="90" customFormat="1" ht="12" customHeight="1">
      <c r="A494" s="91">
        <v>484</v>
      </c>
      <c r="B494" s="194" t="s">
        <v>168</v>
      </c>
      <c r="C494" s="32">
        <v>40445</v>
      </c>
      <c r="D494" s="178" t="s">
        <v>31</v>
      </c>
      <c r="E494" s="196">
        <v>99</v>
      </c>
      <c r="F494" s="196">
        <v>1</v>
      </c>
      <c r="G494" s="196">
        <v>14</v>
      </c>
      <c r="H494" s="339">
        <v>678</v>
      </c>
      <c r="I494" s="340">
        <v>102</v>
      </c>
      <c r="J494" s="106">
        <f>(I494/F494)</f>
        <v>102</v>
      </c>
      <c r="K494" s="197">
        <f>H494/I494</f>
        <v>6.647058823529412</v>
      </c>
      <c r="L494" s="12">
        <f>321502+248658+168337.5+120626.5+93787.5+82596.5+8900+14133+4789+1421+2440+594+966+678</f>
        <v>1069429</v>
      </c>
      <c r="M494" s="13">
        <f>37510+29635+22309+17930+15012+11746+1292+2243+804+260+600+115+317+102</f>
        <v>139875</v>
      </c>
      <c r="N494" s="198">
        <f>L494/M494</f>
        <v>7.645605004468275</v>
      </c>
      <c r="O494" s="99">
        <v>484</v>
      </c>
    </row>
    <row r="495" spans="1:15" s="90" customFormat="1" ht="12" customHeight="1">
      <c r="A495" s="91">
        <v>485</v>
      </c>
      <c r="B495" s="263" t="s">
        <v>168</v>
      </c>
      <c r="C495" s="250">
        <v>40445</v>
      </c>
      <c r="D495" s="195" t="s">
        <v>31</v>
      </c>
      <c r="E495" s="208">
        <v>99</v>
      </c>
      <c r="F495" s="33">
        <v>1</v>
      </c>
      <c r="G495" s="33">
        <v>12</v>
      </c>
      <c r="H495" s="339">
        <v>594</v>
      </c>
      <c r="I495" s="340">
        <v>115</v>
      </c>
      <c r="J495" s="106">
        <f>(I495/F495)</f>
        <v>115</v>
      </c>
      <c r="K495" s="197">
        <f>H495/I495</f>
        <v>5.165217391304348</v>
      </c>
      <c r="L495" s="12">
        <f>321502+248658+168337.5+120626.5+93787.5+82596.5+8900+14133+4789+1421+2440+594</f>
        <v>1067785</v>
      </c>
      <c r="M495" s="13">
        <f>37510+29635+22309+17930+15012+11746+1292+2243+804+260+600+115</f>
        <v>139456</v>
      </c>
      <c r="N495" s="198">
        <f>L495/M495</f>
        <v>7.65678780403855</v>
      </c>
      <c r="O495" s="99">
        <v>485</v>
      </c>
    </row>
    <row r="496" spans="1:15" s="90" customFormat="1" ht="12" customHeight="1">
      <c r="A496" s="91">
        <v>486</v>
      </c>
      <c r="B496" s="265" t="s">
        <v>346</v>
      </c>
      <c r="C496" s="32">
        <v>40508</v>
      </c>
      <c r="D496" s="178" t="s">
        <v>31</v>
      </c>
      <c r="E496" s="208">
        <v>34</v>
      </c>
      <c r="F496" s="208">
        <v>17</v>
      </c>
      <c r="G496" s="208">
        <v>6</v>
      </c>
      <c r="H496" s="509">
        <v>14630.5</v>
      </c>
      <c r="I496" s="340">
        <v>2283</v>
      </c>
      <c r="J496" s="106">
        <f>(I496/F496)</f>
        <v>134.2941176470588</v>
      </c>
      <c r="K496" s="266">
        <f>H496/I496</f>
        <v>6.408453788874288</v>
      </c>
      <c r="L496" s="26">
        <f>122173+87330+23120+25637+29159.5+14630.5</f>
        <v>302050</v>
      </c>
      <c r="M496" s="13">
        <f>10588+8153+2702+3877+4807+2283</f>
        <v>32410</v>
      </c>
      <c r="N496" s="198">
        <f>L496/M496</f>
        <v>9.319654427645789</v>
      </c>
      <c r="O496" s="99">
        <v>486</v>
      </c>
    </row>
    <row r="497" spans="1:15" s="90" customFormat="1" ht="12" customHeight="1">
      <c r="A497" s="91">
        <v>487</v>
      </c>
      <c r="B497" s="263" t="s">
        <v>346</v>
      </c>
      <c r="C497" s="250">
        <v>40508</v>
      </c>
      <c r="D497" s="264" t="s">
        <v>31</v>
      </c>
      <c r="E497" s="208">
        <v>34</v>
      </c>
      <c r="F497" s="208">
        <v>1</v>
      </c>
      <c r="G497" s="208">
        <v>11</v>
      </c>
      <c r="H497" s="339">
        <v>1632.5</v>
      </c>
      <c r="I497" s="340">
        <v>203</v>
      </c>
      <c r="J497" s="106">
        <f>(I497/F497)</f>
        <v>203</v>
      </c>
      <c r="K497" s="197">
        <f>H497/I497</f>
        <v>8.041871921182265</v>
      </c>
      <c r="L497" s="12">
        <f>122173+87330+23120+25637+29159.5+14630.5+403+1246+229+767+1632.5</f>
        <v>306327.5</v>
      </c>
      <c r="M497" s="13">
        <f>10588+8153+2702+3877+4807+2283+58+199+33+115+203</f>
        <v>33018</v>
      </c>
      <c r="N497" s="198">
        <f>L497/M497</f>
        <v>9.277591010963716</v>
      </c>
      <c r="O497" s="99">
        <v>487</v>
      </c>
    </row>
    <row r="498" spans="1:15" s="90" customFormat="1" ht="12" customHeight="1">
      <c r="A498" s="91">
        <v>488</v>
      </c>
      <c r="B498" s="265" t="s">
        <v>346</v>
      </c>
      <c r="C498" s="250">
        <v>40508</v>
      </c>
      <c r="D498" s="195" t="s">
        <v>31</v>
      </c>
      <c r="E498" s="33">
        <v>34</v>
      </c>
      <c r="F498" s="33">
        <v>2</v>
      </c>
      <c r="G498" s="33">
        <v>8</v>
      </c>
      <c r="H498" s="339">
        <v>1246</v>
      </c>
      <c r="I498" s="340">
        <v>199</v>
      </c>
      <c r="J498" s="106">
        <f>(I498/F498)</f>
        <v>99.5</v>
      </c>
      <c r="K498" s="197">
        <f>H498/I498</f>
        <v>6.261306532663316</v>
      </c>
      <c r="L498" s="12">
        <f>122173+87330+23120+25637+29159.5+14630.5+403+1246</f>
        <v>303699</v>
      </c>
      <c r="M498" s="13">
        <f>10588+8153+2702+3877+4807+2283+58+199</f>
        <v>32667</v>
      </c>
      <c r="N498" s="198">
        <f>L498/M498</f>
        <v>9.296813297823492</v>
      </c>
      <c r="O498" s="99">
        <v>488</v>
      </c>
    </row>
    <row r="499" spans="1:15" s="90" customFormat="1" ht="12" customHeight="1">
      <c r="A499" s="91">
        <v>489</v>
      </c>
      <c r="B499" s="263" t="s">
        <v>346</v>
      </c>
      <c r="C499" s="250">
        <v>40508</v>
      </c>
      <c r="D499" s="264" t="s">
        <v>31</v>
      </c>
      <c r="E499" s="33">
        <v>34</v>
      </c>
      <c r="F499" s="33">
        <v>1</v>
      </c>
      <c r="G499" s="33">
        <v>10</v>
      </c>
      <c r="H499" s="339">
        <v>767</v>
      </c>
      <c r="I499" s="340">
        <v>115</v>
      </c>
      <c r="J499" s="106">
        <f>(I499/F499)</f>
        <v>115</v>
      </c>
      <c r="K499" s="197">
        <f>H499/I499</f>
        <v>6.6695652173913045</v>
      </c>
      <c r="L499" s="12">
        <f>122173+87330+23120+25637+29159.5+14630.5+403+1246+229+767</f>
        <v>304695</v>
      </c>
      <c r="M499" s="13">
        <f>10588+8153+2702+3877+4807+2283+58+199+33+115</f>
        <v>32815</v>
      </c>
      <c r="N499" s="198">
        <f>L499/M499</f>
        <v>9.28523541063538</v>
      </c>
      <c r="O499" s="99">
        <v>489</v>
      </c>
    </row>
    <row r="500" spans="1:15" s="90" customFormat="1" ht="12" customHeight="1">
      <c r="A500" s="91">
        <v>490</v>
      </c>
      <c r="B500" s="432" t="s">
        <v>346</v>
      </c>
      <c r="C500" s="433">
        <v>40508</v>
      </c>
      <c r="D500" s="490" t="s">
        <v>31</v>
      </c>
      <c r="E500" s="186">
        <v>34</v>
      </c>
      <c r="F500" s="186">
        <v>1</v>
      </c>
      <c r="G500" s="186">
        <v>13</v>
      </c>
      <c r="H500" s="339">
        <v>462</v>
      </c>
      <c r="I500" s="340">
        <v>77</v>
      </c>
      <c r="J500" s="106">
        <f>(I500/F500)</f>
        <v>77</v>
      </c>
      <c r="K500" s="197">
        <f>H500/I500</f>
        <v>6</v>
      </c>
      <c r="L500" s="12">
        <f>122173+87330+23120+25637+29159.5+14630.5+403+1246+229+767+1632.5+402+462</f>
        <v>307191.5</v>
      </c>
      <c r="M500" s="13">
        <f>10588+8153+2702+3877+4807+2283+58+199+33+115+203+67+77</f>
        <v>33162</v>
      </c>
      <c r="N500" s="198">
        <f>L500/M500</f>
        <v>9.263358663530546</v>
      </c>
      <c r="O500" s="99">
        <v>490</v>
      </c>
    </row>
    <row r="501" spans="1:15" s="90" customFormat="1" ht="12" customHeight="1">
      <c r="A501" s="91">
        <v>491</v>
      </c>
      <c r="B501" s="180" t="s">
        <v>346</v>
      </c>
      <c r="C501" s="32">
        <v>40508</v>
      </c>
      <c r="D501" s="178" t="s">
        <v>31</v>
      </c>
      <c r="E501" s="33">
        <v>34</v>
      </c>
      <c r="F501" s="33">
        <v>1</v>
      </c>
      <c r="G501" s="33">
        <v>7</v>
      </c>
      <c r="H501" s="339">
        <v>403</v>
      </c>
      <c r="I501" s="340">
        <v>58</v>
      </c>
      <c r="J501" s="106">
        <f>(I501/F501)</f>
        <v>58</v>
      </c>
      <c r="K501" s="197">
        <f>H501/I501</f>
        <v>6.948275862068965</v>
      </c>
      <c r="L501" s="12">
        <f>122173+87330+23120+25637+29159.5+14630.5+403</f>
        <v>302453</v>
      </c>
      <c r="M501" s="13">
        <f>10588+8153+2702+3877+4807+2283+58</f>
        <v>32468</v>
      </c>
      <c r="N501" s="198">
        <f>L501/M501</f>
        <v>9.315418257977084</v>
      </c>
      <c r="O501" s="99">
        <v>491</v>
      </c>
    </row>
    <row r="502" spans="1:15" s="90" customFormat="1" ht="12" customHeight="1">
      <c r="A502" s="91">
        <v>492</v>
      </c>
      <c r="B502" s="192" t="s">
        <v>346</v>
      </c>
      <c r="C502" s="32">
        <v>40508</v>
      </c>
      <c r="D502" s="195" t="s">
        <v>135</v>
      </c>
      <c r="E502" s="181">
        <v>34</v>
      </c>
      <c r="F502" s="181">
        <v>1</v>
      </c>
      <c r="G502" s="181">
        <v>12</v>
      </c>
      <c r="H502" s="339">
        <v>402</v>
      </c>
      <c r="I502" s="340">
        <v>67</v>
      </c>
      <c r="J502" s="106">
        <f>(I502/F502)</f>
        <v>67</v>
      </c>
      <c r="K502" s="487">
        <f>H502/I502</f>
        <v>6</v>
      </c>
      <c r="L502" s="12">
        <f>122173+87330+23120+25637+29159.5+14630.5+403+1246+229+767+1632.5+402</f>
        <v>306729.5</v>
      </c>
      <c r="M502" s="13">
        <f>10588+8153+2702+3877+4807+2283+58+199+33+115+203+67</f>
        <v>33085</v>
      </c>
      <c r="N502" s="198">
        <f>L502/M502</f>
        <v>9.270953604352426</v>
      </c>
      <c r="O502" s="99">
        <v>492</v>
      </c>
    </row>
    <row r="503" spans="1:15" s="90" customFormat="1" ht="12" customHeight="1">
      <c r="A503" s="91">
        <v>493</v>
      </c>
      <c r="B503" s="194" t="s">
        <v>346</v>
      </c>
      <c r="C503" s="250">
        <v>40508</v>
      </c>
      <c r="D503" s="195" t="s">
        <v>31</v>
      </c>
      <c r="E503" s="196">
        <v>34</v>
      </c>
      <c r="F503" s="181">
        <v>1</v>
      </c>
      <c r="G503" s="181">
        <v>9</v>
      </c>
      <c r="H503" s="509">
        <v>229</v>
      </c>
      <c r="I503" s="523">
        <v>33</v>
      </c>
      <c r="J503" s="390">
        <f>(I503/F503)</f>
        <v>33</v>
      </c>
      <c r="K503" s="266">
        <f>H503/I503</f>
        <v>6.9393939393939394</v>
      </c>
      <c r="L503" s="26">
        <f>122173+87330+23120+25637+29159.5+14630.5+403+1246+229</f>
        <v>303928</v>
      </c>
      <c r="M503" s="27">
        <f>10588+8153+2702+3877+4807+2283+58+199+33</f>
        <v>32700</v>
      </c>
      <c r="N503" s="198">
        <f>L503/M503</f>
        <v>9.294434250764526</v>
      </c>
      <c r="O503" s="99">
        <v>493</v>
      </c>
    </row>
    <row r="504" spans="1:15" s="90" customFormat="1" ht="12" customHeight="1">
      <c r="A504" s="91">
        <v>494</v>
      </c>
      <c r="B504" s="192" t="s">
        <v>141</v>
      </c>
      <c r="C504" s="32">
        <v>40487</v>
      </c>
      <c r="D504" s="178" t="s">
        <v>28</v>
      </c>
      <c r="E504" s="181">
        <v>162</v>
      </c>
      <c r="F504" s="181">
        <v>2</v>
      </c>
      <c r="G504" s="181">
        <v>10</v>
      </c>
      <c r="H504" s="638">
        <v>1340</v>
      </c>
      <c r="I504" s="531">
        <v>198</v>
      </c>
      <c r="J504" s="94">
        <f>IF(H504&lt;&gt;0,I504/F504,"")</f>
        <v>99</v>
      </c>
      <c r="K504" s="212">
        <f>IF(H504&lt;&gt;0,H504/I504,"")</f>
        <v>6.767676767676767</v>
      </c>
      <c r="L504" s="640">
        <f>525983.5+915356-20+520720.5+229861+37809.5+41066.5+9062.5+5020+8527+1340</f>
        <v>2294726.5</v>
      </c>
      <c r="M504" s="40">
        <f>56225+93965-2+58841+28041+5233+5910+1474+785+1182+198</f>
        <v>251852</v>
      </c>
      <c r="N504" s="210">
        <f>IF(L504&lt;&gt;0,L504/M504,"")</f>
        <v>9.111408684465479</v>
      </c>
      <c r="O504" s="99">
        <v>494</v>
      </c>
    </row>
    <row r="505" spans="1:15" s="90" customFormat="1" ht="12" customHeight="1">
      <c r="A505" s="91">
        <v>495</v>
      </c>
      <c r="B505" s="177" t="s">
        <v>169</v>
      </c>
      <c r="C505" s="32">
        <v>40487</v>
      </c>
      <c r="D505" s="31" t="s">
        <v>28</v>
      </c>
      <c r="E505" s="33">
        <v>162</v>
      </c>
      <c r="F505" s="33">
        <v>8</v>
      </c>
      <c r="G505" s="33">
        <v>9</v>
      </c>
      <c r="H505" s="530">
        <v>8527</v>
      </c>
      <c r="I505" s="531">
        <v>1182</v>
      </c>
      <c r="J505" s="94">
        <f>IF(H505&lt;&gt;0,I505/F505,"")</f>
        <v>147.75</v>
      </c>
      <c r="K505" s="211">
        <f>IF(H505&lt;&gt;0,H505/I505,"")</f>
        <v>7.214043993231811</v>
      </c>
      <c r="L505" s="488">
        <f>525983.5+915356-20+520720.5+229861+37809.5+41066.5+9062.5+5020+8527</f>
        <v>2293386.5</v>
      </c>
      <c r="M505" s="40">
        <f>56225+93965-2+58841+28041+5233+5910+1474+785+1182</f>
        <v>251654</v>
      </c>
      <c r="N505" s="210">
        <f>IF(L505&lt;&gt;0,L505/M505,"")</f>
        <v>9.11325272000445</v>
      </c>
      <c r="O505" s="99">
        <v>495</v>
      </c>
    </row>
    <row r="506" spans="1:15" s="90" customFormat="1" ht="12" customHeight="1">
      <c r="A506" s="91">
        <v>496</v>
      </c>
      <c r="B506" s="263" t="s">
        <v>169</v>
      </c>
      <c r="C506" s="250">
        <v>40487</v>
      </c>
      <c r="D506" s="264" t="s">
        <v>28</v>
      </c>
      <c r="E506" s="208">
        <v>162</v>
      </c>
      <c r="F506" s="33">
        <v>1</v>
      </c>
      <c r="G506" s="33">
        <v>12</v>
      </c>
      <c r="H506" s="499">
        <v>1941</v>
      </c>
      <c r="I506" s="500">
        <v>388</v>
      </c>
      <c r="J506" s="40">
        <f>I506/F506</f>
        <v>388</v>
      </c>
      <c r="K506" s="252">
        <f>+H506/I506</f>
        <v>5.002577319587629</v>
      </c>
      <c r="L506" s="36">
        <f>525983.5+915356-20+520720.5+229861+37809.5+41066.5+9062.5+5020+8527+1340+1644+1941</f>
        <v>2298311.5</v>
      </c>
      <c r="M506" s="38">
        <f>56225+93965-2+58841+28041+5233+5910+1474+785+1182+198+319+388</f>
        <v>252559</v>
      </c>
      <c r="N506" s="275">
        <f>+L506/M506</f>
        <v>9.100097402983065</v>
      </c>
      <c r="O506" s="99">
        <v>496</v>
      </c>
    </row>
    <row r="507" spans="1:15" s="90" customFormat="1" ht="12" customHeight="1">
      <c r="A507" s="91">
        <v>497</v>
      </c>
      <c r="B507" s="265" t="s">
        <v>169</v>
      </c>
      <c r="C507" s="250">
        <v>40487</v>
      </c>
      <c r="D507" s="264" t="s">
        <v>28</v>
      </c>
      <c r="E507" s="208">
        <v>162</v>
      </c>
      <c r="F507" s="33">
        <v>3</v>
      </c>
      <c r="G507" s="33">
        <v>11</v>
      </c>
      <c r="H507" s="499">
        <v>1644</v>
      </c>
      <c r="I507" s="500">
        <v>319</v>
      </c>
      <c r="J507" s="106">
        <f>(I507/F507)</f>
        <v>106.33333333333333</v>
      </c>
      <c r="K507" s="197">
        <f>H507/I507</f>
        <v>5.153605015673981</v>
      </c>
      <c r="L507" s="36">
        <f>525983.5+915356-20+520720.5+229861+37809.5+41066.5+9062.5+5020+8527+1340+1644</f>
        <v>2296370.5</v>
      </c>
      <c r="M507" s="38">
        <f>56225+93965-2+58841+28041+5233+5910+1474+785+1182+198+319</f>
        <v>252171</v>
      </c>
      <c r="N507" s="198">
        <f>L507/M507</f>
        <v>9.106402004988679</v>
      </c>
      <c r="O507" s="99">
        <v>497</v>
      </c>
    </row>
    <row r="508" spans="1:15" s="90" customFormat="1" ht="12" customHeight="1">
      <c r="A508" s="91">
        <v>498</v>
      </c>
      <c r="B508" s="263" t="s">
        <v>169</v>
      </c>
      <c r="C508" s="250">
        <v>40487</v>
      </c>
      <c r="D508" s="264" t="s">
        <v>28</v>
      </c>
      <c r="E508" s="208">
        <v>162</v>
      </c>
      <c r="F508" s="33">
        <v>1</v>
      </c>
      <c r="G508" s="33">
        <v>16</v>
      </c>
      <c r="H508" s="499">
        <v>1503</v>
      </c>
      <c r="I508" s="500">
        <v>288</v>
      </c>
      <c r="J508" s="123">
        <v>19.8181818181821</v>
      </c>
      <c r="K508" s="277">
        <v>6.92102754237288</v>
      </c>
      <c r="L508" s="36">
        <f>525983.5+915356-20+520720.5+229861+37809.5+41066.5+9062.5+5020+8527+1340+1644+1941+1056+313+102+1503</f>
        <v>2301285.5</v>
      </c>
      <c r="M508" s="38">
        <f>56225+93965-2+58841+28041+5233+5910+1474+785+1182+198+319+388+171+52+17+288</f>
        <v>253087</v>
      </c>
      <c r="N508" s="1098">
        <v>2.1488509451776</v>
      </c>
      <c r="O508" s="99">
        <v>498</v>
      </c>
    </row>
    <row r="509" spans="1:15" s="90" customFormat="1" ht="12" customHeight="1">
      <c r="A509" s="91">
        <v>499</v>
      </c>
      <c r="B509" s="929" t="s">
        <v>169</v>
      </c>
      <c r="C509" s="1145">
        <v>40487</v>
      </c>
      <c r="D509" s="793" t="s">
        <v>28</v>
      </c>
      <c r="E509" s="637">
        <v>162</v>
      </c>
      <c r="F509" s="240">
        <v>1</v>
      </c>
      <c r="G509" s="240">
        <v>13</v>
      </c>
      <c r="H509" s="496">
        <v>1056</v>
      </c>
      <c r="I509" s="381">
        <v>171</v>
      </c>
      <c r="J509" s="249">
        <f>I509/F509</f>
        <v>171</v>
      </c>
      <c r="K509" s="278">
        <f>H509/I509</f>
        <v>6.175438596491228</v>
      </c>
      <c r="L509" s="316">
        <f>525983.5+915356-20+520720.5+229861+37809.5+41066.5+9062.5+5020+8527+1340+1644+1941+1056</f>
        <v>2299367.5</v>
      </c>
      <c r="M509" s="241">
        <f>56225+93965-2+58841+28041+5233+5910+1474+785+1182+198+319+388+171</f>
        <v>252730</v>
      </c>
      <c r="N509" s="279">
        <f>L509/M509</f>
        <v>9.098118545483322</v>
      </c>
      <c r="O509" s="99">
        <v>499</v>
      </c>
    </row>
    <row r="510" spans="1:15" s="90" customFormat="1" ht="12" customHeight="1">
      <c r="A510" s="91">
        <v>500</v>
      </c>
      <c r="B510" s="194" t="s">
        <v>169</v>
      </c>
      <c r="C510" s="250">
        <v>40487</v>
      </c>
      <c r="D510" s="195" t="s">
        <v>28</v>
      </c>
      <c r="E510" s="196">
        <v>162</v>
      </c>
      <c r="F510" s="181">
        <v>1</v>
      </c>
      <c r="G510" s="181">
        <v>14</v>
      </c>
      <c r="H510" s="499">
        <v>313</v>
      </c>
      <c r="I510" s="500">
        <v>52</v>
      </c>
      <c r="J510" s="94">
        <f>+I510/F510</f>
        <v>52</v>
      </c>
      <c r="K510" s="212">
        <f>+H510/I510</f>
        <v>6.019230769230769</v>
      </c>
      <c r="L510" s="36">
        <f>525983.5+915356-20+520720.5+229861+37809.5+41066.5+9062.5+5020+8527+1340+1644+1941+1056+313</f>
        <v>2299680.5</v>
      </c>
      <c r="M510" s="38">
        <f>56225+93965-2+58841+28041+5233+5910+1474+785+1182+198+319+388+171+52</f>
        <v>252782</v>
      </c>
      <c r="N510" s="276">
        <f>+L510/M510</f>
        <v>9.097485184862846</v>
      </c>
      <c r="O510" s="99">
        <v>500</v>
      </c>
    </row>
    <row r="511" spans="1:15" s="90" customFormat="1" ht="12" customHeight="1">
      <c r="A511" s="91">
        <v>501</v>
      </c>
      <c r="B511" s="194" t="s">
        <v>169</v>
      </c>
      <c r="C511" s="32">
        <v>40487</v>
      </c>
      <c r="D511" s="195" t="s">
        <v>28</v>
      </c>
      <c r="E511" s="196">
        <v>162</v>
      </c>
      <c r="F511" s="181">
        <v>1</v>
      </c>
      <c r="G511" s="181">
        <v>15</v>
      </c>
      <c r="H511" s="526">
        <v>102</v>
      </c>
      <c r="I511" s="532">
        <v>17</v>
      </c>
      <c r="J511" s="280">
        <f>+I511/F511</f>
        <v>17</v>
      </c>
      <c r="K511" s="211">
        <f>+H511/I511</f>
        <v>6</v>
      </c>
      <c r="L511" s="28">
        <f>525983.5+915356-20+520720.5+229861+37809.5+41066.5+9062.5+5020+8527+1340+1644+1941+1056+313+102</f>
        <v>2299782.5</v>
      </c>
      <c r="M511" s="29">
        <f>56225+93965-2+58841+28041+5233+5910+1474+785+1182+198+319+388+171+52+17</f>
        <v>252799</v>
      </c>
      <c r="N511" s="276">
        <f>+L511/M511</f>
        <v>9.097276887962373</v>
      </c>
      <c r="O511" s="99">
        <v>501</v>
      </c>
    </row>
    <row r="512" spans="1:15" s="90" customFormat="1" ht="12" customHeight="1">
      <c r="A512" s="91">
        <v>502</v>
      </c>
      <c r="B512" s="263" t="s">
        <v>170</v>
      </c>
      <c r="C512" s="250">
        <v>40235</v>
      </c>
      <c r="D512" s="195" t="s">
        <v>31</v>
      </c>
      <c r="E512" s="33">
        <v>227</v>
      </c>
      <c r="F512" s="208">
        <v>1</v>
      </c>
      <c r="G512" s="208">
        <v>30</v>
      </c>
      <c r="H512" s="339">
        <v>950.5</v>
      </c>
      <c r="I512" s="340">
        <v>238</v>
      </c>
      <c r="J512" s="106">
        <f>(I512/F512)</f>
        <v>238</v>
      </c>
      <c r="K512" s="197">
        <f>H512/I512</f>
        <v>3.9936974789915967</v>
      </c>
      <c r="L512" s="12">
        <f>8240207.5+202+255+7892+2376+1782+1782+2376+950.5</f>
        <v>8257823</v>
      </c>
      <c r="M512" s="13">
        <f>1023896+40+51+1967+594+445+445+594+238</f>
        <v>1028270</v>
      </c>
      <c r="N512" s="198">
        <f>L512/M512</f>
        <v>8.030792496134284</v>
      </c>
      <c r="O512" s="99">
        <v>502</v>
      </c>
    </row>
    <row r="513" spans="1:15" s="90" customFormat="1" ht="12" customHeight="1">
      <c r="A513" s="91">
        <v>503</v>
      </c>
      <c r="B513" s="541" t="s">
        <v>422</v>
      </c>
      <c r="C513" s="664">
        <v>39850</v>
      </c>
      <c r="D513" s="577" t="s">
        <v>31</v>
      </c>
      <c r="E513" s="33">
        <v>2</v>
      </c>
      <c r="F513" s="208">
        <v>1</v>
      </c>
      <c r="G513" s="208">
        <v>16</v>
      </c>
      <c r="H513" s="339">
        <v>1308</v>
      </c>
      <c r="I513" s="340">
        <v>327</v>
      </c>
      <c r="J513" s="94">
        <f>I513/F513</f>
        <v>327</v>
      </c>
      <c r="K513" s="95">
        <f>H513/I513</f>
        <v>4</v>
      </c>
      <c r="L513" s="12">
        <f>8077.5+3261+2251+2481+682+679+634+482+544+2140+204+1664+1377+127+1780+1308</f>
        <v>27691.5</v>
      </c>
      <c r="M513" s="13">
        <f>773+379+260+266+71+198+101+110+127+535+34+416+320+14+445+327</f>
        <v>4376</v>
      </c>
      <c r="N513" s="98">
        <f>+L513/M513</f>
        <v>6.328039305301646</v>
      </c>
      <c r="O513" s="99">
        <v>503</v>
      </c>
    </row>
    <row r="514" spans="1:15" s="90" customFormat="1" ht="12" customHeight="1">
      <c r="A514" s="91">
        <v>504</v>
      </c>
      <c r="B514" s="184" t="s">
        <v>470</v>
      </c>
      <c r="C514" s="32">
        <v>40193</v>
      </c>
      <c r="D514" s="588" t="s">
        <v>31</v>
      </c>
      <c r="E514" s="33">
        <v>17</v>
      </c>
      <c r="F514" s="33">
        <v>1</v>
      </c>
      <c r="G514" s="33">
        <v>17</v>
      </c>
      <c r="H514" s="339">
        <v>1188</v>
      </c>
      <c r="I514" s="340">
        <v>297</v>
      </c>
      <c r="J514" s="94">
        <f>I514/F514</f>
        <v>297</v>
      </c>
      <c r="K514" s="212">
        <f>H514/I514</f>
        <v>4</v>
      </c>
      <c r="L514" s="12">
        <f>1080+95415+33267.75+2666+272+903+421+2653+1780+747+58+1376+1549+190+3317+520.5+1188+1188</f>
        <v>148591.25</v>
      </c>
      <c r="M514" s="13">
        <f>108+7515+2837+363+32+176+93+719+445+99+9+205+217+27+387+69+297+297</f>
        <v>13895</v>
      </c>
      <c r="N514" s="276">
        <f>+L514/M514</f>
        <v>10.693864699532206</v>
      </c>
      <c r="O514" s="99">
        <v>504</v>
      </c>
    </row>
    <row r="515" spans="1:15" s="90" customFormat="1" ht="12" customHeight="1">
      <c r="A515" s="91">
        <v>505</v>
      </c>
      <c r="B515" s="184" t="s">
        <v>347</v>
      </c>
      <c r="C515" s="185">
        <v>40480</v>
      </c>
      <c r="D515" s="178" t="s">
        <v>31</v>
      </c>
      <c r="E515" s="186">
        <v>100</v>
      </c>
      <c r="F515" s="186">
        <v>4</v>
      </c>
      <c r="G515" s="186">
        <v>15</v>
      </c>
      <c r="H515" s="506">
        <v>8910</v>
      </c>
      <c r="I515" s="512">
        <v>2228</v>
      </c>
      <c r="J515" s="434">
        <f>(I515/F515)</f>
        <v>557</v>
      </c>
      <c r="K515" s="435">
        <f>H515/I515</f>
        <v>3.9991023339317775</v>
      </c>
      <c r="L515" s="189">
        <f>1221166+429124.5+378100+240009.5+108018.5+26890.5+15319+16968+7345.5+4160+1262+1510+3920.5+2732.5+8910</f>
        <v>2465436.5</v>
      </c>
      <c r="M515" s="190">
        <f>114702+40612+35598+23284+12543+4168+3055+2661+1161+850+210+377+981+684+2228</f>
        <v>243114</v>
      </c>
      <c r="N515" s="486">
        <f>L515/M515</f>
        <v>10.141071678307297</v>
      </c>
      <c r="O515" s="99">
        <v>505</v>
      </c>
    </row>
    <row r="516" spans="1:15" s="90" customFormat="1" ht="12" customHeight="1">
      <c r="A516" s="91">
        <v>506</v>
      </c>
      <c r="B516" s="600" t="s">
        <v>347</v>
      </c>
      <c r="C516" s="425">
        <v>40480</v>
      </c>
      <c r="D516" s="467" t="s">
        <v>31</v>
      </c>
      <c r="E516" s="427">
        <v>100</v>
      </c>
      <c r="F516" s="186">
        <v>1</v>
      </c>
      <c r="G516" s="427">
        <v>18</v>
      </c>
      <c r="H516" s="339">
        <v>4457</v>
      </c>
      <c r="I516" s="340">
        <v>857</v>
      </c>
      <c r="J516" s="94">
        <f>I516/F516</f>
        <v>857</v>
      </c>
      <c r="K516" s="95">
        <f>H516/I516</f>
        <v>5.200700116686114</v>
      </c>
      <c r="L516" s="12">
        <f>1221166+429124.5+378100+240009.5+108018.5+26890.5+15319+16968+7345.5+4160+1262+1510+3920.5+2732.5+8910+571+670+102+4457</f>
        <v>2471236.5</v>
      </c>
      <c r="M516" s="13">
        <f>114702+40612+35598+23284+12543+4168+3055+2661+1161+850+210+377+981+684+2228+92+109+26+857</f>
        <v>244198</v>
      </c>
      <c r="N516" s="98">
        <f>+L516/M516</f>
        <v>10.119806468521446</v>
      </c>
      <c r="O516" s="99">
        <v>506</v>
      </c>
    </row>
    <row r="517" spans="1:15" s="90" customFormat="1" ht="12" customHeight="1">
      <c r="A517" s="91">
        <v>507</v>
      </c>
      <c r="B517" s="265" t="s">
        <v>347</v>
      </c>
      <c r="C517" s="250">
        <v>40480</v>
      </c>
      <c r="D517" s="195" t="s">
        <v>31</v>
      </c>
      <c r="E517" s="33">
        <v>100</v>
      </c>
      <c r="F517" s="208">
        <v>11</v>
      </c>
      <c r="G517" s="208">
        <v>10</v>
      </c>
      <c r="H517" s="509">
        <v>4160</v>
      </c>
      <c r="I517" s="340">
        <v>850</v>
      </c>
      <c r="J517" s="106">
        <f>(I517/F517)</f>
        <v>77.27272727272727</v>
      </c>
      <c r="K517" s="266">
        <f>H517/I517</f>
        <v>4.894117647058824</v>
      </c>
      <c r="L517" s="26">
        <f>1221166+429124.5+378100+240009.5+108018.5+26890.5+15319+16968+7345.5+4160</f>
        <v>2447101.5</v>
      </c>
      <c r="M517" s="13">
        <f>114702+40612+35598+23284+12543+4168+3055+2661+1161+850</f>
        <v>238634</v>
      </c>
      <c r="N517" s="198">
        <f>L517/M517</f>
        <v>10.254622141019302</v>
      </c>
      <c r="O517" s="99">
        <v>507</v>
      </c>
    </row>
    <row r="518" spans="1:15" s="90" customFormat="1" ht="12" customHeight="1">
      <c r="A518" s="91">
        <v>508</v>
      </c>
      <c r="B518" s="180" t="s">
        <v>347</v>
      </c>
      <c r="C518" s="32">
        <v>40480</v>
      </c>
      <c r="D518" s="178" t="s">
        <v>31</v>
      </c>
      <c r="E518" s="33">
        <v>100</v>
      </c>
      <c r="F518" s="33">
        <v>2</v>
      </c>
      <c r="G518" s="33">
        <v>13</v>
      </c>
      <c r="H518" s="339">
        <v>3920.5</v>
      </c>
      <c r="I518" s="340">
        <v>982</v>
      </c>
      <c r="J518" s="106">
        <f>(I518/F518)</f>
        <v>491</v>
      </c>
      <c r="K518" s="266">
        <f>H518/I518</f>
        <v>3.9923625254582484</v>
      </c>
      <c r="L518" s="12">
        <f>1221166+429124.5+378100+240009.5+108018.5+26890.5+15319+16968+7345.5+4160+1262+1510+3920.5</f>
        <v>2453794</v>
      </c>
      <c r="M518" s="13">
        <f>114702+40612+35598+23284+12543+4168+3055+2661+1161+850+210+377+982</f>
        <v>240203</v>
      </c>
      <c r="N518" s="198">
        <f>L518/M518</f>
        <v>10.215501055357343</v>
      </c>
      <c r="O518" s="99">
        <v>508</v>
      </c>
    </row>
    <row r="519" spans="1:15" s="90" customFormat="1" ht="12" customHeight="1">
      <c r="A519" s="91">
        <v>509</v>
      </c>
      <c r="B519" s="192" t="s">
        <v>347</v>
      </c>
      <c r="C519" s="32">
        <v>40480</v>
      </c>
      <c r="D519" s="178" t="s">
        <v>31</v>
      </c>
      <c r="E519" s="181">
        <v>100</v>
      </c>
      <c r="F519" s="181">
        <v>2</v>
      </c>
      <c r="G519" s="181">
        <v>14</v>
      </c>
      <c r="H519" s="339">
        <v>2732.5</v>
      </c>
      <c r="I519" s="340">
        <v>684</v>
      </c>
      <c r="J519" s="106">
        <f>(I519/F519)</f>
        <v>342</v>
      </c>
      <c r="K519" s="197">
        <f>H519/I519</f>
        <v>3.9948830409356724</v>
      </c>
      <c r="L519" s="12">
        <f>1221166+429124.5+378100+240009.5+108018.5+26890.5+15319+16968+7345.5+4160+1262+1510+3920.5+2732.5</f>
        <v>2456526.5</v>
      </c>
      <c r="M519" s="13">
        <f>114702+40612+35598+23284+12543+4168+3055+2661+1161+850+210+377+981+684</f>
        <v>240886</v>
      </c>
      <c r="N519" s="198">
        <f>L519/M519</f>
        <v>10.197879909998921</v>
      </c>
      <c r="O519" s="99">
        <v>509</v>
      </c>
    </row>
    <row r="520" spans="1:15" s="90" customFormat="1" ht="12" customHeight="1">
      <c r="A520" s="91">
        <v>510</v>
      </c>
      <c r="B520" s="184" t="s">
        <v>347</v>
      </c>
      <c r="C520" s="185">
        <v>40480</v>
      </c>
      <c r="D520" s="178" t="s">
        <v>31</v>
      </c>
      <c r="E520" s="186">
        <v>100</v>
      </c>
      <c r="F520" s="199">
        <v>1</v>
      </c>
      <c r="G520" s="199">
        <v>12</v>
      </c>
      <c r="H520" s="506">
        <v>1510</v>
      </c>
      <c r="I520" s="512">
        <v>377</v>
      </c>
      <c r="J520" s="434">
        <f>(I520/F520)</f>
        <v>377</v>
      </c>
      <c r="K520" s="435">
        <f>H520/I520</f>
        <v>4.005305039787799</v>
      </c>
      <c r="L520" s="943">
        <f>1221166+429124.5+378100+240009.5+108018.5+26890.5+15319+16968+7345.5+4160+1262+1510</f>
        <v>2449873.5</v>
      </c>
      <c r="M520" s="388">
        <f>114702+40612+35598+23284+12543+4168+3055+2661+1161+850+210+377</f>
        <v>239221</v>
      </c>
      <c r="N520" s="486">
        <f>L520/M520</f>
        <v>10.24104698166131</v>
      </c>
      <c r="O520" s="99">
        <v>510</v>
      </c>
    </row>
    <row r="521" spans="1:15" s="90" customFormat="1" ht="12" customHeight="1">
      <c r="A521" s="91">
        <v>511</v>
      </c>
      <c r="B521" s="180" t="s">
        <v>347</v>
      </c>
      <c r="C521" s="32">
        <v>40480</v>
      </c>
      <c r="D521" s="195" t="s">
        <v>31</v>
      </c>
      <c r="E521" s="33">
        <v>100</v>
      </c>
      <c r="F521" s="33">
        <v>2</v>
      </c>
      <c r="G521" s="33">
        <v>11</v>
      </c>
      <c r="H521" s="339">
        <v>1262</v>
      </c>
      <c r="I521" s="340">
        <v>210</v>
      </c>
      <c r="J521" s="106">
        <f>(I521/F521)</f>
        <v>105</v>
      </c>
      <c r="K521" s="197">
        <f>H521/I521</f>
        <v>6.0095238095238095</v>
      </c>
      <c r="L521" s="12">
        <f>1221166+429124.5+378100+240009.5+108018.5+26890.5+15319+16968+7345.5+4160+1262</f>
        <v>2448363.5</v>
      </c>
      <c r="M521" s="13">
        <f>114702+40612+35598+23284+12543+4168+3055+2661+1161+850+210</f>
        <v>238844</v>
      </c>
      <c r="N521" s="198">
        <f>L521/M521</f>
        <v>10.250889702064946</v>
      </c>
      <c r="O521" s="99">
        <v>511</v>
      </c>
    </row>
    <row r="522" spans="1:15" s="90" customFormat="1" ht="12" customHeight="1">
      <c r="A522" s="91">
        <v>512</v>
      </c>
      <c r="B522" s="180" t="s">
        <v>347</v>
      </c>
      <c r="C522" s="32">
        <v>40480</v>
      </c>
      <c r="D522" s="264" t="s">
        <v>31</v>
      </c>
      <c r="E522" s="33">
        <v>100</v>
      </c>
      <c r="F522" s="33">
        <v>1</v>
      </c>
      <c r="G522" s="33">
        <v>17</v>
      </c>
      <c r="H522" s="339">
        <v>670</v>
      </c>
      <c r="I522" s="340">
        <v>109</v>
      </c>
      <c r="J522" s="106">
        <f>(I522/F522)</f>
        <v>109</v>
      </c>
      <c r="K522" s="197">
        <f>H522/I522</f>
        <v>6.146788990825688</v>
      </c>
      <c r="L522" s="12">
        <f>1221166+429124.5+378100+240009.5+108018.5+26890.5+15319+16968+7345.5+4160+1262+1510+3920.5+2732.5+8910+571+670</f>
        <v>2466677.5</v>
      </c>
      <c r="M522" s="13">
        <f>114702+40612+35598+23284+12543+4168+3055+2661+1161+850+210+377+981+684+2228+92+109</f>
        <v>243315</v>
      </c>
      <c r="N522" s="198">
        <f>L522/M522</f>
        <v>10.13779462836241</v>
      </c>
      <c r="O522" s="99">
        <v>512</v>
      </c>
    </row>
    <row r="523" spans="1:15" s="90" customFormat="1" ht="12" customHeight="1">
      <c r="A523" s="91">
        <v>513</v>
      </c>
      <c r="B523" s="180" t="s">
        <v>347</v>
      </c>
      <c r="C523" s="32">
        <v>40480</v>
      </c>
      <c r="D523" s="30" t="s">
        <v>31</v>
      </c>
      <c r="E523" s="33">
        <v>100</v>
      </c>
      <c r="F523" s="33">
        <v>1</v>
      </c>
      <c r="G523" s="33">
        <v>16</v>
      </c>
      <c r="H523" s="339">
        <v>571</v>
      </c>
      <c r="I523" s="340">
        <v>92</v>
      </c>
      <c r="J523" s="106">
        <f>(I523/F523)</f>
        <v>92</v>
      </c>
      <c r="K523" s="197">
        <f>H523/I523</f>
        <v>6.206521739130435</v>
      </c>
      <c r="L523" s="12">
        <f>1221166+429124.5+378100+240009.5+108018.5+26890.5+15319+16968+7345.5+4160+1262+1510+3920.5+2732.5+8910+571</f>
        <v>2466007.5</v>
      </c>
      <c r="M523" s="13">
        <f>114702+40612+35598+23284+12543+4168+3055+2661+1161+850+210+377+981+684+2228+92</f>
        <v>243206</v>
      </c>
      <c r="N523" s="198">
        <f>L523/M523</f>
        <v>10.139583316201081</v>
      </c>
      <c r="O523" s="99">
        <v>513</v>
      </c>
    </row>
    <row r="524" spans="1:15" s="90" customFormat="1" ht="12" customHeight="1">
      <c r="A524" s="91">
        <v>514</v>
      </c>
      <c r="B524" s="735" t="s">
        <v>347</v>
      </c>
      <c r="C524" s="725">
        <v>40480</v>
      </c>
      <c r="D524" s="577" t="s">
        <v>31</v>
      </c>
      <c r="E524" s="585">
        <v>100</v>
      </c>
      <c r="F524" s="585">
        <v>1</v>
      </c>
      <c r="G524" s="585">
        <v>20</v>
      </c>
      <c r="H524" s="509">
        <v>119</v>
      </c>
      <c r="I524" s="523">
        <v>22</v>
      </c>
      <c r="J524" s="280">
        <f>I524/F524</f>
        <v>22</v>
      </c>
      <c r="K524" s="317">
        <f>H524/I524</f>
        <v>5.409090909090909</v>
      </c>
      <c r="L524" s="26">
        <f>1221166+429124.5+378100+240009.5+108018.5+26890.5+15319+16968+7345.5+4160+1262+1510+3920.5+2732.5+8910+571+670+102+4457+119</f>
        <v>2471355.5</v>
      </c>
      <c r="M524" s="27">
        <f>114702+40612+35598+23284+12543+4168+3055+2661+1161+850+210+377+981+684+2228+92+109+26+857+22</f>
        <v>244220</v>
      </c>
      <c r="N524" s="630">
        <f>+L524/M524</f>
        <v>10.119382114486937</v>
      </c>
      <c r="O524" s="99">
        <v>514</v>
      </c>
    </row>
    <row r="525" spans="1:15" s="90" customFormat="1" ht="12" customHeight="1">
      <c r="A525" s="91">
        <v>515</v>
      </c>
      <c r="B525" s="601" t="s">
        <v>348</v>
      </c>
      <c r="C525" s="250">
        <v>40508</v>
      </c>
      <c r="D525" s="741" t="s">
        <v>23</v>
      </c>
      <c r="E525" s="33">
        <v>11</v>
      </c>
      <c r="F525" s="33">
        <v>3</v>
      </c>
      <c r="G525" s="33">
        <v>6</v>
      </c>
      <c r="H525" s="526">
        <v>3343</v>
      </c>
      <c r="I525" s="500">
        <v>754</v>
      </c>
      <c r="J525" s="40">
        <f>I525/F525</f>
        <v>251.33333333333334</v>
      </c>
      <c r="K525" s="481">
        <f>+H525/I525</f>
        <v>4.43368700265252</v>
      </c>
      <c r="L525" s="28">
        <v>107677</v>
      </c>
      <c r="M525" s="39">
        <v>8838</v>
      </c>
      <c r="N525" s="281">
        <f>+L525/M525</f>
        <v>12.183412536773025</v>
      </c>
      <c r="O525" s="99">
        <v>515</v>
      </c>
    </row>
    <row r="526" spans="1:15" s="90" customFormat="1" ht="12" customHeight="1">
      <c r="A526" s="91">
        <v>516</v>
      </c>
      <c r="B526" s="214" t="s">
        <v>348</v>
      </c>
      <c r="C526" s="631">
        <v>40508</v>
      </c>
      <c r="D526" s="580" t="s">
        <v>23</v>
      </c>
      <c r="E526" s="31">
        <v>11</v>
      </c>
      <c r="F526" s="31">
        <v>1</v>
      </c>
      <c r="G526" s="31">
        <v>37</v>
      </c>
      <c r="H526" s="530">
        <v>1750</v>
      </c>
      <c r="I526" s="639">
        <v>525</v>
      </c>
      <c r="J526" s="280">
        <f>I526/F526</f>
        <v>525</v>
      </c>
      <c r="K526" s="317">
        <f>H526/I526</f>
        <v>3.3333333333333335</v>
      </c>
      <c r="L526" s="488">
        <v>110667</v>
      </c>
      <c r="M526" s="592">
        <v>9527</v>
      </c>
      <c r="N526" s="429">
        <f>+L526/M526</f>
        <v>11.616143591896714</v>
      </c>
      <c r="O526" s="99">
        <v>516</v>
      </c>
    </row>
    <row r="527" spans="1:15" s="90" customFormat="1" ht="12" customHeight="1">
      <c r="A527" s="91">
        <v>517</v>
      </c>
      <c r="B527" s="404" t="s">
        <v>348</v>
      </c>
      <c r="C527" s="407">
        <v>40508</v>
      </c>
      <c r="D527" s="408" t="s">
        <v>23</v>
      </c>
      <c r="E527" s="240">
        <v>11</v>
      </c>
      <c r="F527" s="240">
        <v>1</v>
      </c>
      <c r="G527" s="240">
        <v>9</v>
      </c>
      <c r="H527" s="538">
        <v>1240</v>
      </c>
      <c r="I527" s="503">
        <v>164</v>
      </c>
      <c r="J527" s="389">
        <f>I527/F527</f>
        <v>164</v>
      </c>
      <c r="K527" s="450">
        <f>+H527/I527</f>
        <v>7.560975609756097</v>
      </c>
      <c r="L527" s="248">
        <v>108917</v>
      </c>
      <c r="M527" s="249">
        <v>9002</v>
      </c>
      <c r="N527" s="410">
        <f>+L527/M527</f>
        <v>12.09920017773828</v>
      </c>
      <c r="O527" s="99">
        <v>517</v>
      </c>
    </row>
    <row r="528" spans="1:15" s="90" customFormat="1" ht="12" customHeight="1">
      <c r="A528" s="91">
        <v>518</v>
      </c>
      <c r="B528" s="205" t="s">
        <v>349</v>
      </c>
      <c r="C528" s="2">
        <v>40284</v>
      </c>
      <c r="D528" s="21" t="s">
        <v>8</v>
      </c>
      <c r="E528" s="5">
        <v>1</v>
      </c>
      <c r="F528" s="5">
        <v>1</v>
      </c>
      <c r="G528" s="5">
        <v>22</v>
      </c>
      <c r="H528" s="537">
        <v>336</v>
      </c>
      <c r="I528" s="536">
        <v>48</v>
      </c>
      <c r="J528" s="94">
        <f>+I528/F528</f>
        <v>48</v>
      </c>
      <c r="K528" s="212">
        <f>+H528/I528</f>
        <v>7</v>
      </c>
      <c r="L528" s="10">
        <v>47577</v>
      </c>
      <c r="M528" s="11">
        <v>4083</v>
      </c>
      <c r="N528" s="276">
        <f>+L528/M528</f>
        <v>11.652461425422484</v>
      </c>
      <c r="O528" s="99">
        <v>518</v>
      </c>
    </row>
    <row r="529" spans="1:15" s="90" customFormat="1" ht="12" customHeight="1">
      <c r="A529" s="91">
        <v>519</v>
      </c>
      <c r="B529" s="716" t="s">
        <v>244</v>
      </c>
      <c r="C529" s="671">
        <v>40249</v>
      </c>
      <c r="D529" s="580" t="s">
        <v>28</v>
      </c>
      <c r="E529" s="31">
        <v>71</v>
      </c>
      <c r="F529" s="580">
        <v>1</v>
      </c>
      <c r="G529" s="31">
        <v>27</v>
      </c>
      <c r="H529" s="816">
        <v>6096</v>
      </c>
      <c r="I529" s="792">
        <v>1016</v>
      </c>
      <c r="J529" s="280">
        <f>I529/F529</f>
        <v>1016</v>
      </c>
      <c r="K529" s="317">
        <f>H529/I529</f>
        <v>6</v>
      </c>
      <c r="L529" s="593">
        <f>432486.25+301574+151308+7+112893+51222.5+22996.5+15680+18589.5+18584+12838+4788+1663+4208+490+365+2398+36+790+1056+718+2330+3855+1170+2143+1876+3597+6096</f>
        <v>1175757.75</v>
      </c>
      <c r="M529" s="41">
        <f>50407+35095+18523+1+15427+7108+3545+2281+2896+2839+2036+884+288+738+98+73+400+6+143+184+126+381+556+123+222+369+600+1016</f>
        <v>146365</v>
      </c>
      <c r="N529" s="329">
        <f>+L529/M529</f>
        <v>8.033052642366686</v>
      </c>
      <c r="O529" s="99">
        <v>519</v>
      </c>
    </row>
    <row r="530" spans="1:15" s="90" customFormat="1" ht="12" customHeight="1" thickBot="1">
      <c r="A530" s="91">
        <v>520</v>
      </c>
      <c r="B530" s="737" t="s">
        <v>244</v>
      </c>
      <c r="C530" s="739">
        <v>40249</v>
      </c>
      <c r="D530" s="742" t="s">
        <v>28</v>
      </c>
      <c r="E530" s="744">
        <v>71</v>
      </c>
      <c r="F530" s="647">
        <v>1</v>
      </c>
      <c r="G530" s="647">
        <v>26</v>
      </c>
      <c r="H530" s="745">
        <v>500</v>
      </c>
      <c r="I530" s="746">
        <v>100</v>
      </c>
      <c r="J530" s="127">
        <f>+I530/F530</f>
        <v>100</v>
      </c>
      <c r="K530" s="489">
        <f>+H530/I530</f>
        <v>5</v>
      </c>
      <c r="L530" s="749">
        <f>432486.25+301574+151308+7+112893+51222.5+22996.5+15680+18589.5+18584+12838+4788+1663+4208+490+365+2398+36+790+1056+718+2330+3855+1170+2143+1876+3597</f>
        <v>1169661.75</v>
      </c>
      <c r="M530" s="750">
        <f>50407+35095+18523+1+15427+7108+3545+2281+2896+2839+2036+884+288+738+98+73+400+6+143+184+126+381+556+123+222+369+600</f>
        <v>145349</v>
      </c>
      <c r="N530" s="752">
        <f>+L530/M530</f>
        <v>8.047263827064514</v>
      </c>
      <c r="O530" s="99">
        <v>520</v>
      </c>
    </row>
    <row r="531" spans="1:14" s="90" customFormat="1" ht="15.75" thickBot="1">
      <c r="A531" s="129"/>
      <c r="C531" s="131"/>
      <c r="E531" s="130"/>
      <c r="F531" s="130"/>
      <c r="G531" s="130"/>
      <c r="H531" s="313"/>
      <c r="I531" s="304"/>
      <c r="J531" s="139"/>
      <c r="K531" s="140"/>
      <c r="L531" s="132"/>
      <c r="M531" s="141"/>
      <c r="N531" s="136"/>
    </row>
    <row r="532" spans="1:15" s="142" customFormat="1" ht="12.75">
      <c r="A532" s="994" t="s">
        <v>84</v>
      </c>
      <c r="B532" s="995"/>
      <c r="C532" s="995"/>
      <c r="D532" s="995"/>
      <c r="E532" s="995"/>
      <c r="F532" s="995"/>
      <c r="G532" s="995"/>
      <c r="H532" s="995"/>
      <c r="I532" s="995"/>
      <c r="J532" s="995"/>
      <c r="K532" s="995"/>
      <c r="L532" s="995"/>
      <c r="M532" s="995"/>
      <c r="N532" s="995"/>
      <c r="O532" s="996"/>
    </row>
    <row r="533" spans="1:15" s="142" customFormat="1" ht="12.75">
      <c r="A533" s="997"/>
      <c r="B533" s="998"/>
      <c r="C533" s="998"/>
      <c r="D533" s="998"/>
      <c r="E533" s="998"/>
      <c r="F533" s="998"/>
      <c r="G533" s="998"/>
      <c r="H533" s="998"/>
      <c r="I533" s="998"/>
      <c r="J533" s="998"/>
      <c r="K533" s="998"/>
      <c r="L533" s="998"/>
      <c r="M533" s="998"/>
      <c r="N533" s="998"/>
      <c r="O533" s="999"/>
    </row>
    <row r="534" spans="1:15" s="142" customFormat="1" ht="12.75">
      <c r="A534" s="997"/>
      <c r="B534" s="998"/>
      <c r="C534" s="998"/>
      <c r="D534" s="998"/>
      <c r="E534" s="998"/>
      <c r="F534" s="998"/>
      <c r="G534" s="998"/>
      <c r="H534" s="998"/>
      <c r="I534" s="998"/>
      <c r="J534" s="998"/>
      <c r="K534" s="998"/>
      <c r="L534" s="998"/>
      <c r="M534" s="998"/>
      <c r="N534" s="998"/>
      <c r="O534" s="999"/>
    </row>
    <row r="535" spans="1:15" s="142" customFormat="1" ht="12.75">
      <c r="A535" s="997"/>
      <c r="B535" s="998"/>
      <c r="C535" s="998"/>
      <c r="D535" s="998"/>
      <c r="E535" s="998"/>
      <c r="F535" s="998"/>
      <c r="G535" s="998"/>
      <c r="H535" s="998"/>
      <c r="I535" s="998"/>
      <c r="J535" s="998"/>
      <c r="K535" s="998"/>
      <c r="L535" s="998"/>
      <c r="M535" s="998"/>
      <c r="N535" s="998"/>
      <c r="O535" s="999"/>
    </row>
    <row r="536" spans="1:15" s="142" customFormat="1" ht="12.75">
      <c r="A536" s="997"/>
      <c r="B536" s="998"/>
      <c r="C536" s="998"/>
      <c r="D536" s="998"/>
      <c r="E536" s="998"/>
      <c r="F536" s="998"/>
      <c r="G536" s="998"/>
      <c r="H536" s="998"/>
      <c r="I536" s="998"/>
      <c r="J536" s="998"/>
      <c r="K536" s="998"/>
      <c r="L536" s="998"/>
      <c r="M536" s="998"/>
      <c r="N536" s="998"/>
      <c r="O536" s="999"/>
    </row>
    <row r="537" spans="1:15" s="142" customFormat="1" ht="13.5" thickBot="1">
      <c r="A537" s="1000"/>
      <c r="B537" s="1001"/>
      <c r="C537" s="1001"/>
      <c r="D537" s="1001"/>
      <c r="E537" s="1001"/>
      <c r="F537" s="1001"/>
      <c r="G537" s="1001"/>
      <c r="H537" s="1001"/>
      <c r="I537" s="1001"/>
      <c r="J537" s="1001"/>
      <c r="K537" s="1001"/>
      <c r="L537" s="1001"/>
      <c r="M537" s="1001"/>
      <c r="N537" s="1001"/>
      <c r="O537" s="1002"/>
    </row>
    <row r="538" spans="8:9" ht="18">
      <c r="H538" s="314"/>
      <c r="I538" s="305"/>
    </row>
    <row r="539" spans="8:9" ht="18">
      <c r="H539" s="314"/>
      <c r="I539" s="305"/>
    </row>
  </sheetData>
  <mergeCells count="19">
    <mergeCell ref="J6:K6"/>
    <mergeCell ref="L6:O6"/>
    <mergeCell ref="H7:I7"/>
    <mergeCell ref="J7:K7"/>
    <mergeCell ref="L7:M7"/>
    <mergeCell ref="A5:C5"/>
    <mergeCell ref="B6:E6"/>
    <mergeCell ref="F6:G6"/>
    <mergeCell ref="H6:I6"/>
    <mergeCell ref="A532:O537"/>
    <mergeCell ref="J9:K9"/>
    <mergeCell ref="H1:J1"/>
    <mergeCell ref="K1:O1"/>
    <mergeCell ref="H4:J4"/>
    <mergeCell ref="H5:O5"/>
    <mergeCell ref="A1:G1"/>
    <mergeCell ref="A2:G2"/>
    <mergeCell ref="A3:G3"/>
    <mergeCell ref="A4:C4"/>
  </mergeCells>
  <hyperlinks>
    <hyperlink ref="A3" r:id="rId1" display="http://www.antraktsinema.com"/>
  </hyperlinks>
  <printOptions/>
  <pageMargins left="0.75" right="0.75" top="1" bottom="1" header="0.5" footer="0.5"/>
  <pageSetup horizontalDpi="200" verticalDpi="200" orientation="portrait" paperSize="9" r:id="rId3"/>
  <ignoredErrors>
    <ignoredError sqref="L11:M26 L38:M40 L54:M90" unlockedFormula="1"/>
    <ignoredError sqref="L27:M37" formula="1" unlockedFormula="1"/>
    <ignoredError sqref="J27:K37 N27:N37 N69 J67" formula="1"/>
  </ignoredErrors>
  <drawing r:id="rId2"/>
</worksheet>
</file>

<file path=xl/worksheets/sheet4.xml><?xml version="1.0" encoding="utf-8"?>
<worksheet xmlns="http://schemas.openxmlformats.org/spreadsheetml/2006/main" xmlns:r="http://schemas.openxmlformats.org/officeDocument/2006/relationships">
  <dimension ref="A1:AI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143" bestFit="1" customWidth="1"/>
    <col min="2" max="2" width="4.28125" style="144" hidden="1" customWidth="1"/>
    <col min="3" max="3" width="6.421875" style="145" hidden="1" customWidth="1"/>
    <col min="4" max="4" width="41.28125" style="146" bestFit="1" customWidth="1"/>
    <col min="5" max="5" width="7.8515625" style="147" hidden="1" customWidth="1"/>
    <col min="6" max="6" width="19.7109375" style="147" bestFit="1" customWidth="1"/>
    <col min="7" max="7" width="5.8515625" style="147" bestFit="1" customWidth="1"/>
    <col min="8" max="8" width="8.57421875" style="148" customWidth="1"/>
    <col min="9" max="9" width="8.57421875" style="149" customWidth="1"/>
    <col min="10" max="10" width="9.8515625" style="148" hidden="1" customWidth="1"/>
    <col min="11" max="11" width="6.421875" style="149" hidden="1" customWidth="1"/>
    <col min="12" max="12" width="11.28125" style="148" hidden="1" customWidth="1"/>
    <col min="13" max="13" width="6.421875" style="149" hidden="1" customWidth="1"/>
    <col min="14" max="14" width="9.8515625" style="150" hidden="1" customWidth="1"/>
    <col min="15" max="15" width="6.421875" style="151" hidden="1" customWidth="1"/>
    <col min="16" max="16" width="11.28125" style="152" hidden="1" customWidth="1"/>
    <col min="17" max="17" width="7.421875" style="153" hidden="1" customWidth="1"/>
    <col min="18" max="18" width="10.421875" style="154" hidden="1" customWidth="1"/>
    <col min="19" max="19" width="7.57421875" style="155" hidden="1" customWidth="1"/>
    <col min="20" max="20" width="9.8515625" style="154" hidden="1" customWidth="1"/>
    <col min="21" max="21" width="7.28125" style="152" hidden="1" customWidth="1"/>
    <col min="22" max="22" width="11.28125" style="153" hidden="1" customWidth="1"/>
    <col min="23" max="23" width="7.421875" style="156" hidden="1" customWidth="1"/>
    <col min="24" max="24" width="11.28125" style="157" bestFit="1" customWidth="1"/>
    <col min="25" max="25" width="7.421875" style="157" bestFit="1" customWidth="1"/>
    <col min="26" max="27" width="7.57421875" style="146" customWidth="1"/>
    <col min="28" max="28" width="9.8515625" style="158" customWidth="1"/>
    <col min="29" max="29" width="9.8515625" style="159" customWidth="1"/>
    <col min="30" max="31" width="10.421875" style="159" hidden="1" customWidth="1"/>
    <col min="32" max="32" width="12.28125" style="146" bestFit="1" customWidth="1"/>
    <col min="33" max="33" width="8.8515625" style="146" bestFit="1" customWidth="1"/>
    <col min="34" max="34" width="9.140625" style="146" bestFit="1" customWidth="1"/>
    <col min="35" max="35" width="3.28125" style="146" bestFit="1" customWidth="1"/>
    <col min="36" max="16384" width="4.421875" style="146" customWidth="1"/>
  </cols>
  <sheetData>
    <row r="1" spans="1:35" s="53" customFormat="1" ht="35.25" thickBot="1">
      <c r="A1" s="1031" t="s">
        <v>380</v>
      </c>
      <c r="B1" s="1024"/>
      <c r="C1" s="1024"/>
      <c r="D1" s="1024"/>
      <c r="E1" s="1024"/>
      <c r="F1" s="1024"/>
      <c r="G1" s="1024"/>
      <c r="H1" s="1024"/>
      <c r="I1" s="1024"/>
      <c r="J1" s="52"/>
      <c r="K1" s="52"/>
      <c r="L1" s="52"/>
      <c r="M1" s="52"/>
      <c r="N1" s="52"/>
      <c r="O1" s="52"/>
      <c r="P1" s="52"/>
      <c r="Q1" s="52"/>
      <c r="R1" s="52"/>
      <c r="S1" s="52"/>
      <c r="T1" s="52"/>
      <c r="U1" s="52"/>
      <c r="V1" s="52"/>
      <c r="W1" s="52"/>
      <c r="X1" s="980"/>
      <c r="Y1" s="980"/>
      <c r="Z1" s="980"/>
      <c r="AA1" s="980"/>
      <c r="AB1" s="980"/>
      <c r="AC1" s="1029" t="s">
        <v>176</v>
      </c>
      <c r="AD1" s="1029"/>
      <c r="AE1" s="1029"/>
      <c r="AF1" s="1029"/>
      <c r="AG1" s="1029"/>
      <c r="AH1" s="1029"/>
      <c r="AI1" s="1029"/>
    </row>
    <row r="2" spans="1:35" s="53" customFormat="1" ht="24" customHeight="1">
      <c r="A2" s="1034" t="s">
        <v>172</v>
      </c>
      <c r="B2" s="1015"/>
      <c r="C2" s="1015"/>
      <c r="D2" s="1015"/>
      <c r="E2" s="1015"/>
      <c r="F2" s="1015"/>
      <c r="G2" s="1015"/>
      <c r="H2" s="1015"/>
      <c r="I2" s="1015"/>
      <c r="J2" s="54"/>
      <c r="K2" s="54"/>
      <c r="L2" s="54"/>
      <c r="M2" s="54"/>
      <c r="N2" s="54"/>
      <c r="O2" s="54"/>
      <c r="P2" s="54"/>
      <c r="Q2" s="54"/>
      <c r="R2" s="54"/>
      <c r="S2" s="54"/>
      <c r="T2" s="54"/>
      <c r="U2" s="54"/>
      <c r="V2" s="54"/>
      <c r="W2" s="54"/>
      <c r="X2" s="161"/>
      <c r="Y2" s="161"/>
      <c r="Z2" s="161"/>
      <c r="AA2" s="161"/>
      <c r="AB2" s="161"/>
      <c r="AC2" s="161"/>
      <c r="AD2" s="161"/>
      <c r="AE2" s="161"/>
      <c r="AF2" s="161"/>
      <c r="AG2" s="161"/>
      <c r="AH2" s="161"/>
      <c r="AI2" s="161"/>
    </row>
    <row r="3" spans="1:35" s="53" customFormat="1" ht="22.5" customHeight="1" thickBot="1">
      <c r="A3" s="987" t="s">
        <v>133</v>
      </c>
      <c r="B3" s="988"/>
      <c r="C3" s="988"/>
      <c r="D3" s="988"/>
      <c r="E3" s="988"/>
      <c r="F3" s="988"/>
      <c r="G3" s="988"/>
      <c r="H3" s="988"/>
      <c r="I3" s="988"/>
      <c r="J3" s="55"/>
      <c r="K3" s="55"/>
      <c r="L3" s="55"/>
      <c r="M3" s="55"/>
      <c r="N3" s="55"/>
      <c r="O3" s="55"/>
      <c r="P3" s="55"/>
      <c r="Q3" s="55"/>
      <c r="R3" s="55"/>
      <c r="S3" s="55"/>
      <c r="T3" s="55"/>
      <c r="U3" s="55"/>
      <c r="V3" s="55"/>
      <c r="W3" s="55"/>
      <c r="X3" s="162"/>
      <c r="Y3" s="163"/>
      <c r="Z3" s="164"/>
      <c r="AA3" s="165"/>
      <c r="AB3" s="166"/>
      <c r="AC3" s="162"/>
      <c r="AD3" s="162"/>
      <c r="AE3" s="162"/>
      <c r="AF3" s="163"/>
      <c r="AG3" s="164"/>
      <c r="AH3" s="165"/>
      <c r="AI3" s="166"/>
    </row>
    <row r="4" spans="1:35" s="53" customFormat="1" ht="32.25">
      <c r="A4" s="1035" t="s">
        <v>463</v>
      </c>
      <c r="B4" s="1036"/>
      <c r="C4" s="1036"/>
      <c r="D4" s="1036"/>
      <c r="E4" s="1036"/>
      <c r="F4" s="56"/>
      <c r="G4" s="56"/>
      <c r="H4" s="56"/>
      <c r="I4" s="56"/>
      <c r="J4" s="56"/>
      <c r="K4" s="56"/>
      <c r="L4" s="56"/>
      <c r="M4" s="56"/>
      <c r="N4" s="56"/>
      <c r="O4" s="56"/>
      <c r="P4" s="56"/>
      <c r="Q4" s="56"/>
      <c r="R4" s="56"/>
      <c r="S4" s="56"/>
      <c r="T4" s="56"/>
      <c r="U4" s="56"/>
      <c r="V4" s="56"/>
      <c r="W4" s="56"/>
      <c r="X4" s="167"/>
      <c r="Y4" s="168"/>
      <c r="Z4" s="168"/>
      <c r="AA4" s="168"/>
      <c r="AB4" s="168"/>
      <c r="AC4" s="169"/>
      <c r="AD4" s="169"/>
      <c r="AE4" s="169"/>
      <c r="AF4" s="169"/>
      <c r="AG4" s="170"/>
      <c r="AH4" s="169"/>
      <c r="AI4" s="169"/>
    </row>
    <row r="5" spans="1:35" s="53" customFormat="1" ht="33" thickBot="1">
      <c r="A5" s="1032" t="s">
        <v>462</v>
      </c>
      <c r="B5" s="1033"/>
      <c r="C5" s="1033"/>
      <c r="D5" s="1033"/>
      <c r="E5" s="1033"/>
      <c r="F5" s="57"/>
      <c r="G5" s="57"/>
      <c r="H5" s="57"/>
      <c r="I5" s="57"/>
      <c r="J5" s="57"/>
      <c r="K5" s="57"/>
      <c r="L5" s="57"/>
      <c r="M5" s="57"/>
      <c r="N5" s="57"/>
      <c r="O5" s="57"/>
      <c r="P5" s="57"/>
      <c r="Q5" s="57"/>
      <c r="R5" s="57"/>
      <c r="S5" s="57"/>
      <c r="T5" s="57"/>
      <c r="U5" s="57"/>
      <c r="V5" s="57"/>
      <c r="W5" s="57"/>
      <c r="X5" s="1022"/>
      <c r="Y5" s="1010"/>
      <c r="Z5" s="1010"/>
      <c r="AA5" s="1010"/>
      <c r="AB5" s="1010"/>
      <c r="AC5" s="1010"/>
      <c r="AD5" s="1010"/>
      <c r="AE5" s="1010"/>
      <c r="AF5" s="1010"/>
      <c r="AG5" s="1010"/>
      <c r="AH5" s="1010"/>
      <c r="AI5" s="1010"/>
    </row>
    <row r="6" spans="1:35" s="60" customFormat="1" ht="15.75" thickBot="1">
      <c r="A6" s="58"/>
      <c r="B6" s="59"/>
      <c r="C6" s="59"/>
      <c r="D6" s="1017" t="s">
        <v>116</v>
      </c>
      <c r="E6" s="1017"/>
      <c r="F6" s="1017"/>
      <c r="G6" s="1017"/>
      <c r="H6" s="1017" t="s">
        <v>115</v>
      </c>
      <c r="I6" s="1017"/>
      <c r="J6" s="1017" t="s">
        <v>112</v>
      </c>
      <c r="K6" s="1017"/>
      <c r="L6" s="1017"/>
      <c r="M6" s="1017"/>
      <c r="N6" s="1017"/>
      <c r="O6" s="1017"/>
      <c r="P6" s="1017"/>
      <c r="Q6" s="1017"/>
      <c r="R6" s="1017"/>
      <c r="S6" s="1017"/>
      <c r="T6" s="1017"/>
      <c r="U6" s="1017"/>
      <c r="V6" s="1017" t="s">
        <v>113</v>
      </c>
      <c r="W6" s="1017"/>
      <c r="X6" s="1017" t="s">
        <v>118</v>
      </c>
      <c r="Y6" s="1017"/>
      <c r="Z6" s="1017" t="s">
        <v>117</v>
      </c>
      <c r="AA6" s="1017"/>
      <c r="AB6" s="1017" t="s">
        <v>122</v>
      </c>
      <c r="AC6" s="1017"/>
      <c r="AD6" s="59"/>
      <c r="AE6" s="59"/>
      <c r="AF6" s="1017" t="s">
        <v>114</v>
      </c>
      <c r="AG6" s="1017"/>
      <c r="AH6" s="1017"/>
      <c r="AI6" s="1017"/>
    </row>
    <row r="7" spans="1:35" s="64" customFormat="1" ht="12.75">
      <c r="A7" s="61"/>
      <c r="B7" s="62"/>
      <c r="C7" s="62"/>
      <c r="D7" s="1"/>
      <c r="E7" s="63" t="s">
        <v>85</v>
      </c>
      <c r="F7" s="1"/>
      <c r="G7" s="1" t="s">
        <v>88</v>
      </c>
      <c r="H7" s="1" t="s">
        <v>88</v>
      </c>
      <c r="I7" s="1" t="s">
        <v>90</v>
      </c>
      <c r="J7" s="1037" t="s">
        <v>2</v>
      </c>
      <c r="K7" s="1038"/>
      <c r="L7" s="1037" t="s">
        <v>3</v>
      </c>
      <c r="M7" s="1038"/>
      <c r="N7" s="1037" t="s">
        <v>4</v>
      </c>
      <c r="O7" s="1038"/>
      <c r="P7" s="1018" t="s">
        <v>11</v>
      </c>
      <c r="Q7" s="1018"/>
      <c r="R7" s="1018" t="s">
        <v>100</v>
      </c>
      <c r="S7" s="1018"/>
      <c r="T7" s="1018" t="s">
        <v>0</v>
      </c>
      <c r="U7" s="1018"/>
      <c r="V7" s="1018"/>
      <c r="W7" s="1018"/>
      <c r="X7" s="1027"/>
      <c r="Y7" s="1027"/>
      <c r="Z7" s="1018" t="s">
        <v>111</v>
      </c>
      <c r="AA7" s="1018"/>
      <c r="AB7" s="1018" t="s">
        <v>123</v>
      </c>
      <c r="AC7" s="1018"/>
      <c r="AD7" s="1030" t="s">
        <v>429</v>
      </c>
      <c r="AE7" s="1030"/>
      <c r="AF7" s="1018"/>
      <c r="AG7" s="1018"/>
      <c r="AH7" s="62" t="s">
        <v>100</v>
      </c>
      <c r="AI7" s="62"/>
    </row>
    <row r="8" spans="1:35" s="64" customFormat="1" ht="13.5" thickBot="1">
      <c r="A8" s="65"/>
      <c r="B8" s="66"/>
      <c r="C8" s="66"/>
      <c r="D8" s="67" t="s">
        <v>9</v>
      </c>
      <c r="E8" s="68" t="s">
        <v>86</v>
      </c>
      <c r="F8" s="69" t="s">
        <v>1</v>
      </c>
      <c r="G8" s="69" t="s">
        <v>87</v>
      </c>
      <c r="H8" s="69" t="s">
        <v>89</v>
      </c>
      <c r="I8" s="69" t="s">
        <v>85</v>
      </c>
      <c r="J8" s="66" t="s">
        <v>7</v>
      </c>
      <c r="K8" s="66" t="s">
        <v>6</v>
      </c>
      <c r="L8" s="66" t="s">
        <v>7</v>
      </c>
      <c r="M8" s="66" t="s">
        <v>6</v>
      </c>
      <c r="N8" s="66" t="s">
        <v>7</v>
      </c>
      <c r="O8" s="66" t="s">
        <v>6</v>
      </c>
      <c r="P8" s="66" t="s">
        <v>7</v>
      </c>
      <c r="Q8" s="66" t="s">
        <v>6</v>
      </c>
      <c r="R8" s="66" t="s">
        <v>119</v>
      </c>
      <c r="S8" s="66" t="s">
        <v>101</v>
      </c>
      <c r="T8" s="66" t="s">
        <v>7</v>
      </c>
      <c r="U8" s="66" t="s">
        <v>5</v>
      </c>
      <c r="V8" s="66" t="s">
        <v>7</v>
      </c>
      <c r="W8" s="66" t="s">
        <v>6</v>
      </c>
      <c r="X8" s="70" t="s">
        <v>7</v>
      </c>
      <c r="Y8" s="70" t="s">
        <v>6</v>
      </c>
      <c r="Z8" s="66" t="s">
        <v>6</v>
      </c>
      <c r="AA8" s="66" t="s">
        <v>6</v>
      </c>
      <c r="AB8" s="71" t="s">
        <v>6</v>
      </c>
      <c r="AC8" s="72" t="s">
        <v>101</v>
      </c>
      <c r="AD8" s="809" t="s">
        <v>7</v>
      </c>
      <c r="AE8" s="810" t="s">
        <v>5</v>
      </c>
      <c r="AF8" s="66" t="s">
        <v>7</v>
      </c>
      <c r="AG8" s="66" t="s">
        <v>6</v>
      </c>
      <c r="AH8" s="66" t="s">
        <v>101</v>
      </c>
      <c r="AI8" s="66"/>
    </row>
    <row r="9" spans="1:35" s="78" customFormat="1" ht="12.75">
      <c r="A9" s="73"/>
      <c r="B9" s="73"/>
      <c r="C9" s="73"/>
      <c r="D9" s="73"/>
      <c r="E9" s="74" t="s">
        <v>92</v>
      </c>
      <c r="F9" s="73"/>
      <c r="G9" s="73" t="s">
        <v>95</v>
      </c>
      <c r="H9" s="73" t="s">
        <v>97</v>
      </c>
      <c r="I9" s="73" t="s">
        <v>98</v>
      </c>
      <c r="J9" s="1039" t="s">
        <v>102</v>
      </c>
      <c r="K9" s="1040"/>
      <c r="L9" s="1039" t="s">
        <v>103</v>
      </c>
      <c r="M9" s="1040"/>
      <c r="N9" s="1039" t="s">
        <v>104</v>
      </c>
      <c r="O9" s="1040"/>
      <c r="P9" s="1019" t="s">
        <v>120</v>
      </c>
      <c r="Q9" s="1019"/>
      <c r="R9" s="1019" t="s">
        <v>106</v>
      </c>
      <c r="S9" s="1019"/>
      <c r="T9" s="1019" t="s">
        <v>121</v>
      </c>
      <c r="U9" s="1019"/>
      <c r="V9" s="73"/>
      <c r="W9" s="73"/>
      <c r="X9" s="76"/>
      <c r="Y9" s="76"/>
      <c r="Z9" s="1019" t="s">
        <v>110</v>
      </c>
      <c r="AA9" s="1019"/>
      <c r="AB9" s="1019" t="s">
        <v>124</v>
      </c>
      <c r="AC9" s="1019"/>
      <c r="AD9" s="1028" t="s">
        <v>430</v>
      </c>
      <c r="AE9" s="1028"/>
      <c r="AF9" s="77"/>
      <c r="AG9" s="77"/>
      <c r="AH9" s="75" t="s">
        <v>106</v>
      </c>
      <c r="AI9" s="75"/>
    </row>
    <row r="10" spans="1:35" s="78" customFormat="1" ht="13.5" thickBot="1">
      <c r="A10" s="79"/>
      <c r="B10" s="80"/>
      <c r="C10" s="79"/>
      <c r="D10" s="80" t="s">
        <v>91</v>
      </c>
      <c r="E10" s="81" t="s">
        <v>93</v>
      </c>
      <c r="F10" s="79" t="s">
        <v>94</v>
      </c>
      <c r="G10" s="79" t="s">
        <v>96</v>
      </c>
      <c r="H10" s="79" t="s">
        <v>96</v>
      </c>
      <c r="I10" s="79" t="s">
        <v>99</v>
      </c>
      <c r="J10" s="82" t="s">
        <v>108</v>
      </c>
      <c r="K10" s="82" t="s">
        <v>105</v>
      </c>
      <c r="L10" s="82" t="s">
        <v>108</v>
      </c>
      <c r="M10" s="82" t="s">
        <v>105</v>
      </c>
      <c r="N10" s="82" t="s">
        <v>108</v>
      </c>
      <c r="O10" s="82" t="s">
        <v>105</v>
      </c>
      <c r="P10" s="82" t="s">
        <v>108</v>
      </c>
      <c r="Q10" s="82" t="s">
        <v>105</v>
      </c>
      <c r="R10" s="82" t="s">
        <v>105</v>
      </c>
      <c r="S10" s="82" t="s">
        <v>107</v>
      </c>
      <c r="T10" s="82" t="s">
        <v>108</v>
      </c>
      <c r="U10" s="82" t="s">
        <v>109</v>
      </c>
      <c r="V10" s="82" t="s">
        <v>108</v>
      </c>
      <c r="W10" s="82" t="s">
        <v>105</v>
      </c>
      <c r="X10" s="83" t="s">
        <v>108</v>
      </c>
      <c r="Y10" s="83" t="s">
        <v>105</v>
      </c>
      <c r="Z10" s="82" t="s">
        <v>105</v>
      </c>
      <c r="AA10" s="82" t="s">
        <v>105</v>
      </c>
      <c r="AB10" s="84" t="s">
        <v>105</v>
      </c>
      <c r="AC10" s="85" t="s">
        <v>107</v>
      </c>
      <c r="AD10" s="811" t="s">
        <v>108</v>
      </c>
      <c r="AE10" s="812" t="s">
        <v>109</v>
      </c>
      <c r="AF10" s="82" t="s">
        <v>105</v>
      </c>
      <c r="AG10" s="82" t="s">
        <v>107</v>
      </c>
      <c r="AH10" s="82" t="s">
        <v>107</v>
      </c>
      <c r="AI10" s="79"/>
    </row>
    <row r="11" spans="1:35" s="90" customFormat="1" ht="14.25" customHeight="1">
      <c r="A11" s="86">
        <v>1</v>
      </c>
      <c r="B11" s="87" t="s">
        <v>83</v>
      </c>
      <c r="C11" s="88"/>
      <c r="D11" s="1129" t="s">
        <v>443</v>
      </c>
      <c r="E11" s="1084">
        <v>40795</v>
      </c>
      <c r="F11" s="935" t="s">
        <v>10</v>
      </c>
      <c r="G11" s="1085">
        <v>142</v>
      </c>
      <c r="H11" s="1086">
        <v>132</v>
      </c>
      <c r="I11" s="1086">
        <v>3</v>
      </c>
      <c r="J11" s="1087">
        <v>80778</v>
      </c>
      <c r="K11" s="1088">
        <v>7283</v>
      </c>
      <c r="L11" s="1087">
        <v>142586</v>
      </c>
      <c r="M11" s="1088">
        <v>12579</v>
      </c>
      <c r="N11" s="1087">
        <v>158615</v>
      </c>
      <c r="O11" s="1088">
        <v>14080</v>
      </c>
      <c r="P11" s="875">
        <f>+J11+L11+N11</f>
        <v>381979</v>
      </c>
      <c r="Q11" s="923">
        <f>+K11+M11+O11</f>
        <v>33942</v>
      </c>
      <c r="R11" s="628">
        <f>IF(P11&lt;&gt;0,Q11/H11,"")</f>
        <v>257.1363636363636</v>
      </c>
      <c r="S11" s="874">
        <f>IF(P11&lt;&gt;0,P11/Q11,"")</f>
        <v>11.253874256083908</v>
      </c>
      <c r="T11" s="875">
        <v>585581</v>
      </c>
      <c r="U11" s="876">
        <f>IF(T11&lt;&gt;0,-(T11-P11)/T11,"")</f>
        <v>-0.34769229192887063</v>
      </c>
      <c r="V11" s="627">
        <f>X11-P11</f>
        <v>214218</v>
      </c>
      <c r="W11" s="628">
        <f>Y11-Q11</f>
        <v>21753</v>
      </c>
      <c r="X11" s="1102">
        <v>596197</v>
      </c>
      <c r="Y11" s="1103">
        <v>55695</v>
      </c>
      <c r="Z11" s="969">
        <f>Q11*1/Y11</f>
        <v>0.6094263398868839</v>
      </c>
      <c r="AA11" s="969">
        <f>W11*1/Y11</f>
        <v>0.39057366011311606</v>
      </c>
      <c r="AB11" s="1090">
        <f>Y11/H11</f>
        <v>421.9318181818182</v>
      </c>
      <c r="AC11" s="1091">
        <f>X11/Y11</f>
        <v>10.704677260077206</v>
      </c>
      <c r="AD11" s="627">
        <v>1449329</v>
      </c>
      <c r="AE11" s="877">
        <f>IF(AD11&lt;&gt;0,-(AD11-X11)/AD11,"")</f>
        <v>-0.5886392944597121</v>
      </c>
      <c r="AF11" s="1094">
        <v>3008294</v>
      </c>
      <c r="AG11" s="1095">
        <v>281318</v>
      </c>
      <c r="AH11" s="878">
        <f>+AF11/AG11</f>
        <v>10.69357097661721</v>
      </c>
      <c r="AI11" s="89">
        <v>1</v>
      </c>
    </row>
    <row r="12" spans="1:35" s="90" customFormat="1" ht="14.25" customHeight="1">
      <c r="A12" s="91">
        <v>2</v>
      </c>
      <c r="B12" s="92"/>
      <c r="C12" s="93"/>
      <c r="D12" s="229" t="s">
        <v>452</v>
      </c>
      <c r="E12" s="2">
        <v>40802</v>
      </c>
      <c r="F12" s="582" t="s">
        <v>10</v>
      </c>
      <c r="G12" s="5">
        <v>74</v>
      </c>
      <c r="H12" s="3">
        <v>73</v>
      </c>
      <c r="I12" s="3">
        <v>1</v>
      </c>
      <c r="J12" s="10">
        <v>58225</v>
      </c>
      <c r="K12" s="11">
        <v>4899</v>
      </c>
      <c r="L12" s="10">
        <v>91801</v>
      </c>
      <c r="M12" s="11">
        <v>7664</v>
      </c>
      <c r="N12" s="10">
        <v>96024</v>
      </c>
      <c r="O12" s="11">
        <v>8011</v>
      </c>
      <c r="P12" s="34">
        <f>SUM(J12+L12+N12)</f>
        <v>246050</v>
      </c>
      <c r="Q12" s="896">
        <f>SUM(K12+M12+O12)</f>
        <v>20574</v>
      </c>
      <c r="R12" s="245">
        <f>IF(P12&lt;&gt;0,Q12/H12,"")</f>
        <v>281.83561643835617</v>
      </c>
      <c r="S12" s="221">
        <f>+P12/Q12</f>
        <v>11.959268980266355</v>
      </c>
      <c r="T12" s="557">
        <v>138053</v>
      </c>
      <c r="U12" s="883"/>
      <c r="V12" s="318">
        <f>X12-P12</f>
        <v>142946</v>
      </c>
      <c r="W12" s="245">
        <f>Y12-Q12</f>
        <v>15154</v>
      </c>
      <c r="X12" s="1104">
        <v>388996</v>
      </c>
      <c r="Y12" s="1105">
        <v>35728</v>
      </c>
      <c r="Z12" s="970">
        <f>Q12*1/Y12</f>
        <v>0.5758508732646663</v>
      </c>
      <c r="AA12" s="970">
        <f>W12*1/Y12</f>
        <v>0.4241491267353336</v>
      </c>
      <c r="AB12" s="94">
        <f>Y12/H12</f>
        <v>489.4246575342466</v>
      </c>
      <c r="AC12" s="212">
        <f>X12/Y12</f>
        <v>10.887707120465741</v>
      </c>
      <c r="AD12" s="318"/>
      <c r="AE12" s="884"/>
      <c r="AF12" s="44">
        <v>521073</v>
      </c>
      <c r="AG12" s="46">
        <v>46693</v>
      </c>
      <c r="AH12" s="885">
        <f>AF12/AG12</f>
        <v>11.159552823763732</v>
      </c>
      <c r="AI12" s="99">
        <v>2</v>
      </c>
    </row>
    <row r="13" spans="1:35" s="90" customFormat="1" ht="14.25" customHeight="1">
      <c r="A13" s="91">
        <v>3</v>
      </c>
      <c r="B13" s="100"/>
      <c r="C13" s="93"/>
      <c r="D13" s="466" t="s">
        <v>465</v>
      </c>
      <c r="E13" s="185">
        <v>40809</v>
      </c>
      <c r="F13" s="582" t="s">
        <v>31</v>
      </c>
      <c r="G13" s="33">
        <v>66</v>
      </c>
      <c r="H13" s="186">
        <v>78</v>
      </c>
      <c r="I13" s="186">
        <v>1</v>
      </c>
      <c r="J13" s="1045">
        <v>46442.5</v>
      </c>
      <c r="K13" s="1046">
        <v>3910</v>
      </c>
      <c r="L13" s="1045">
        <f>+L26+N55+N60+N63+N70+N80+N82</f>
        <v>6251.5</v>
      </c>
      <c r="M13" s="1046">
        <v>6503</v>
      </c>
      <c r="N13" s="1045">
        <v>99535.5</v>
      </c>
      <c r="O13" s="1046">
        <v>8160</v>
      </c>
      <c r="P13" s="34">
        <f>SUM(J13+L13+N13)</f>
        <v>152229.5</v>
      </c>
      <c r="Q13" s="896">
        <f>SUM(K13+M13+O13)</f>
        <v>18573</v>
      </c>
      <c r="R13" s="1047">
        <f>IF(P13&lt;&gt;0,Q13/H13,"")</f>
        <v>238.1153846153846</v>
      </c>
      <c r="S13" s="221">
        <f>IF(P13&lt;&gt;0,P13/Q13,"")</f>
        <v>8.196279545576912</v>
      </c>
      <c r="T13" s="34"/>
      <c r="U13" s="883"/>
      <c r="V13" s="318">
        <f>X13-P13</f>
        <v>230060.5</v>
      </c>
      <c r="W13" s="245">
        <f>Y13-Q13</f>
        <v>16290</v>
      </c>
      <c r="X13" s="1106">
        <v>382290</v>
      </c>
      <c r="Y13" s="1107">
        <v>34863</v>
      </c>
      <c r="Z13" s="970">
        <f>Q13*1/Y13</f>
        <v>0.5327424490147148</v>
      </c>
      <c r="AA13" s="970">
        <f>W13*1/Y13</f>
        <v>0.46725755098528526</v>
      </c>
      <c r="AB13" s="94">
        <f>Y13/H13</f>
        <v>446.96153846153845</v>
      </c>
      <c r="AC13" s="212">
        <f>X13/Y13</f>
        <v>10.965493503140866</v>
      </c>
      <c r="AD13" s="318">
        <v>530244</v>
      </c>
      <c r="AE13" s="884">
        <f aca="true" t="shared" si="0" ref="AE13:AE23">IF(AD13&lt;&gt;0,-(AD13-X13)/AD13,"")</f>
        <v>-0.27903003145721594</v>
      </c>
      <c r="AF13" s="12">
        <f>382290</f>
        <v>382290</v>
      </c>
      <c r="AG13" s="13">
        <f>34863</f>
        <v>34863</v>
      </c>
      <c r="AH13" s="885">
        <f>AF13/AG13</f>
        <v>10.965493503140866</v>
      </c>
      <c r="AI13" s="99">
        <v>3</v>
      </c>
    </row>
    <row r="14" spans="1:35" s="90" customFormat="1" ht="14.25" customHeight="1">
      <c r="A14" s="91">
        <v>4</v>
      </c>
      <c r="B14" s="102" t="s">
        <v>83</v>
      </c>
      <c r="C14" s="103" t="s">
        <v>82</v>
      </c>
      <c r="D14" s="192" t="s">
        <v>464</v>
      </c>
      <c r="E14" s="32">
        <v>40809</v>
      </c>
      <c r="F14" s="588" t="s">
        <v>28</v>
      </c>
      <c r="G14" s="181">
        <v>51</v>
      </c>
      <c r="H14" s="240">
        <v>51</v>
      </c>
      <c r="I14" s="240">
        <v>1</v>
      </c>
      <c r="J14" s="1042">
        <v>56723.5</v>
      </c>
      <c r="K14" s="1043">
        <v>4676</v>
      </c>
      <c r="L14" s="1042">
        <v>88942</v>
      </c>
      <c r="M14" s="1043">
        <v>7256</v>
      </c>
      <c r="N14" s="1042">
        <v>100125.5</v>
      </c>
      <c r="O14" s="1043">
        <v>8183</v>
      </c>
      <c r="P14" s="34">
        <f>+J14+L14+N14</f>
        <v>245791</v>
      </c>
      <c r="Q14" s="896">
        <f>+K14+M14+O14</f>
        <v>20115</v>
      </c>
      <c r="R14" s="245">
        <f>IF(P14&lt;&gt;0,Q14/H14,"")</f>
        <v>394.4117647058824</v>
      </c>
      <c r="S14" s="221">
        <f>IF(P14&lt;&gt;0,P14/Q14,"")</f>
        <v>12.219289087745464</v>
      </c>
      <c r="T14" s="557"/>
      <c r="U14" s="883"/>
      <c r="V14" s="318">
        <f>X14-P14</f>
        <v>119533</v>
      </c>
      <c r="W14" s="245">
        <f>Y14-Q14</f>
        <v>12632</v>
      </c>
      <c r="X14" s="1108">
        <v>365324</v>
      </c>
      <c r="Y14" s="1109">
        <v>32747</v>
      </c>
      <c r="Z14" s="970">
        <f>Q14*1/Y14</f>
        <v>0.6142547408922955</v>
      </c>
      <c r="AA14" s="970">
        <f>W14*1/Y14</f>
        <v>0.3857452591077045</v>
      </c>
      <c r="AB14" s="94">
        <f>Y14/H14</f>
        <v>642.0980392156863</v>
      </c>
      <c r="AC14" s="212">
        <f>X14/Y14</f>
        <v>11.15595321708859</v>
      </c>
      <c r="AD14" s="318"/>
      <c r="AE14" s="884">
        <f t="shared" si="0"/>
      </c>
      <c r="AF14" s="654">
        <f>365324</f>
        <v>365324</v>
      </c>
      <c r="AG14" s="216">
        <f>32747</f>
        <v>32747</v>
      </c>
      <c r="AH14" s="296">
        <f>+AF14/AG14</f>
        <v>11.15595321708859</v>
      </c>
      <c r="AI14" s="99">
        <v>4</v>
      </c>
    </row>
    <row r="15" spans="1:35" s="90" customFormat="1" ht="14.25" customHeight="1">
      <c r="A15" s="91">
        <v>5</v>
      </c>
      <c r="B15" s="104"/>
      <c r="C15" s="93"/>
      <c r="D15" s="967" t="s">
        <v>466</v>
      </c>
      <c r="E15" s="113">
        <v>40809</v>
      </c>
      <c r="F15" s="588" t="s">
        <v>23</v>
      </c>
      <c r="G15" s="181">
        <v>79</v>
      </c>
      <c r="H15" s="33">
        <v>118</v>
      </c>
      <c r="I15" s="33">
        <v>1</v>
      </c>
      <c r="J15" s="1042">
        <v>42648</v>
      </c>
      <c r="K15" s="1043">
        <v>3387</v>
      </c>
      <c r="L15" s="1042">
        <v>62812</v>
      </c>
      <c r="M15" s="1043">
        <v>5393</v>
      </c>
      <c r="N15" s="1042">
        <v>69255</v>
      </c>
      <c r="O15" s="1043">
        <v>6116</v>
      </c>
      <c r="P15" s="34">
        <f>SUM(J15+L15+N15)</f>
        <v>174715</v>
      </c>
      <c r="Q15" s="896">
        <f>SUM(K15+M15+O15)</f>
        <v>14896</v>
      </c>
      <c r="R15" s="245">
        <f>IF(P15&lt;&gt;0,Q15/H15,"")</f>
        <v>126.23728813559322</v>
      </c>
      <c r="S15" s="221">
        <f>IF(P15&lt;&gt;0,P15/Q15,"")</f>
        <v>11.728987647690655</v>
      </c>
      <c r="T15" s="34"/>
      <c r="U15" s="883"/>
      <c r="V15" s="318"/>
      <c r="W15" s="245"/>
      <c r="X15" s="1110">
        <v>270170</v>
      </c>
      <c r="Y15" s="1109">
        <v>24964</v>
      </c>
      <c r="Z15" s="970">
        <f>Q15*1/Y15</f>
        <v>0.5966992469155584</v>
      </c>
      <c r="AA15" s="970">
        <f>W15*1/Y15</f>
        <v>0</v>
      </c>
      <c r="AB15" s="94">
        <f>Y15/H15</f>
        <v>211.5593220338983</v>
      </c>
      <c r="AC15" s="212">
        <f>X15/Y15</f>
        <v>10.822384233295946</v>
      </c>
      <c r="AD15" s="318">
        <v>518034</v>
      </c>
      <c r="AE15" s="884">
        <f t="shared" si="0"/>
        <v>-0.47847052510066906</v>
      </c>
      <c r="AF15" s="217">
        <v>270170</v>
      </c>
      <c r="AG15" s="216">
        <v>24964</v>
      </c>
      <c r="AH15" s="885">
        <f>AF15/AG15</f>
        <v>10.822384233295946</v>
      </c>
      <c r="AI15" s="99">
        <v>5</v>
      </c>
    </row>
    <row r="16" spans="1:35" s="90" customFormat="1" ht="14.25" customHeight="1">
      <c r="A16" s="91">
        <v>6</v>
      </c>
      <c r="B16" s="102" t="s">
        <v>83</v>
      </c>
      <c r="C16" s="103" t="s">
        <v>82</v>
      </c>
      <c r="D16" s="229" t="s">
        <v>396</v>
      </c>
      <c r="E16" s="2">
        <v>40760</v>
      </c>
      <c r="F16" s="588" t="s">
        <v>10</v>
      </c>
      <c r="G16" s="181">
        <v>184</v>
      </c>
      <c r="H16" s="3">
        <v>123</v>
      </c>
      <c r="I16" s="3">
        <v>8</v>
      </c>
      <c r="J16" s="10">
        <v>18656</v>
      </c>
      <c r="K16" s="11">
        <v>2467</v>
      </c>
      <c r="L16" s="10">
        <v>65812</v>
      </c>
      <c r="M16" s="11">
        <v>7976</v>
      </c>
      <c r="N16" s="10">
        <v>65892</v>
      </c>
      <c r="O16" s="11">
        <v>7764</v>
      </c>
      <c r="P16" s="34">
        <f>SUM(J16+L16+N16)</f>
        <v>150360</v>
      </c>
      <c r="Q16" s="896">
        <f>SUM(K16+M16+O16)</f>
        <v>18207</v>
      </c>
      <c r="R16" s="245">
        <f>IF(P16&lt;&gt;0,Q16/H16,"")</f>
        <v>148.02439024390245</v>
      </c>
      <c r="S16" s="221">
        <f>+P16/Q16</f>
        <v>8.25836216839677</v>
      </c>
      <c r="T16" s="34">
        <v>177825</v>
      </c>
      <c r="U16" s="883">
        <f>IF(T16&lt;&gt;0,-(T16-P16)/T16,"")</f>
        <v>-0.15444959932517924</v>
      </c>
      <c r="V16" s="318">
        <f>X16-P16</f>
        <v>54657</v>
      </c>
      <c r="W16" s="245">
        <f>Y16-Q16</f>
        <v>7894</v>
      </c>
      <c r="X16" s="1104">
        <v>205017</v>
      </c>
      <c r="Y16" s="1105">
        <v>26101</v>
      </c>
      <c r="Z16" s="970">
        <f>Q16*1/Y16</f>
        <v>0.6975594804796751</v>
      </c>
      <c r="AA16" s="970">
        <f>W16*1/Y16</f>
        <v>0.3024405195203249</v>
      </c>
      <c r="AB16" s="94">
        <f>Y16/H16</f>
        <v>212.20325203252034</v>
      </c>
      <c r="AC16" s="212">
        <f>X16/Y16</f>
        <v>7.854756522738592</v>
      </c>
      <c r="AD16" s="318">
        <v>412730</v>
      </c>
      <c r="AE16" s="884">
        <f t="shared" si="0"/>
        <v>-0.503266057713275</v>
      </c>
      <c r="AF16" s="44">
        <f>10775246+204918+99</f>
        <v>10980263</v>
      </c>
      <c r="AG16" s="46">
        <f>1039444+26101</f>
        <v>1065545</v>
      </c>
      <c r="AH16" s="885">
        <f>+AF16/AG16</f>
        <v>10.304832738176238</v>
      </c>
      <c r="AI16" s="99">
        <v>6</v>
      </c>
    </row>
    <row r="17" spans="1:35" s="90" customFormat="1" ht="14.25" customHeight="1">
      <c r="A17" s="91">
        <v>7</v>
      </c>
      <c r="B17" s="109"/>
      <c r="C17" s="93"/>
      <c r="D17" s="949" t="s">
        <v>450</v>
      </c>
      <c r="E17" s="113">
        <v>40802</v>
      </c>
      <c r="F17" s="588" t="s">
        <v>23</v>
      </c>
      <c r="G17" s="181">
        <v>139</v>
      </c>
      <c r="H17" s="33">
        <v>138</v>
      </c>
      <c r="I17" s="33">
        <v>2</v>
      </c>
      <c r="J17" s="1042">
        <v>30005</v>
      </c>
      <c r="K17" s="1043">
        <v>2843</v>
      </c>
      <c r="L17" s="1042">
        <v>56879</v>
      </c>
      <c r="M17" s="1043">
        <v>5273</v>
      </c>
      <c r="N17" s="1042">
        <v>53407</v>
      </c>
      <c r="O17" s="1043">
        <v>5128</v>
      </c>
      <c r="P17" s="34">
        <f>SUM(J17+L17+N17)</f>
        <v>140291</v>
      </c>
      <c r="Q17" s="896">
        <f>SUM(K17+M17+O17)</f>
        <v>13244</v>
      </c>
      <c r="R17" s="1047">
        <f>IF(P17&lt;&gt;0,Q17/H17,"")</f>
        <v>95.97101449275362</v>
      </c>
      <c r="S17" s="221">
        <f>IF(P17&lt;&gt;0,P17/Q17,"")</f>
        <v>10.592796738145575</v>
      </c>
      <c r="T17" s="34">
        <v>245994</v>
      </c>
      <c r="U17" s="883"/>
      <c r="V17" s="318">
        <f>X17-P17</f>
        <v>61938</v>
      </c>
      <c r="W17" s="245">
        <f>Y17-Q17</f>
        <v>7326</v>
      </c>
      <c r="X17" s="1110">
        <v>202229</v>
      </c>
      <c r="Y17" s="1109">
        <v>20570</v>
      </c>
      <c r="Z17" s="970">
        <f>Q17*1/Y17</f>
        <v>0.6438502673796791</v>
      </c>
      <c r="AA17" s="970">
        <f>W17*1/Y17</f>
        <v>0.35614973262032085</v>
      </c>
      <c r="AB17" s="94">
        <f>Y17/H17</f>
        <v>149.05797101449275</v>
      </c>
      <c r="AC17" s="95">
        <f>X17/Y17</f>
        <v>9.831259115216335</v>
      </c>
      <c r="AD17" s="318">
        <v>377633</v>
      </c>
      <c r="AE17" s="884">
        <f t="shared" si="0"/>
        <v>-0.4644827120511184</v>
      </c>
      <c r="AF17" s="217">
        <v>581422</v>
      </c>
      <c r="AG17" s="216">
        <v>58638</v>
      </c>
      <c r="AH17" s="296">
        <f>+AF17/AG17</f>
        <v>9.91544732084996</v>
      </c>
      <c r="AI17" s="99">
        <v>7</v>
      </c>
    </row>
    <row r="18" spans="1:35" s="90" customFormat="1" ht="14.25" customHeight="1">
      <c r="A18" s="91">
        <v>8</v>
      </c>
      <c r="B18" s="110" t="s">
        <v>83</v>
      </c>
      <c r="C18" s="93"/>
      <c r="D18" s="967" t="s">
        <v>467</v>
      </c>
      <c r="E18" s="475">
        <v>40809</v>
      </c>
      <c r="F18" s="588" t="s">
        <v>23</v>
      </c>
      <c r="G18" s="181">
        <v>53</v>
      </c>
      <c r="H18" s="33">
        <v>48</v>
      </c>
      <c r="I18" s="33">
        <v>1</v>
      </c>
      <c r="J18" s="1042">
        <v>27423</v>
      </c>
      <c r="K18" s="1043">
        <v>2072</v>
      </c>
      <c r="L18" s="1042">
        <v>42105</v>
      </c>
      <c r="M18" s="1043">
        <v>4023</v>
      </c>
      <c r="N18" s="1042">
        <v>42406</v>
      </c>
      <c r="O18" s="1043">
        <v>3199</v>
      </c>
      <c r="P18" s="34">
        <f>SUM(J18+L18+N18)</f>
        <v>111934</v>
      </c>
      <c r="Q18" s="896">
        <f>SUM(K18+M18+O18)</f>
        <v>9294</v>
      </c>
      <c r="R18" s="245">
        <f>IF(P18&lt;&gt;0,Q18/H18,"")</f>
        <v>193.625</v>
      </c>
      <c r="S18" s="221">
        <f>IF(P18&lt;&gt;0,P18/Q18,"")</f>
        <v>12.043684097267054</v>
      </c>
      <c r="T18" s="34"/>
      <c r="U18" s="883"/>
      <c r="V18" s="318"/>
      <c r="W18" s="245"/>
      <c r="X18" s="1110">
        <v>187160</v>
      </c>
      <c r="Y18" s="1109">
        <v>15327</v>
      </c>
      <c r="Z18" s="970">
        <f>Q18*1/Y18</f>
        <v>0.6063808964572324</v>
      </c>
      <c r="AA18" s="970">
        <f>W18*1/Y18</f>
        <v>0</v>
      </c>
      <c r="AB18" s="94">
        <f>Y18/H18</f>
        <v>319.3125</v>
      </c>
      <c r="AC18" s="212">
        <f>X18/Y18</f>
        <v>12.211130684413128</v>
      </c>
      <c r="AD18" s="318">
        <v>386880.75</v>
      </c>
      <c r="AE18" s="884">
        <f t="shared" si="0"/>
        <v>-0.5162333613135314</v>
      </c>
      <c r="AF18" s="217">
        <v>187160</v>
      </c>
      <c r="AG18" s="216">
        <v>15327</v>
      </c>
      <c r="AH18" s="296">
        <f>+AF18/AG18</f>
        <v>12.211130684413128</v>
      </c>
      <c r="AI18" s="99">
        <v>8</v>
      </c>
    </row>
    <row r="19" spans="1:35" s="90" customFormat="1" ht="14.25" customHeight="1">
      <c r="A19" s="91">
        <v>9</v>
      </c>
      <c r="B19" s="92"/>
      <c r="C19" s="93"/>
      <c r="D19" s="950" t="s">
        <v>416</v>
      </c>
      <c r="E19" s="32">
        <v>40774</v>
      </c>
      <c r="F19" s="588" t="s">
        <v>23</v>
      </c>
      <c r="G19" s="181">
        <v>123</v>
      </c>
      <c r="H19" s="33">
        <v>117</v>
      </c>
      <c r="I19" s="33">
        <v>6</v>
      </c>
      <c r="J19" s="1042">
        <v>21518</v>
      </c>
      <c r="K19" s="1043">
        <v>1618</v>
      </c>
      <c r="L19" s="1042">
        <v>53750</v>
      </c>
      <c r="M19" s="1043">
        <v>6026</v>
      </c>
      <c r="N19" s="1042">
        <v>62399</v>
      </c>
      <c r="O19" s="1043">
        <v>6948</v>
      </c>
      <c r="P19" s="34">
        <f>SUM(J19+L19+N19)</f>
        <v>137667</v>
      </c>
      <c r="Q19" s="896">
        <f>SUM(K19+M19+O19)</f>
        <v>14592</v>
      </c>
      <c r="R19" s="245">
        <f>IF(P19&lt;&gt;0,Q19/H19,"")</f>
        <v>124.71794871794872</v>
      </c>
      <c r="S19" s="221">
        <f>IF(P19&lt;&gt;0,P19/Q19,"")</f>
        <v>9.434416118421053</v>
      </c>
      <c r="T19" s="34">
        <v>204601</v>
      </c>
      <c r="U19" s="883">
        <f>IF(T19&lt;&gt;0,-(T19-P19)/T19,"")</f>
        <v>-0.3271440511043446</v>
      </c>
      <c r="V19" s="318">
        <f>X19-P19</f>
        <v>31609</v>
      </c>
      <c r="W19" s="245">
        <f>Y19-Q19</f>
        <v>5505</v>
      </c>
      <c r="X19" s="1110">
        <v>169276</v>
      </c>
      <c r="Y19" s="1109">
        <v>20097</v>
      </c>
      <c r="Z19" s="970">
        <f>Q19*1/Y19</f>
        <v>0.7260785191819674</v>
      </c>
      <c r="AA19" s="970">
        <f>W19*1/Y19</f>
        <v>0.2739214808180325</v>
      </c>
      <c r="AB19" s="94">
        <f>Y19/H19</f>
        <v>171.76923076923077</v>
      </c>
      <c r="AC19" s="212">
        <f>X19/Y19</f>
        <v>8.422948698810767</v>
      </c>
      <c r="AD19" s="318"/>
      <c r="AE19" s="884">
        <f t="shared" si="0"/>
      </c>
      <c r="AF19" s="217">
        <v>6432534</v>
      </c>
      <c r="AG19" s="216">
        <v>614256</v>
      </c>
      <c r="AH19" s="296">
        <f>+AF19/AG19</f>
        <v>10.472073532859264</v>
      </c>
      <c r="AI19" s="99">
        <v>9</v>
      </c>
    </row>
    <row r="20" spans="1:35" s="90" customFormat="1" ht="14.25" customHeight="1">
      <c r="A20" s="91">
        <v>10</v>
      </c>
      <c r="B20" s="109"/>
      <c r="C20" s="93"/>
      <c r="D20" s="951" t="s">
        <v>451</v>
      </c>
      <c r="E20" s="32">
        <v>40802</v>
      </c>
      <c r="F20" s="588" t="s">
        <v>31</v>
      </c>
      <c r="G20" s="181">
        <v>76</v>
      </c>
      <c r="H20" s="186">
        <v>76</v>
      </c>
      <c r="I20" s="186">
        <v>2</v>
      </c>
      <c r="J20" s="1045">
        <v>22695.5</v>
      </c>
      <c r="K20" s="1046">
        <v>2413</v>
      </c>
      <c r="L20" s="1045">
        <v>38423</v>
      </c>
      <c r="M20" s="1046">
        <v>4030</v>
      </c>
      <c r="N20" s="1045">
        <v>41658.5</v>
      </c>
      <c r="O20" s="1046">
        <v>4337</v>
      </c>
      <c r="P20" s="34">
        <f>SUM(J20+L20+N20)</f>
        <v>102777</v>
      </c>
      <c r="Q20" s="896">
        <f>SUM(K20+M20+O20)</f>
        <v>10780</v>
      </c>
      <c r="R20" s="245">
        <f>IF(P20&lt;&gt;0,Q20/H20,"")</f>
        <v>141.8421052631579</v>
      </c>
      <c r="S20" s="221">
        <f>IF(P20&lt;&gt;0,P20/Q20,"")</f>
        <v>9.53404452690167</v>
      </c>
      <c r="T20" s="34">
        <v>161695</v>
      </c>
      <c r="U20" s="883">
        <f>IF(T20&lt;&gt;0,-(T20-P20)/T20,"")</f>
        <v>-0.3643773771607038</v>
      </c>
      <c r="V20" s="318">
        <f>X20-P20</f>
        <v>54812</v>
      </c>
      <c r="W20" s="245">
        <f>Y20-Q20</f>
        <v>6962</v>
      </c>
      <c r="X20" s="1106">
        <v>157589</v>
      </c>
      <c r="Y20" s="1107">
        <v>17742</v>
      </c>
      <c r="Z20" s="970">
        <f>Q20*1/Y20</f>
        <v>0.607597790553489</v>
      </c>
      <c r="AA20" s="970">
        <f>W20*1/Y20</f>
        <v>0.3924022094465111</v>
      </c>
      <c r="AB20" s="94">
        <f>Y20/H20</f>
        <v>233.44736842105263</v>
      </c>
      <c r="AC20" s="212">
        <f>X20/Y20</f>
        <v>8.882256791793484</v>
      </c>
      <c r="AD20" s="318">
        <v>155765</v>
      </c>
      <c r="AE20" s="884">
        <f t="shared" si="0"/>
        <v>0.011709947677591244</v>
      </c>
      <c r="AF20" s="12">
        <f>264177+157589</f>
        <v>421766</v>
      </c>
      <c r="AG20" s="13">
        <f>29068+17742</f>
        <v>46810</v>
      </c>
      <c r="AH20" s="885">
        <f>AF20/AG20</f>
        <v>9.010168767357403</v>
      </c>
      <c r="AI20" s="99">
        <v>10</v>
      </c>
    </row>
    <row r="21" spans="1:35" s="90" customFormat="1" ht="14.25" customHeight="1">
      <c r="A21" s="91">
        <v>11</v>
      </c>
      <c r="B21" s="110" t="s">
        <v>83</v>
      </c>
      <c r="C21" s="103" t="s">
        <v>82</v>
      </c>
      <c r="D21" s="951" t="s">
        <v>424</v>
      </c>
      <c r="E21" s="32">
        <v>40781</v>
      </c>
      <c r="F21" s="588" t="s">
        <v>31</v>
      </c>
      <c r="G21" s="181">
        <v>96</v>
      </c>
      <c r="H21" s="186">
        <v>84</v>
      </c>
      <c r="I21" s="186">
        <v>5</v>
      </c>
      <c r="J21" s="1045">
        <v>16671.5</v>
      </c>
      <c r="K21" s="1046">
        <v>1861</v>
      </c>
      <c r="L21" s="1045">
        <v>37346</v>
      </c>
      <c r="M21" s="1046">
        <v>4311</v>
      </c>
      <c r="N21" s="1045">
        <v>36608</v>
      </c>
      <c r="O21" s="1046">
        <v>4203</v>
      </c>
      <c r="P21" s="34">
        <f>+J21+L21+N21</f>
        <v>90625.5</v>
      </c>
      <c r="Q21" s="896">
        <f>+K21+M21+O21</f>
        <v>10375</v>
      </c>
      <c r="R21" s="245">
        <f>IF(P21&lt;&gt;0,Q21/H21,"")</f>
        <v>123.51190476190476</v>
      </c>
      <c r="S21" s="221">
        <f>IF(P21&lt;&gt;0,P21/Q21,"")</f>
        <v>8.734987951807229</v>
      </c>
      <c r="T21" s="557">
        <v>130184</v>
      </c>
      <c r="U21" s="883">
        <f>IF(T21&lt;&gt;0,-(T21-P21)/T21,"")</f>
        <v>-0.30386606649050574</v>
      </c>
      <c r="V21" s="318">
        <f>X21-P21</f>
        <v>40343</v>
      </c>
      <c r="W21" s="245">
        <f>Y21-Q21</f>
        <v>5504</v>
      </c>
      <c r="X21" s="1106">
        <v>130968.5</v>
      </c>
      <c r="Y21" s="1107">
        <v>15879</v>
      </c>
      <c r="Z21" s="970">
        <f>Q21*1/Y21</f>
        <v>0.6533786762390579</v>
      </c>
      <c r="AA21" s="970">
        <f>W21*1/Y21</f>
        <v>0.3466213237609421</v>
      </c>
      <c r="AB21" s="94">
        <f>Y21/H21</f>
        <v>189.03571428571428</v>
      </c>
      <c r="AC21" s="212">
        <f>X21/Y21</f>
        <v>8.247906039423137</v>
      </c>
      <c r="AD21" s="318"/>
      <c r="AE21" s="884">
        <f t="shared" si="0"/>
      </c>
      <c r="AF21" s="12">
        <f>29056+844874+618474.25+386880.75+207889+130968.5</f>
        <v>2218142.5</v>
      </c>
      <c r="AG21" s="13">
        <f>4385+80857+63348+40336+22079+15879</f>
        <v>226884</v>
      </c>
      <c r="AH21" s="296">
        <f aca="true" t="shared" si="1" ref="AH21:AH29">+AF21/AG21</f>
        <v>9.776548809083055</v>
      </c>
      <c r="AI21" s="99">
        <v>11</v>
      </c>
    </row>
    <row r="22" spans="1:35" s="90" customFormat="1" ht="14.25" customHeight="1">
      <c r="A22" s="91">
        <v>12</v>
      </c>
      <c r="B22" s="112"/>
      <c r="C22" s="103" t="s">
        <v>82</v>
      </c>
      <c r="D22" s="602" t="s">
        <v>453</v>
      </c>
      <c r="E22" s="113">
        <v>40802</v>
      </c>
      <c r="F22" s="588" t="s">
        <v>8</v>
      </c>
      <c r="G22" s="5">
        <v>70</v>
      </c>
      <c r="H22" s="5">
        <v>68</v>
      </c>
      <c r="I22" s="5">
        <v>2</v>
      </c>
      <c r="J22" s="10">
        <v>8725</v>
      </c>
      <c r="K22" s="11">
        <v>681</v>
      </c>
      <c r="L22" s="10">
        <v>44658</v>
      </c>
      <c r="M22" s="11">
        <v>3434</v>
      </c>
      <c r="N22" s="10">
        <v>37619</v>
      </c>
      <c r="O22" s="11">
        <v>2967</v>
      </c>
      <c r="P22" s="34">
        <f>SUM(J22+L22+N22)</f>
        <v>91002</v>
      </c>
      <c r="Q22" s="896">
        <f>SUM(K22+M22+O22)</f>
        <v>7082</v>
      </c>
      <c r="R22" s="245">
        <f>IF(P22&lt;&gt;0,Q22/H22,"")</f>
        <v>104.1470588235294</v>
      </c>
      <c r="S22" s="221">
        <f>IF(P22&lt;&gt;0,P22/Q22,"")</f>
        <v>12.849759954815024</v>
      </c>
      <c r="T22" s="34">
        <v>137578</v>
      </c>
      <c r="U22" s="883">
        <f>IF(T22&lt;&gt;0,-(T22-P22)/T22,"")</f>
        <v>-0.33854249952754073</v>
      </c>
      <c r="V22" s="318">
        <f>X22-P22</f>
        <v>12427</v>
      </c>
      <c r="W22" s="245">
        <f>Y22-Q22</f>
        <v>1246</v>
      </c>
      <c r="X22" s="1111">
        <v>103429</v>
      </c>
      <c r="Y22" s="1112">
        <v>8328</v>
      </c>
      <c r="Z22" s="970">
        <f>Q22*1/Y22</f>
        <v>0.8503842459173871</v>
      </c>
      <c r="AA22" s="970">
        <f>W22*1/Y22</f>
        <v>0.14961575408261288</v>
      </c>
      <c r="AB22" s="94">
        <f>Y22/H22</f>
        <v>122.47058823529412</v>
      </c>
      <c r="AC22" s="212">
        <f>X22/Y22</f>
        <v>12.419428434197886</v>
      </c>
      <c r="AD22" s="318">
        <v>56967.5</v>
      </c>
      <c r="AE22" s="884">
        <f t="shared" si="0"/>
        <v>0.8155790582349586</v>
      </c>
      <c r="AF22" s="10">
        <v>263190</v>
      </c>
      <c r="AG22" s="11">
        <v>21213</v>
      </c>
      <c r="AH22" s="296">
        <f t="shared" si="1"/>
        <v>12.407014566539386</v>
      </c>
      <c r="AI22" s="99">
        <v>12</v>
      </c>
    </row>
    <row r="23" spans="1:35" s="90" customFormat="1" ht="14.25" customHeight="1">
      <c r="A23" s="91">
        <v>13</v>
      </c>
      <c r="B23" s="110" t="s">
        <v>83</v>
      </c>
      <c r="C23" s="93"/>
      <c r="D23" s="229" t="s">
        <v>438</v>
      </c>
      <c r="E23" s="2">
        <v>40795</v>
      </c>
      <c r="F23" s="588" t="s">
        <v>10</v>
      </c>
      <c r="G23" s="181">
        <v>70</v>
      </c>
      <c r="H23" s="3">
        <v>70</v>
      </c>
      <c r="I23" s="3">
        <v>3</v>
      </c>
      <c r="J23" s="10">
        <v>14288</v>
      </c>
      <c r="K23" s="11">
        <v>1352</v>
      </c>
      <c r="L23" s="10">
        <v>25873</v>
      </c>
      <c r="M23" s="11">
        <v>2453</v>
      </c>
      <c r="N23" s="10">
        <v>25858</v>
      </c>
      <c r="O23" s="11">
        <v>2502</v>
      </c>
      <c r="P23" s="581">
        <f>+J23+L23+N23</f>
        <v>66019</v>
      </c>
      <c r="Q23" s="483">
        <f>+K23+M23+O23</f>
        <v>6307</v>
      </c>
      <c r="R23" s="280">
        <f>IF(P23&lt;&gt;0,Q23/H23,"")</f>
        <v>90.1</v>
      </c>
      <c r="S23" s="221">
        <f>IF(P23&lt;&gt;0,P23/Q23,"")</f>
        <v>10.467575709529095</v>
      </c>
      <c r="T23" s="593">
        <v>142338</v>
      </c>
      <c r="U23" s="883">
        <f>IF(T23&lt;&gt;0,-(T23-P23)/T23,"")</f>
        <v>-0.5361814835110793</v>
      </c>
      <c r="V23" s="318">
        <f>X23-P23</f>
        <v>30639</v>
      </c>
      <c r="W23" s="245">
        <f>Y23-Q23</f>
        <v>3690</v>
      </c>
      <c r="X23" s="1104">
        <v>96658</v>
      </c>
      <c r="Y23" s="1105">
        <v>9997</v>
      </c>
      <c r="Z23" s="970">
        <f>Q23*1/Y23</f>
        <v>0.630889266780034</v>
      </c>
      <c r="AA23" s="970">
        <f>W23*1/Y23</f>
        <v>0.369110733219966</v>
      </c>
      <c r="AB23" s="94">
        <f>Y23/H23</f>
        <v>142.81428571428572</v>
      </c>
      <c r="AC23" s="212">
        <f>X23/Y23</f>
        <v>9.668700610183055</v>
      </c>
      <c r="AD23" s="318">
        <v>89718</v>
      </c>
      <c r="AE23" s="884">
        <f t="shared" si="0"/>
        <v>0.07735348536525558</v>
      </c>
      <c r="AF23" s="44">
        <v>712796</v>
      </c>
      <c r="AG23" s="46">
        <v>67487</v>
      </c>
      <c r="AH23" s="885">
        <f t="shared" si="1"/>
        <v>10.561974898869412</v>
      </c>
      <c r="AI23" s="99">
        <v>13</v>
      </c>
    </row>
    <row r="24" spans="1:35" s="90" customFormat="1" ht="14.25" customHeight="1">
      <c r="A24" s="91">
        <v>14</v>
      </c>
      <c r="B24" s="116"/>
      <c r="C24" s="93"/>
      <c r="D24" s="952" t="s">
        <v>435</v>
      </c>
      <c r="E24" s="113">
        <v>40788</v>
      </c>
      <c r="F24" s="588" t="s">
        <v>23</v>
      </c>
      <c r="G24" s="181">
        <v>89</v>
      </c>
      <c r="H24" s="33">
        <v>84</v>
      </c>
      <c r="I24" s="33">
        <v>4</v>
      </c>
      <c r="J24" s="1042">
        <v>9924</v>
      </c>
      <c r="K24" s="1043">
        <v>1134</v>
      </c>
      <c r="L24" s="1042">
        <v>18754</v>
      </c>
      <c r="M24" s="1043">
        <v>2133</v>
      </c>
      <c r="N24" s="1042">
        <v>19255</v>
      </c>
      <c r="O24" s="1043">
        <v>2228</v>
      </c>
      <c r="P24" s="581">
        <f>SUM(J24+L24+N24)</f>
        <v>47933</v>
      </c>
      <c r="Q24" s="483">
        <f>SUM(K24+M24+O24)</f>
        <v>5495</v>
      </c>
      <c r="R24" s="245">
        <f>IF(P24&lt;&gt;0,Q24/H24,"")</f>
        <v>65.41666666666667</v>
      </c>
      <c r="S24" s="221">
        <f>IF(P24&lt;&gt;0,P24/Q24,"")</f>
        <v>8.723020928116469</v>
      </c>
      <c r="T24" s="581">
        <v>166471</v>
      </c>
      <c r="U24" s="883">
        <f>IF(T24&lt;&gt;0,-(T24-P24)/T24,"")</f>
        <v>-0.7120639630926708</v>
      </c>
      <c r="V24" s="318">
        <f>X24-P24</f>
        <v>23361</v>
      </c>
      <c r="W24" s="245">
        <f>Y24-Q24</f>
        <v>3356</v>
      </c>
      <c r="X24" s="1113">
        <v>71294</v>
      </c>
      <c r="Y24" s="1114">
        <v>8851</v>
      </c>
      <c r="Z24" s="970">
        <f>Q24*1/Y24</f>
        <v>0.6208338040899334</v>
      </c>
      <c r="AA24" s="970">
        <f>W24*1/Y24</f>
        <v>0.3791661959100667</v>
      </c>
      <c r="AB24" s="94">
        <f>Y24/H24</f>
        <v>105.36904761904762</v>
      </c>
      <c r="AC24" s="212">
        <f>X24/Y24</f>
        <v>8.054909049824879</v>
      </c>
      <c r="AD24" s="318">
        <v>51844</v>
      </c>
      <c r="AE24" s="884">
        <f>IF(AD24&lt;&gt;0,-(AD24-X24)/AD24,"")</f>
        <v>0.3751639533986575</v>
      </c>
      <c r="AF24" s="242">
        <v>1876531</v>
      </c>
      <c r="AG24" s="216">
        <v>182267</v>
      </c>
      <c r="AH24" s="296">
        <f t="shared" si="1"/>
        <v>10.295506043332034</v>
      </c>
      <c r="AI24" s="99">
        <v>14</v>
      </c>
    </row>
    <row r="25" spans="1:35" s="90" customFormat="1" ht="14.25" customHeight="1">
      <c r="A25" s="91">
        <v>15</v>
      </c>
      <c r="B25" s="112"/>
      <c r="C25" s="93"/>
      <c r="D25" s="602" t="s">
        <v>427</v>
      </c>
      <c r="E25" s="32">
        <v>40781</v>
      </c>
      <c r="F25" s="588" t="s">
        <v>31</v>
      </c>
      <c r="G25" s="181">
        <v>25</v>
      </c>
      <c r="H25" s="186">
        <v>25</v>
      </c>
      <c r="I25" s="186">
        <v>5</v>
      </c>
      <c r="J25" s="1045">
        <v>3003</v>
      </c>
      <c r="K25" s="1046">
        <v>369</v>
      </c>
      <c r="L25" s="1045">
        <v>7241.5</v>
      </c>
      <c r="M25" s="1046">
        <v>879</v>
      </c>
      <c r="N25" s="1045">
        <v>7297</v>
      </c>
      <c r="O25" s="1046">
        <v>873</v>
      </c>
      <c r="P25" s="581">
        <f>+J25+L25+N25</f>
        <v>17541.5</v>
      </c>
      <c r="Q25" s="483">
        <f>+K25+M25+O25</f>
        <v>2121</v>
      </c>
      <c r="R25" s="595">
        <f>+Q25/H25</f>
        <v>84.84</v>
      </c>
      <c r="S25" s="221">
        <f>+P25/Q25</f>
        <v>8.27039132484677</v>
      </c>
      <c r="T25" s="581">
        <v>16176.5</v>
      </c>
      <c r="U25" s="883">
        <f>IF(T25&lt;&gt;0,-(T25-P25)/T25,"")</f>
        <v>0.08438166476060953</v>
      </c>
      <c r="V25" s="318">
        <f>X25-P25</f>
        <v>13282</v>
      </c>
      <c r="W25" s="245">
        <f>Y25-Q25</f>
        <v>1808</v>
      </c>
      <c r="X25" s="1106">
        <v>30823.5</v>
      </c>
      <c r="Y25" s="1107">
        <v>3929</v>
      </c>
      <c r="Z25" s="970">
        <f>Q25*1/Y25</f>
        <v>0.5398320183252736</v>
      </c>
      <c r="AA25" s="970">
        <f>W25*1/Y25</f>
        <v>0.4601679816747264</v>
      </c>
      <c r="AB25" s="94">
        <f>Y25/H25</f>
        <v>157.16</v>
      </c>
      <c r="AC25" s="212">
        <f>X25/Y25</f>
        <v>7.845125986256045</v>
      </c>
      <c r="AD25" s="318">
        <v>62262</v>
      </c>
      <c r="AE25" s="884">
        <f aca="true" t="shared" si="2" ref="AE25:AE30">IF(AD25&lt;&gt;0,-(AD25-X25)/AD25,"")</f>
        <v>-0.5049388069769682</v>
      </c>
      <c r="AF25" s="12">
        <f>144733+112570+56967.5+34113.5+30823.5</f>
        <v>379207.5</v>
      </c>
      <c r="AG25" s="13">
        <f>11669+10065+5619+3946+3929</f>
        <v>35228</v>
      </c>
      <c r="AH25" s="296">
        <f t="shared" si="1"/>
        <v>10.764377767684795</v>
      </c>
      <c r="AI25" s="99">
        <v>15</v>
      </c>
    </row>
    <row r="26" spans="1:35" s="90" customFormat="1" ht="14.25" customHeight="1">
      <c r="A26" s="91">
        <v>16</v>
      </c>
      <c r="B26" s="110" t="s">
        <v>83</v>
      </c>
      <c r="C26" s="93"/>
      <c r="D26" s="949" t="s">
        <v>417</v>
      </c>
      <c r="E26" s="567">
        <v>40774</v>
      </c>
      <c r="F26" s="881" t="s">
        <v>62</v>
      </c>
      <c r="G26" s="213">
        <v>25</v>
      </c>
      <c r="H26" s="215">
        <v>25</v>
      </c>
      <c r="I26" s="215">
        <v>6</v>
      </c>
      <c r="J26" s="217">
        <v>2458</v>
      </c>
      <c r="K26" s="216">
        <v>317</v>
      </c>
      <c r="L26" s="217">
        <v>6251.5</v>
      </c>
      <c r="M26" s="216">
        <v>748</v>
      </c>
      <c r="N26" s="217">
        <v>6468.5</v>
      </c>
      <c r="O26" s="216">
        <v>784</v>
      </c>
      <c r="P26" s="581">
        <f>SUM(J26+L26+N26)</f>
        <v>15178</v>
      </c>
      <c r="Q26" s="483">
        <f>SUM(K26+M26+O26)</f>
        <v>1849</v>
      </c>
      <c r="R26" s="595">
        <f>+Q26/H26</f>
        <v>73.96</v>
      </c>
      <c r="S26" s="221">
        <f>IF(P26&lt;&gt;0,P26/Q26,"")</f>
        <v>8.208761492698756</v>
      </c>
      <c r="T26" s="581">
        <v>12348</v>
      </c>
      <c r="U26" s="883">
        <f>IF(T26&lt;&gt;0,-(T26-P26)/T26,"")</f>
        <v>0.22918691286038226</v>
      </c>
      <c r="V26" s="318">
        <f>X26-P26</f>
        <v>10425</v>
      </c>
      <c r="W26" s="245">
        <f>Y26-Q26</f>
        <v>1518</v>
      </c>
      <c r="X26" s="1110">
        <v>25603</v>
      </c>
      <c r="Y26" s="1109">
        <v>3367</v>
      </c>
      <c r="Z26" s="970">
        <f>Q26*1/Y26</f>
        <v>0.5491535491535492</v>
      </c>
      <c r="AA26" s="970">
        <f>W26*1/Y26</f>
        <v>0.45084645084645086</v>
      </c>
      <c r="AB26" s="94">
        <f>Y26/H26</f>
        <v>134.68</v>
      </c>
      <c r="AC26" s="212">
        <f>X26/Y26</f>
        <v>7.6040986040986045</v>
      </c>
      <c r="AD26" s="318"/>
      <c r="AE26" s="884">
        <f t="shared" si="2"/>
      </c>
      <c r="AF26" s="217">
        <v>361073</v>
      </c>
      <c r="AG26" s="216">
        <v>33434</v>
      </c>
      <c r="AH26" s="296">
        <f t="shared" si="1"/>
        <v>10.799575282646408</v>
      </c>
      <c r="AI26" s="99">
        <v>16</v>
      </c>
    </row>
    <row r="27" spans="1:35" s="90" customFormat="1" ht="14.25" customHeight="1">
      <c r="A27" s="91">
        <v>17</v>
      </c>
      <c r="B27" s="120"/>
      <c r="C27" s="93"/>
      <c r="D27" s="950" t="s">
        <v>445</v>
      </c>
      <c r="E27" s="32">
        <v>40795</v>
      </c>
      <c r="F27" s="588" t="s">
        <v>23</v>
      </c>
      <c r="G27" s="181">
        <v>40</v>
      </c>
      <c r="H27" s="33">
        <v>21</v>
      </c>
      <c r="I27" s="33">
        <v>3</v>
      </c>
      <c r="J27" s="1042">
        <v>4528</v>
      </c>
      <c r="K27" s="1043">
        <v>423</v>
      </c>
      <c r="L27" s="1042">
        <v>6336</v>
      </c>
      <c r="M27" s="1043">
        <v>583</v>
      </c>
      <c r="N27" s="1042">
        <v>6830</v>
      </c>
      <c r="O27" s="1043">
        <v>650</v>
      </c>
      <c r="P27" s="581">
        <f>SUM(J27+L27+N27)</f>
        <v>17694</v>
      </c>
      <c r="Q27" s="483">
        <f>SUM(K27+M27+O27)</f>
        <v>1656</v>
      </c>
      <c r="R27" s="280">
        <f>IF(P27&lt;&gt;0,Q27/H27,"")</f>
        <v>78.85714285714286</v>
      </c>
      <c r="S27" s="221">
        <f>IF(P27&lt;&gt;0,P27/Q27,"")</f>
        <v>10.684782608695652</v>
      </c>
      <c r="T27" s="581">
        <v>75129</v>
      </c>
      <c r="U27" s="883">
        <f>IF(T27&lt;&gt;0,-(T27-P27)/T27,"")</f>
        <v>-0.7644850856526774</v>
      </c>
      <c r="V27" s="318">
        <f>X27-P27</f>
        <v>6700</v>
      </c>
      <c r="W27" s="245">
        <f>Y27-Q27</f>
        <v>925</v>
      </c>
      <c r="X27" s="1110">
        <v>24394</v>
      </c>
      <c r="Y27" s="1109">
        <v>2581</v>
      </c>
      <c r="Z27" s="970">
        <f>Q27*1/Y27</f>
        <v>0.6416117783804727</v>
      </c>
      <c r="AA27" s="970">
        <f>W27*1/Y27</f>
        <v>0.3583882216195273</v>
      </c>
      <c r="AB27" s="94">
        <f>Y27/H27</f>
        <v>122.9047619047619</v>
      </c>
      <c r="AC27" s="212">
        <f>X27/Y27</f>
        <v>9.451375435877567</v>
      </c>
      <c r="AD27" s="318">
        <v>25600.5</v>
      </c>
      <c r="AE27" s="884">
        <f t="shared" si="2"/>
        <v>-0.04712798578152771</v>
      </c>
      <c r="AF27" s="217">
        <v>317989</v>
      </c>
      <c r="AG27" s="216">
        <v>27548</v>
      </c>
      <c r="AH27" s="885">
        <f t="shared" si="1"/>
        <v>11.543088427472048</v>
      </c>
      <c r="AI27" s="99">
        <v>17</v>
      </c>
    </row>
    <row r="28" spans="1:35" s="90" customFormat="1" ht="14.25" customHeight="1">
      <c r="A28" s="91">
        <v>18</v>
      </c>
      <c r="B28" s="110" t="s">
        <v>83</v>
      </c>
      <c r="C28" s="93"/>
      <c r="D28" s="205" t="s">
        <v>20</v>
      </c>
      <c r="E28" s="2">
        <v>40620</v>
      </c>
      <c r="F28" s="588" t="s">
        <v>21</v>
      </c>
      <c r="G28" s="5">
        <v>218</v>
      </c>
      <c r="H28" s="3">
        <v>2</v>
      </c>
      <c r="I28" s="3">
        <v>25</v>
      </c>
      <c r="J28" s="10">
        <v>0</v>
      </c>
      <c r="K28" s="11">
        <v>0</v>
      </c>
      <c r="L28" s="10">
        <v>0</v>
      </c>
      <c r="M28" s="11">
        <v>0</v>
      </c>
      <c r="N28" s="10">
        <v>0</v>
      </c>
      <c r="O28" s="11">
        <v>0</v>
      </c>
      <c r="P28" s="581">
        <f>+J28+L28+N28</f>
        <v>0</v>
      </c>
      <c r="Q28" s="483">
        <f>+K28+M28+O28</f>
        <v>0</v>
      </c>
      <c r="R28" s="280">
        <f>IF(P28&lt;&gt;0,Q28/H28,"")</f>
      </c>
      <c r="S28" s="221">
        <f>IF(P28&lt;&gt;0,P28/Q28,"")</f>
      </c>
      <c r="T28" s="581"/>
      <c r="U28" s="883">
        <f>IF(T28&lt;&gt;0,-(T28-P28)/T28,"")</f>
      </c>
      <c r="V28" s="318">
        <f>X28-P28</f>
        <v>16632</v>
      </c>
      <c r="W28" s="245">
        <f>Y28-Q28</f>
        <v>3326</v>
      </c>
      <c r="X28" s="1115">
        <v>16632</v>
      </c>
      <c r="Y28" s="1116">
        <v>3326</v>
      </c>
      <c r="Z28" s="970">
        <f>Q28*1/Y28</f>
        <v>0</v>
      </c>
      <c r="AA28" s="970">
        <f>W28*1/Y28</f>
        <v>1</v>
      </c>
      <c r="AB28" s="94">
        <f>Y28/H28</f>
        <v>1663</v>
      </c>
      <c r="AC28" s="212">
        <f>X28/Y28</f>
        <v>5.000601322910403</v>
      </c>
      <c r="AD28" s="318">
        <v>76428</v>
      </c>
      <c r="AE28" s="884">
        <f t="shared" si="2"/>
        <v>-0.7823834196891192</v>
      </c>
      <c r="AF28" s="35">
        <f>868723.5+629960.75+471670+272432+164061+97109.5+34971.5+29195+10591.5+4973+1214+25859.5+8228+5222+126+1321+161+8414+5940+170+7722+2970+242+249+16632</f>
        <v>2668158.25</v>
      </c>
      <c r="AG28" s="38">
        <f>93361+70981+54177+33865+22657+14644+6278+5343+1965+923+199+3609+1160+736+18+257+23+1598+1188+23+1386+594+42+42+3326</f>
        <v>318395</v>
      </c>
      <c r="AH28" s="296">
        <f t="shared" si="1"/>
        <v>8.380025597135633</v>
      </c>
      <c r="AI28" s="99">
        <v>18</v>
      </c>
    </row>
    <row r="29" spans="1:35" s="90" customFormat="1" ht="14.25" customHeight="1">
      <c r="A29" s="91">
        <v>19</v>
      </c>
      <c r="B29" s="92"/>
      <c r="C29" s="93"/>
      <c r="D29" s="951" t="s">
        <v>398</v>
      </c>
      <c r="E29" s="113">
        <v>40760</v>
      </c>
      <c r="F29" s="588" t="s">
        <v>31</v>
      </c>
      <c r="G29" s="181">
        <v>101</v>
      </c>
      <c r="H29" s="186">
        <v>40</v>
      </c>
      <c r="I29" s="186">
        <v>8</v>
      </c>
      <c r="J29" s="1045">
        <v>1923</v>
      </c>
      <c r="K29" s="1046">
        <v>311</v>
      </c>
      <c r="L29" s="1045">
        <v>3064</v>
      </c>
      <c r="M29" s="1046">
        <v>507</v>
      </c>
      <c r="N29" s="1045">
        <v>4168</v>
      </c>
      <c r="O29" s="1046">
        <v>659</v>
      </c>
      <c r="P29" s="581">
        <f>SUM(J29+L29+N29)</f>
        <v>9155</v>
      </c>
      <c r="Q29" s="483">
        <f>SUM(K29+M29+O29)</f>
        <v>1477</v>
      </c>
      <c r="R29" s="280">
        <f>IF(P29&lt;&gt;0,Q29/H29,"")</f>
        <v>36.925</v>
      </c>
      <c r="S29" s="221">
        <f>IF(P29&lt;&gt;0,P29/Q29,"")</f>
        <v>6.198375084631008</v>
      </c>
      <c r="T29" s="581">
        <v>16724</v>
      </c>
      <c r="U29" s="883">
        <f>IF(T29&lt;&gt;0,-(T29-P29)/T29,"")</f>
        <v>-0.4525831140875389</v>
      </c>
      <c r="V29" s="318">
        <f>X29-P29</f>
        <v>6814.5</v>
      </c>
      <c r="W29" s="245">
        <f>Y29-Q29</f>
        <v>1128</v>
      </c>
      <c r="X29" s="1106">
        <v>15969.5</v>
      </c>
      <c r="Y29" s="1107">
        <v>2605</v>
      </c>
      <c r="Z29" s="970">
        <f>Q29*1/Y29</f>
        <v>0.5669865642994242</v>
      </c>
      <c r="AA29" s="970">
        <f>W29*1/Y29</f>
        <v>0.4330134357005758</v>
      </c>
      <c r="AB29" s="94">
        <f>Y29/H29</f>
        <v>65.125</v>
      </c>
      <c r="AC29" s="212">
        <f>X29/Y29</f>
        <v>6.130326295585412</v>
      </c>
      <c r="AD29" s="318"/>
      <c r="AE29" s="884">
        <f t="shared" si="2"/>
      </c>
      <c r="AF29" s="12">
        <f>1123387+667871.5+450599+390225.5+158633+89754+30860+15969.5</f>
        <v>2927299.5</v>
      </c>
      <c r="AG29" s="13">
        <f>108166+64485+43907+41233+19918+12468+4923+2605</f>
        <v>297705</v>
      </c>
      <c r="AH29" s="296">
        <f t="shared" si="1"/>
        <v>9.832886582355016</v>
      </c>
      <c r="AI29" s="99">
        <v>19</v>
      </c>
    </row>
    <row r="30" spans="1:35" s="90" customFormat="1" ht="14.25" customHeight="1" thickBot="1">
      <c r="A30" s="125">
        <v>20</v>
      </c>
      <c r="B30" s="160"/>
      <c r="C30" s="126" t="s">
        <v>82</v>
      </c>
      <c r="D30" s="1130" t="s">
        <v>431</v>
      </c>
      <c r="E30" s="1131">
        <v>40788</v>
      </c>
      <c r="F30" s="679" t="s">
        <v>10</v>
      </c>
      <c r="G30" s="1132">
        <v>60</v>
      </c>
      <c r="H30" s="1133">
        <v>38</v>
      </c>
      <c r="I30" s="1133">
        <v>4</v>
      </c>
      <c r="J30" s="1134">
        <v>1886</v>
      </c>
      <c r="K30" s="1135">
        <v>264</v>
      </c>
      <c r="L30" s="1134">
        <v>3379</v>
      </c>
      <c r="M30" s="1135">
        <v>472</v>
      </c>
      <c r="N30" s="1134">
        <v>3302</v>
      </c>
      <c r="O30" s="1135">
        <v>475</v>
      </c>
      <c r="P30" s="953">
        <f>+J30+L30+N30</f>
        <v>8567</v>
      </c>
      <c r="Q30" s="954">
        <f>+K30+M30+O30</f>
        <v>1211</v>
      </c>
      <c r="R30" s="652">
        <f>IF(P30&lt;&gt;0,Q30/H30,"")</f>
        <v>31.86842105263158</v>
      </c>
      <c r="S30" s="955">
        <f>IF(P30&lt;&gt;0,P30/Q30,"")</f>
        <v>7.074318744838976</v>
      </c>
      <c r="T30" s="1136">
        <v>13263</v>
      </c>
      <c r="U30" s="956">
        <f>IF(T30&lt;&gt;0,-(T30-P30)/T30,"")</f>
        <v>-0.35406770715524394</v>
      </c>
      <c r="V30" s="650">
        <f>X30-P30</f>
        <v>5640</v>
      </c>
      <c r="W30" s="651">
        <f>Y30-Q30</f>
        <v>868</v>
      </c>
      <c r="X30" s="1137">
        <v>14207</v>
      </c>
      <c r="Y30" s="1138">
        <v>2079</v>
      </c>
      <c r="Z30" s="1139">
        <f>Q30*1/Y30</f>
        <v>0.5824915824915825</v>
      </c>
      <c r="AA30" s="1139">
        <f>W30*1/Y30</f>
        <v>0.4175084175084175</v>
      </c>
      <c r="AB30" s="127">
        <f>Y30/H30</f>
        <v>54.71052631578947</v>
      </c>
      <c r="AC30" s="489">
        <f>X30/Y30</f>
        <v>6.833573833573833</v>
      </c>
      <c r="AD30" s="650">
        <v>49767</v>
      </c>
      <c r="AE30" s="957">
        <f t="shared" si="2"/>
        <v>-0.7145297084413367</v>
      </c>
      <c r="AF30" s="1140">
        <v>257981</v>
      </c>
      <c r="AG30" s="1141">
        <v>26141</v>
      </c>
      <c r="AH30" s="958">
        <f>AF30/AG30</f>
        <v>9.86882674725527</v>
      </c>
      <c r="AI30" s="128">
        <v>20</v>
      </c>
    </row>
    <row r="31" spans="1:34" s="90" customFormat="1" ht="6" customHeight="1" thickBot="1">
      <c r="A31" s="129"/>
      <c r="B31" s="130"/>
      <c r="E31" s="131"/>
      <c r="G31" s="130"/>
      <c r="H31" s="130"/>
      <c r="I31" s="130"/>
      <c r="J31" s="132"/>
      <c r="K31" s="133"/>
      <c r="L31" s="132"/>
      <c r="M31" s="133"/>
      <c r="N31" s="132"/>
      <c r="O31" s="133"/>
      <c r="P31" s="134"/>
      <c r="Q31" s="135"/>
      <c r="R31" s="133"/>
      <c r="S31" s="136"/>
      <c r="T31" s="132"/>
      <c r="U31" s="137"/>
      <c r="X31" s="138"/>
      <c r="Y31" s="138"/>
      <c r="AB31" s="139"/>
      <c r="AC31" s="140"/>
      <c r="AD31" s="140"/>
      <c r="AE31" s="140"/>
      <c r="AF31" s="132"/>
      <c r="AG31" s="141"/>
      <c r="AH31" s="136"/>
    </row>
    <row r="32" spans="1:35" s="142" customFormat="1" ht="12.75">
      <c r="A32" s="994" t="s">
        <v>84</v>
      </c>
      <c r="B32" s="995"/>
      <c r="C32" s="995"/>
      <c r="D32" s="995"/>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6"/>
    </row>
    <row r="33" spans="1:35" s="142" customFormat="1" ht="12.75">
      <c r="A33" s="997"/>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9"/>
    </row>
    <row r="34" spans="1:35" s="142" customFormat="1" ht="12.75">
      <c r="A34" s="997"/>
      <c r="B34" s="998"/>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9"/>
    </row>
    <row r="35" spans="1:35" s="142" customFormat="1" ht="12.75">
      <c r="A35" s="997"/>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9"/>
    </row>
    <row r="36" spans="1:35" s="142" customFormat="1" ht="12.75">
      <c r="A36" s="997"/>
      <c r="B36" s="998"/>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9"/>
    </row>
    <row r="37" spans="1:35" s="142" customFormat="1" ht="13.5" thickBot="1">
      <c r="A37" s="1000"/>
      <c r="B37" s="1001"/>
      <c r="C37" s="1001"/>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2"/>
    </row>
  </sheetData>
  <sheetProtection/>
  <mergeCells count="38">
    <mergeCell ref="R7:S7"/>
    <mergeCell ref="P9:Q9"/>
    <mergeCell ref="N7:O7"/>
    <mergeCell ref="P7:Q7"/>
    <mergeCell ref="R9:S9"/>
    <mergeCell ref="J7:K7"/>
    <mergeCell ref="J9:K9"/>
    <mergeCell ref="L9:M9"/>
    <mergeCell ref="N9:O9"/>
    <mergeCell ref="L7:M7"/>
    <mergeCell ref="A1:I1"/>
    <mergeCell ref="X1:AB1"/>
    <mergeCell ref="A5:E5"/>
    <mergeCell ref="X5:AI5"/>
    <mergeCell ref="A2:I2"/>
    <mergeCell ref="A3:I3"/>
    <mergeCell ref="A4:E4"/>
    <mergeCell ref="AD9:AE9"/>
    <mergeCell ref="AC1:AI1"/>
    <mergeCell ref="AD7:AE7"/>
    <mergeCell ref="Z9:AA9"/>
    <mergeCell ref="X6:Y6"/>
    <mergeCell ref="Z6:AA6"/>
    <mergeCell ref="T9:U9"/>
    <mergeCell ref="Z7:AA7"/>
    <mergeCell ref="X7:Y7"/>
    <mergeCell ref="T7:U7"/>
    <mergeCell ref="V7:W7"/>
    <mergeCell ref="A32:AI37"/>
    <mergeCell ref="AB6:AC6"/>
    <mergeCell ref="AF6:AI6"/>
    <mergeCell ref="AF7:AG7"/>
    <mergeCell ref="AB9:AC9"/>
    <mergeCell ref="D6:G6"/>
    <mergeCell ref="H6:I6"/>
    <mergeCell ref="J6:U6"/>
    <mergeCell ref="V6:W6"/>
    <mergeCell ref="AB7:AC7"/>
  </mergeCells>
  <hyperlinks>
    <hyperlink ref="A3" r:id="rId1" display="http://www.antraktsinema.com"/>
  </hyperlinks>
  <printOptions/>
  <pageMargins left="0.75" right="0.75" top="1" bottom="1" header="0.5" footer="0.5"/>
  <pageSetup horizontalDpi="600" verticalDpi="600" orientation="portrait" paperSize="9" r:id="rId3"/>
  <ignoredErrors>
    <ignoredError sqref="AF13:AG29" unlockedFormula="1"/>
    <ignoredError sqref="AH14:AH2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2011-10-03T14:14:40Z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