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75" windowWidth="15870" windowHeight="11055" tabRatio="804" activeTab="0"/>
  </bookViews>
  <sheets>
    <sheet name="Aug' 05-11 '11 (week 32)" sheetId="1" r:id="rId1"/>
    <sheet name="Dec' 31-Aug' 11, 11 Annual" sheetId="2" r:id="rId2"/>
    <sheet name="Exyears Releases of 2011" sheetId="3" r:id="rId3"/>
    <sheet name="(TOP 20)" sheetId="4" r:id="rId4"/>
  </sheets>
  <definedNames>
    <definedName name="_xlnm.Print_Area" localSheetId="0">'Aug' 05-11 '11 (week 32)'!$A$1:$AG$136</definedName>
  </definedNames>
  <calcPr fullCalcOnLoad="1"/>
</workbook>
</file>

<file path=xl/sharedStrings.xml><?xml version="1.0" encoding="utf-8"?>
<sst xmlns="http://schemas.openxmlformats.org/spreadsheetml/2006/main" count="1933" uniqueCount="431">
  <si>
    <t>Last Weekend</t>
  </si>
  <si>
    <t>Distributor</t>
  </si>
  <si>
    <t>Friday</t>
  </si>
  <si>
    <t>Saturday</t>
  </si>
  <si>
    <t>Sunday</t>
  </si>
  <si>
    <t>Change</t>
  </si>
  <si>
    <t>Adm.</t>
  </si>
  <si>
    <t>G.B.O.</t>
  </si>
  <si>
    <t>PİNEMA</t>
  </si>
  <si>
    <t>Title</t>
  </si>
  <si>
    <t>WARNER BROS. TÜRKİYE</t>
  </si>
  <si>
    <t>Weekend Total</t>
  </si>
  <si>
    <t>YOGI BEAR</t>
  </si>
  <si>
    <t>İNCİR REÇELİ</t>
  </si>
  <si>
    <t>127 HOURS</t>
  </si>
  <si>
    <t>YA SONRA</t>
  </si>
  <si>
    <t>BLACK SWAN</t>
  </si>
  <si>
    <t>SAKLI HAYATLAR</t>
  </si>
  <si>
    <t>LIMITLESS</t>
  </si>
  <si>
    <t>PRESS</t>
  </si>
  <si>
    <t>ÇINAR AĞACI</t>
  </si>
  <si>
    <t>MEDYAVİZYON</t>
  </si>
  <si>
    <t>AŞK TESADÜFLERİ SEVER</t>
  </si>
  <si>
    <t>UIP TÜRKİYE</t>
  </si>
  <si>
    <t>EYYVAH EYVAH 2</t>
  </si>
  <si>
    <t>KAYBEDENLER KULÜBÜ</t>
  </si>
  <si>
    <t>72. KOĞUŞ</t>
  </si>
  <si>
    <t>WE ARE WHAT WE ARE</t>
  </si>
  <si>
    <t>RED RIDING HOOD</t>
  </si>
  <si>
    <t>ÖZEN FİLM</t>
  </si>
  <si>
    <t>THE GIRL WHO KICKED THE HORNETS' NEST</t>
  </si>
  <si>
    <t>RIO</t>
  </si>
  <si>
    <t>TİGLON</t>
  </si>
  <si>
    <t>SOURCE CODE</t>
  </si>
  <si>
    <t>LAST NIGHT</t>
  </si>
  <si>
    <t>SCREAM 4</t>
  </si>
  <si>
    <t>WATER FOR ELEPHANTS</t>
  </si>
  <si>
    <t>SUCKER PUNCH</t>
  </si>
  <si>
    <t>WINNIE THE POOH</t>
  </si>
  <si>
    <t>LONDON BOULEVARD</t>
  </si>
  <si>
    <t>BİZİM BÜYÜK ÇARESİZLİĞİMİZ</t>
  </si>
  <si>
    <t>ALPHA AND OMEGA</t>
  </si>
  <si>
    <t>UNKNOWN</t>
  </si>
  <si>
    <t>RABBIT HOLE</t>
  </si>
  <si>
    <t>FRITT WILT 3</t>
  </si>
  <si>
    <t>THE PACK</t>
  </si>
  <si>
    <t>MFP-CINEGROUP</t>
  </si>
  <si>
    <t>ÇOK MU KOMİK?</t>
  </si>
  <si>
    <t>FOUR LIONS</t>
  </si>
  <si>
    <t>KOLPAÇİNO: BOMBA</t>
  </si>
  <si>
    <t>THE PRODIGY</t>
  </si>
  <si>
    <t>INCENDIES</t>
  </si>
  <si>
    <t>NEVER LET ME GO</t>
  </si>
  <si>
    <t>FAST FIVE</t>
  </si>
  <si>
    <t>DEVRİMDEN SONRA</t>
  </si>
  <si>
    <t>HENRY'S CRIME</t>
  </si>
  <si>
    <t>GİŞE MEMURU</t>
  </si>
  <si>
    <t>AĞIR ABİ</t>
  </si>
  <si>
    <t>COPACABANA</t>
  </si>
  <si>
    <t>KÜÇÜK GÜNAHLAR</t>
  </si>
  <si>
    <t>PRIEST</t>
  </si>
  <si>
    <t>HOP</t>
  </si>
  <si>
    <t>VANISHING ON 7TH STREET</t>
  </si>
  <si>
    <t>LITTLE WHITE LIES</t>
  </si>
  <si>
    <t>M3 FILM</t>
  </si>
  <si>
    <t>THE VALDEMAR LEGACY</t>
  </si>
  <si>
    <t>KAR BEYAZ</t>
  </si>
  <si>
    <t>PIRATES OF THE CARIBBEAN: ON STRANGER TIDES</t>
  </si>
  <si>
    <t>TÜRKAN</t>
  </si>
  <si>
    <t>ŞOV BİZINIS</t>
  </si>
  <si>
    <t>BEASTLY</t>
  </si>
  <si>
    <t>MİSAFİR</t>
  </si>
  <si>
    <t>POTICHE</t>
  </si>
  <si>
    <t>PARTIR</t>
  </si>
  <si>
    <t>DUKA FİLM</t>
  </si>
  <si>
    <t>SOMEWHERE</t>
  </si>
  <si>
    <t>KAYIP ÖZGÜRLÜK</t>
  </si>
  <si>
    <t>JAN MEDYA</t>
  </si>
  <si>
    <t>HOP DEDİK: DELİ DUMRUL</t>
  </si>
  <si>
    <t xml:space="preserve">İÇİMDEKİ SESSİZ NEHİR </t>
  </si>
  <si>
    <t>ERÖZ FİLM</t>
  </si>
  <si>
    <t>UMUT SANAT</t>
  </si>
  <si>
    <t>THE FIGHTER</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</si>
  <si>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</si>
  <si>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</si>
  <si>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</si>
  <si>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</si>
  <si>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</si>
  <si>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</si>
  <si>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</si>
  <si>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</si>
  <si>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</si>
  <si>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</si>
  <si>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</si>
  <si>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</si>
  <si>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</si>
  <si>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</si>
  <si>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</si>
  <si>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</si>
  <si>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</si>
  <si>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</si>
  <si>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</si>
  <si>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</si>
  <si>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</si>
  <si>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</si>
  <si>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</si>
  <si>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</si>
  <si>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</si>
  <si>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</si>
  <si>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</si>
  <si>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</si>
  <si>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</si>
  <si>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</si>
  <si>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</si>
  <si>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</si>
  <si>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</si>
  <si>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</si>
  <si>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</si>
  <si>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</si>
  <si>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</si>
  <si>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</si>
  <si>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</si>
  <si>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</si>
  <si>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</si>
  <si>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</si>
  <si>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</si>
  <si>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</si>
  <si>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GÖLGELER VE SURETLER</t>
  </si>
  <si>
    <t>GULLIVER'S TRAVELS</t>
  </si>
  <si>
    <t>BIG MOMMAS: LIKE FATHER, LIKE SON</t>
  </si>
  <si>
    <t>WINTER'S BONE</t>
  </si>
  <si>
    <t>KUTSAL DAMACANA: DRACOOLA</t>
  </si>
  <si>
    <t>THE KIDS ARE ALL RIGHT</t>
  </si>
  <si>
    <t>THE NEXT THREE DAYS</t>
  </si>
  <si>
    <t>THE KING'S SPEECH</t>
  </si>
  <si>
    <t>http://www.antraktsinema.com</t>
  </si>
  <si>
    <t>http://www.antraktsinema.com/boxoffice-rapor.php</t>
  </si>
  <si>
    <t>TIGLON</t>
  </si>
  <si>
    <t>AŞKIN İKİNCİ YARISI</t>
  </si>
  <si>
    <t>AV MEVSİMİ</t>
  </si>
  <si>
    <t>CHANTIER FILMS</t>
  </si>
  <si>
    <t>CINE FILM</t>
  </si>
  <si>
    <t>THE CHRONICLES OF NARNIA: THE VOVAYE OF THE DAWN TREADER</t>
  </si>
  <si>
    <t>VAY ARKADAŞ</t>
  </si>
  <si>
    <t xml:space="preserve">AŞK GELİYORUM DEMEZ </t>
  </si>
  <si>
    <t xml:space="preserve">AŞKIN İKİNCİ YARISI </t>
  </si>
  <si>
    <t xml:space="preserve">AV MEVSİMİ </t>
  </si>
  <si>
    <t xml:space="preserve">AY LAV YU </t>
  </si>
  <si>
    <t xml:space="preserve">CEHENNEM 3D </t>
  </si>
  <si>
    <t xml:space="preserve">ÇAKAL </t>
  </si>
  <si>
    <t xml:space="preserve">ÇAKALLARLA DANS </t>
  </si>
  <si>
    <t xml:space="preserve">ÇOĞUNLUK </t>
  </si>
  <si>
    <t xml:space="preserve">DERSİMİZ: ATATÜRK </t>
  </si>
  <si>
    <t xml:space="preserve">GİTMEK </t>
  </si>
  <si>
    <t xml:space="preserve">HAYAT VAR </t>
  </si>
  <si>
    <t xml:space="preserve">KAVŞAK </t>
  </si>
  <si>
    <t xml:space="preserve">KOSMOS </t>
  </si>
  <si>
    <t xml:space="preserve">KUBİLAY </t>
  </si>
  <si>
    <t xml:space="preserve">MEMLEKETTE DEMOKRASİ VAR </t>
  </si>
  <si>
    <t xml:space="preserve">NENE HATUN </t>
  </si>
  <si>
    <t xml:space="preserve">NEW YORK'TA BEŞ MİNARE </t>
  </si>
  <si>
    <t xml:space="preserve">NOKTA </t>
  </si>
  <si>
    <t xml:space="preserve">O KUL </t>
  </si>
  <si>
    <t xml:space="preserve">PAK PANTER </t>
  </si>
  <si>
    <t xml:space="preserve">POLİS </t>
  </si>
  <si>
    <t xml:space="preserve">PRENSESİN UYKUSU </t>
  </si>
  <si>
    <t xml:space="preserve">SULTANIN SIRRI </t>
  </si>
  <si>
    <t xml:space="preserve">ŞENLİKNAME: BİR İSTANBUL MASALI </t>
  </si>
  <si>
    <t xml:space="preserve">TESLİMİYET </t>
  </si>
  <si>
    <t xml:space="preserve">UÇAN MELEKLER </t>
  </si>
  <si>
    <t xml:space="preserve">ÜÇ HARFLİLER: MARİD </t>
  </si>
  <si>
    <t xml:space="preserve">VAY ARKADAŞ </t>
  </si>
  <si>
    <t xml:space="preserve">VEDA </t>
  </si>
  <si>
    <t>Exyears releases of 2011</t>
  </si>
  <si>
    <r>
      <t>Weekly Admissions &amp; Box Office Report /</t>
    </r>
    <r>
      <rPr>
        <b/>
        <i/>
        <sz val="10"/>
        <color indexed="16"/>
        <rFont val="Calibri"/>
        <family val="2"/>
      </rPr>
      <t xml:space="preserve"> Türkiye Haftalık Seyirci ve Hasılat Raporu</t>
    </r>
  </si>
  <si>
    <t>ANNUAL - 2011 NEW RELEASES - ALL WEEKS</t>
  </si>
  <si>
    <t>2011'de ilk kez vizyona çıkan filmlerin yıl içerisindeki toplam seyirci ve hasılat verileri</t>
  </si>
  <si>
    <t>2011 yılında vizyona çıkan ilk gösterimini 2011'den önce yapan filmlerin seyirci ve hasılat verileri</t>
  </si>
  <si>
    <r>
      <t xml:space="preserve">TOP 20 - </t>
    </r>
    <r>
      <rPr>
        <b/>
        <sz val="20"/>
        <color indexed="16"/>
        <rFont val="Arial Black"/>
        <family val="2"/>
      </rPr>
      <t>İLK 20</t>
    </r>
  </si>
  <si>
    <t>HÜR ADAM</t>
  </si>
  <si>
    <t>TRON: LEGACY</t>
  </si>
  <si>
    <t>SANCTUM</t>
  </si>
  <si>
    <t>SEASON OF THE WITCH</t>
  </si>
  <si>
    <t>THE RITE</t>
  </si>
  <si>
    <t>MEGAMIND</t>
  </si>
  <si>
    <t>LOVE&amp;OTHER DRUGS</t>
  </si>
  <si>
    <t>BİR AVUÇ DENİZ</t>
  </si>
  <si>
    <t>BIUTIFUL</t>
  </si>
  <si>
    <t>I AM NUMBER FOUR</t>
  </si>
  <si>
    <t xml:space="preserve">ÇALGI ÇENGİ </t>
  </si>
  <si>
    <t>STEP UP</t>
  </si>
  <si>
    <t>TRUE GRIT</t>
  </si>
  <si>
    <t>SPREAD</t>
  </si>
  <si>
    <t>23</t>
  </si>
  <si>
    <t>19</t>
  </si>
  <si>
    <t xml:space="preserve">KAĞIT </t>
  </si>
  <si>
    <t>ATLIKARINCA</t>
  </si>
  <si>
    <t>SİNYORA ENRICA İLE İTALYAN OLMAK</t>
  </si>
  <si>
    <t>PINA</t>
  </si>
  <si>
    <t>CHERKESS</t>
  </si>
  <si>
    <t>ONAY FİLM</t>
  </si>
  <si>
    <t>I AM LOVE</t>
  </si>
  <si>
    <t>THE EXPERIMENT</t>
  </si>
  <si>
    <t>GET LOW</t>
  </si>
  <si>
    <t>BARNEY'S VERSION</t>
  </si>
  <si>
    <t xml:space="preserve">HAYDE BRE </t>
  </si>
  <si>
    <t>CERTIFIED COPY</t>
  </si>
  <si>
    <t>SECRETARIAT</t>
  </si>
  <si>
    <t>MEŞ</t>
  </si>
  <si>
    <t>NAR FİLM</t>
  </si>
  <si>
    <t>KITES</t>
  </si>
  <si>
    <t>CHERRYBOMB</t>
  </si>
  <si>
    <t>CIRKUS COLUMBIA</t>
  </si>
  <si>
    <t>ZEFİR</t>
  </si>
  <si>
    <t>THE TREE</t>
  </si>
  <si>
    <t>7 AVLU</t>
  </si>
  <si>
    <t>SOMETHING BORROWED</t>
  </si>
  <si>
    <t>HEARTBREAKER</t>
  </si>
  <si>
    <t>THERE BE DRAGONS</t>
  </si>
  <si>
    <t>POINT BLANK</t>
  </si>
  <si>
    <t>TROLL HUNTER</t>
  </si>
  <si>
    <r>
      <t xml:space="preserve">Weeks Adm. - </t>
    </r>
    <r>
      <rPr>
        <b/>
        <sz val="11"/>
        <color indexed="10"/>
        <rFont val="Corbel"/>
        <family val="2"/>
      </rPr>
      <t>Haftalık seyirci</t>
    </r>
  </si>
  <si>
    <t>X-MEN: FIRST CLASS</t>
  </si>
  <si>
    <t>GNOMEO &amp; JULIET</t>
  </si>
  <si>
    <t>THE WARD</t>
  </si>
  <si>
    <t>KALEDEKİ YALNIZLIK</t>
  </si>
  <si>
    <t>KIDNAPPED</t>
  </si>
  <si>
    <t>THE FIRST BEAUTIFUL THING</t>
  </si>
  <si>
    <t>ROOM IN ROME</t>
  </si>
  <si>
    <t>WRECKED</t>
  </si>
  <si>
    <t>GÜNAH KEÇİSİ</t>
  </si>
  <si>
    <t>THE ADJUSTMENT BREAU</t>
  </si>
  <si>
    <t>KUNG FU PANDA 2</t>
  </si>
  <si>
    <t>HANNA</t>
  </si>
  <si>
    <t>WE ARE THE NIGHT</t>
  </si>
  <si>
    <t>ANOTHER YEAR</t>
  </si>
  <si>
    <t>ADALET OYUNU</t>
  </si>
  <si>
    <t>SUPER 8</t>
  </si>
  <si>
    <t>ST TRINIAN'S 2: THE LEGEND OF FRITTON'S GOLD</t>
  </si>
  <si>
    <t>HAPPY THANK YOU MORE PLEASE</t>
  </si>
  <si>
    <t>IRON DOORS</t>
  </si>
  <si>
    <t>ROUTE IRISH</t>
  </si>
  <si>
    <t>ÖFKELİ ÇILGINLIK KARAMSAR ÇİLE</t>
  </si>
  <si>
    <t>HAPPY FEW</t>
  </si>
  <si>
    <t>INSIDIOUS</t>
  </si>
  <si>
    <t>THE EAGLE</t>
  </si>
  <si>
    <t>WE WANT SEX</t>
  </si>
  <si>
    <t>THE WAY BACK</t>
  </si>
  <si>
    <t>BABAM VE OĞLUM</t>
  </si>
  <si>
    <t>YÜREĞİNE SOR</t>
  </si>
  <si>
    <t>EŞREFPAŞALILAR</t>
  </si>
  <si>
    <t>BATTLE: LOS ANGELES</t>
  </si>
  <si>
    <t>CHERRY</t>
  </si>
  <si>
    <t>DRIVE ANGRY</t>
  </si>
  <si>
    <t>THE GREEN HORNET</t>
  </si>
  <si>
    <t>THE HANGOVER PART II</t>
  </si>
  <si>
    <t xml:space="preserve">KİR - QUREJ </t>
  </si>
  <si>
    <t>LINCOLN LAWYER</t>
  </si>
  <si>
    <t>JUST GO WITH IT</t>
  </si>
  <si>
    <t>SENNA</t>
  </si>
  <si>
    <t>RANGO</t>
  </si>
  <si>
    <t>TRANSFORMERS: DARK OF THE MOON</t>
  </si>
  <si>
    <t>JULIA'S EYES</t>
  </si>
  <si>
    <t>SECOND CHANCE</t>
  </si>
  <si>
    <t>ZWART WATER</t>
  </si>
  <si>
    <t>OF GODS AND MEN</t>
  </si>
  <si>
    <t>A SEPARATION</t>
  </si>
  <si>
    <t>J'AI TUE MA MERE</t>
  </si>
  <si>
    <t>ADRENAL FİLM</t>
  </si>
  <si>
    <t>NEW YORK'TA BEŞ MİNARE</t>
  </si>
  <si>
    <t>ÇAKALLARLA DANS</t>
  </si>
  <si>
    <t>(500) DAYS OF SUMMER</t>
  </si>
  <si>
    <t>AFTER.LIFE</t>
  </si>
  <si>
    <t>ALVIN &amp; THE CHIPMUNKS: THE SQUEAKQUEL</t>
  </si>
  <si>
    <t>AN EDUCATION</t>
  </si>
  <si>
    <t>AVATAR</t>
  </si>
  <si>
    <t>AYLA</t>
  </si>
  <si>
    <t>BLACK HEAVEN</t>
  </si>
  <si>
    <t>M3 FİLM</t>
  </si>
  <si>
    <t>BRIGHT STAR</t>
  </si>
  <si>
    <t>CARAMEL</t>
  </si>
  <si>
    <t>CENTURION</t>
  </si>
  <si>
    <t>CHUGYEOGJA</t>
  </si>
  <si>
    <t>COCO AVANT CHANEL</t>
  </si>
  <si>
    <t>COCO CHANEL &amp; IGOR STRAVINSKY</t>
  </si>
  <si>
    <t>DESPICABLE ME</t>
  </si>
  <si>
    <t>DETOUR</t>
  </si>
  <si>
    <t>DIARY OF A WIMPY KID</t>
  </si>
  <si>
    <t>DIE FREMDE (AYRILIK)</t>
  </si>
  <si>
    <t>DUE DATE</t>
  </si>
  <si>
    <t>EAT PRAY LOVE</t>
  </si>
  <si>
    <t>EDEN IS WEST</t>
  </si>
  <si>
    <t>GARFIELD'S PET FORCE</t>
  </si>
  <si>
    <t>GNOMES AND TROLLS: THE SECRET CHAMBER</t>
  </si>
  <si>
    <t>HARRY POTTER 7a</t>
  </si>
  <si>
    <t>HUNGER</t>
  </si>
  <si>
    <t>HUSH</t>
  </si>
  <si>
    <t>ICE AGE 3: DAWN OF THE DINOSAURS</t>
  </si>
  <si>
    <t>IMPY'S WONDERLAND</t>
  </si>
  <si>
    <t>INCEPTION</t>
  </si>
  <si>
    <t>INHALE</t>
  </si>
  <si>
    <t>IT'S A FREE WORLD</t>
  </si>
  <si>
    <t>I'VE LOVED YOU SO LONG</t>
  </si>
  <si>
    <t>JOHN RABE</t>
  </si>
  <si>
    <t>JOURNEY TO THE CENTER OF THE EARTH</t>
  </si>
  <si>
    <t>KNIGHT AND DAY</t>
  </si>
  <si>
    <t>KNIGHT&amp;DAY</t>
  </si>
  <si>
    <t>LA VERITABLE HISTOIRE DU CHAT BOTTE</t>
  </si>
  <si>
    <t>L'AGE DE RAISON</t>
  </si>
  <si>
    <t>LE CONCERT</t>
  </si>
  <si>
    <t>LEMON TREE</t>
  </si>
  <si>
    <t>LIFE AS WE KNOW IT</t>
  </si>
  <si>
    <t>L'ILLUSIONNIST</t>
  </si>
  <si>
    <t>CHANTEIR FILMS</t>
  </si>
  <si>
    <t>LITTLE FOCKERS</t>
  </si>
  <si>
    <t>LITTLE NICHOLAS</t>
  </si>
  <si>
    <t>LOOKING FOR ERIC</t>
  </si>
  <si>
    <t>MOTHER AND CHILD</t>
  </si>
  <si>
    <t>MY SOUL TO TAKE</t>
  </si>
  <si>
    <t>OCEAN WORLD 3D</t>
  </si>
  <si>
    <t>OPEN SEASON 3</t>
  </si>
  <si>
    <t>PARANORMAL ACTIVITY 2</t>
  </si>
  <si>
    <t>PERCY JACKSON &amp; THE OLYMPIANS: THE LIGHTNING THIEF</t>
  </si>
  <si>
    <t>PLANET 51</t>
  </si>
  <si>
    <t>PONYO ON THE CLIFF BY THE SEA</t>
  </si>
  <si>
    <t>R.E.D.</t>
  </si>
  <si>
    <t>RED</t>
  </si>
  <si>
    <t>RESIDENT EVIL: AFTERLIFE</t>
  </si>
  <si>
    <t>RICKY</t>
  </si>
  <si>
    <t>SAMMY'S ADVENTURES</t>
  </si>
  <si>
    <t>SAW 3D</t>
  </si>
  <si>
    <t>SKYLINE</t>
  </si>
  <si>
    <t>STONE</t>
  </si>
  <si>
    <t>SUNSHINE CLEANING</t>
  </si>
  <si>
    <t>TALE 52</t>
  </si>
  <si>
    <t>TANGLED</t>
  </si>
  <si>
    <t>TENGRI: BLUE HEAVENS</t>
  </si>
  <si>
    <t>THE A TEAM</t>
  </si>
  <si>
    <t>THE CHOKE</t>
  </si>
  <si>
    <t>THE DUST OF TIME</t>
  </si>
  <si>
    <t>THE GIRL WHO PLAYED WITH FIRE</t>
  </si>
  <si>
    <t>THE KARATE KID</t>
  </si>
  <si>
    <t>THE LAST EXORCISM</t>
  </si>
  <si>
    <t>THE LAST EXORCİSM</t>
  </si>
  <si>
    <t>THE SECRET OF MOONACRE</t>
  </si>
  <si>
    <t>THE SOCIAL NETWORK</t>
  </si>
  <si>
    <t>THE STONING OF SORAYA M.</t>
  </si>
  <si>
    <t>THE TOURIST</t>
  </si>
  <si>
    <t>THE TOWN</t>
  </si>
  <si>
    <t>THE WAVE</t>
  </si>
  <si>
    <t>TWILIGHT SAGA: NEW MOON</t>
  </si>
  <si>
    <t>UNCLE BOONMEE WHO CAN RECALL HIS PAST LIVES</t>
  </si>
  <si>
    <t>UNSTOPPABLE</t>
  </si>
  <si>
    <t>VAMPIRES SUCK</t>
  </si>
  <si>
    <t>WINX CLUB 3D: MAGICAL ADVENTURE</t>
  </si>
  <si>
    <t>YOU AGAIN</t>
  </si>
  <si>
    <t>YOUNG VICTORIA</t>
  </si>
  <si>
    <t>I SAW THE DEVIL</t>
  </si>
  <si>
    <t>LARRY CROWN</t>
  </si>
  <si>
    <t>HANGOVER II</t>
  </si>
  <si>
    <t>THE RESIDENT</t>
  </si>
  <si>
    <t>CHATROOM</t>
  </si>
  <si>
    <t>BLUE VALENTINE</t>
  </si>
  <si>
    <t>OPEN SEASON 2</t>
  </si>
  <si>
    <t>NEDS</t>
  </si>
  <si>
    <t>ÇOK FİLİM HAREKETLER BUNLAR</t>
  </si>
  <si>
    <t>KOSMOS</t>
  </si>
  <si>
    <t>KUKURİKU: KADIN KRALLIĞI</t>
  </si>
  <si>
    <t>ANIMALS UNITED - KONFERENZ DER TIERRE</t>
  </si>
  <si>
    <t>WE ARE THE NIGHT - WIR SIND DIE NACHT</t>
  </si>
  <si>
    <t>JULIA'S EYES - LOS OJOS DE JULIA</t>
  </si>
  <si>
    <t>IN A BETTER WORLD - HEAVNEN</t>
  </si>
  <si>
    <t>SECOND CHANCE - LA CHANCE DE MA VIE</t>
  </si>
  <si>
    <t>I SAW THE DEVIL - AKMAREUL BOATDA</t>
  </si>
  <si>
    <t>WE ARE WHAT WE ARE - SOMOS LO QUE HAY</t>
  </si>
  <si>
    <t>A SEPARATION - JODAEIYE NADER AZ SIMIN</t>
  </si>
  <si>
    <t>WE WANT SEX - MADE IN DAGENHAM</t>
  </si>
  <si>
    <t>THE MISFORTUNATES - DE HELAASHAID DER DINGEN</t>
  </si>
  <si>
    <t>HEARTBEATS - LES AMOURS IMAGINAIRES</t>
  </si>
  <si>
    <t>THE SILENT ARMY - WIT LICHT</t>
  </si>
  <si>
    <t>EVERYTHING WILL BE FINE - ALTING BLIVER GODT IGEN</t>
  </si>
  <si>
    <t>KURTLAR VADİSİ: FİLİSTİN</t>
  </si>
  <si>
    <r>
      <t>Basic data of movies -</t>
    </r>
    <r>
      <rPr>
        <b/>
        <sz val="11"/>
        <color indexed="10"/>
        <rFont val="Corbel"/>
        <family val="2"/>
      </rPr>
      <t xml:space="preserve"> Filmin genel bilgileri</t>
    </r>
  </si>
  <si>
    <r>
      <t xml:space="preserve">Cumulative data - </t>
    </r>
    <r>
      <rPr>
        <b/>
        <sz val="11"/>
        <color indexed="10"/>
        <rFont val="Corbel"/>
        <family val="2"/>
      </rPr>
      <t>Toplam veriler</t>
    </r>
  </si>
  <si>
    <r>
      <t xml:space="preserve">Weekend admissions and box office data - </t>
    </r>
    <r>
      <rPr>
        <b/>
        <sz val="11"/>
        <color indexed="10"/>
        <rFont val="Corbel"/>
        <family val="2"/>
      </rPr>
      <t>Haftasonu seyirci ve hasılat verileri</t>
    </r>
  </si>
  <si>
    <t>HARRY POTTER AND THE DEATHLY HALLOWS: PART 2</t>
  </si>
  <si>
    <t>THE NAMES OF LOVE</t>
  </si>
  <si>
    <t>LOFT</t>
  </si>
  <si>
    <t>EVEN THE RAIN</t>
  </si>
  <si>
    <t>HOODWINKED VS. EVIL</t>
  </si>
  <si>
    <r>
      <t>TÜRKİYE</t>
    </r>
    <r>
      <rPr>
        <b/>
        <sz val="40"/>
        <rFont val="Calibri"/>
        <family val="2"/>
      </rPr>
      <t xml:space="preserve">'S </t>
    </r>
    <r>
      <rPr>
        <b/>
        <u val="single"/>
        <sz val="40"/>
        <rFont val="Calibri"/>
        <family val="2"/>
      </rPr>
      <t>WEEKLY</t>
    </r>
    <r>
      <rPr>
        <b/>
        <sz val="40"/>
        <rFont val="Calibri"/>
        <family val="2"/>
      </rPr>
      <t xml:space="preserve"> MARKET DATA</t>
    </r>
  </si>
  <si>
    <t>NO STRING ATTACHED</t>
  </si>
  <si>
    <t>TOY STORY 3</t>
  </si>
  <si>
    <r>
      <t>TÜRKİYE</t>
    </r>
    <r>
      <rPr>
        <b/>
        <sz val="28"/>
        <rFont val="Calibri"/>
        <family val="2"/>
      </rPr>
      <t xml:space="preserve">'S </t>
    </r>
    <r>
      <rPr>
        <b/>
        <u val="single"/>
        <sz val="28"/>
        <rFont val="Calibri"/>
        <family val="2"/>
      </rPr>
      <t>WEEKLY</t>
    </r>
    <r>
      <rPr>
        <b/>
        <sz val="28"/>
        <rFont val="Calibri"/>
        <family val="2"/>
      </rPr>
      <t xml:space="preserve"> MARKET DATA</t>
    </r>
  </si>
  <si>
    <t>POINT BLANK - A BOUT PORTANT</t>
  </si>
  <si>
    <t>LOVE, WEDDING, MARRIAGE</t>
  </si>
  <si>
    <t>LET ME IN</t>
  </si>
  <si>
    <t>WIN WIN</t>
  </si>
  <si>
    <t>ESSENTIAL KILLNG</t>
  </si>
  <si>
    <t>ARRIETY</t>
  </si>
  <si>
    <t>TOURIST</t>
  </si>
  <si>
    <t>THOR</t>
  </si>
  <si>
    <t>THE HEDGEHOG</t>
  </si>
  <si>
    <r>
      <t xml:space="preserve"> Dec' 31, 2010 - August' 04, 2011</t>
    </r>
  </si>
  <si>
    <t>NEEDLE</t>
  </si>
  <si>
    <t>SILENCE OF LOVE</t>
  </si>
  <si>
    <t>EXORCISMUS</t>
  </si>
  <si>
    <t>GRIFF THE INVISBLE</t>
  </si>
  <si>
    <t>SOUND OF NOISE</t>
  </si>
  <si>
    <t>MONSTER</t>
  </si>
  <si>
    <t>RECEP İVEDİK</t>
  </si>
  <si>
    <t>MEMLEKET MESELESİ</t>
  </si>
  <si>
    <t>SMURFS</t>
  </si>
  <si>
    <r>
      <t>If you move the arrow at the right bottom of the page to the left, you can see more columns and you can switch to other pages on the left bottom to see related tables.</t>
    </r>
    <r>
      <rPr>
        <i/>
        <sz val="6.5"/>
        <color indexed="23"/>
        <rFont val="Courier New"/>
        <family val="3"/>
      </rPr>
      <t xml:space="preserve"> </t>
    </r>
    <r>
      <rPr>
        <i/>
        <sz val="6.5"/>
        <color indexed="10"/>
        <rFont val="Courier New"/>
        <family val="3"/>
      </rPr>
      <t>Sayfanın sağ altındaki oku sola doğru hareket ettirdiğinizde diğer sütunlardaki bilgileri görebilir, gene sayfanın sol altındaki diğer sayfalara geçerek ilgili tabloları inceleyebilirsiniz.</t>
    </r>
  </si>
  <si>
    <t>31 Aralık 2010 - 11 Ağustos 2011</t>
  </si>
  <si>
    <r>
      <t xml:space="preserve">Hafta: 32 / </t>
    </r>
    <r>
      <rPr>
        <b/>
        <u val="single"/>
        <sz val="12"/>
        <color indexed="10"/>
        <rFont val="Candara"/>
        <family val="2"/>
      </rPr>
      <t>04 - 11 Ağustos 2011</t>
    </r>
  </si>
  <si>
    <r>
      <t xml:space="preserve">Week: 32 / </t>
    </r>
    <r>
      <rPr>
        <b/>
        <u val="single"/>
        <sz val="12"/>
        <rFont val="Candara"/>
        <family val="2"/>
      </rPr>
      <t>August' 04-11, 2011</t>
    </r>
  </si>
  <si>
    <t>RISE OF THE PLANET OF THE APES</t>
  </si>
  <si>
    <t>MOTHER'S DAY</t>
  </si>
  <si>
    <t>UNTHINKABLE</t>
  </si>
  <si>
    <t>THE VILLAGE OF SHADOWS</t>
  </si>
  <si>
    <t>FIGHTER</t>
  </si>
  <si>
    <t>RECEP İVEDİK 2</t>
  </si>
  <si>
    <t>SULTANIN SIRRI</t>
  </si>
  <si>
    <t>THE SHOCK LABYRINTH: EXTREME</t>
  </si>
  <si>
    <t>NORWEGIAN WOOD</t>
  </si>
  <si>
    <t>BLINDNESS</t>
  </si>
  <si>
    <t>KING'S SPEECH</t>
  </si>
  <si>
    <t>HORRIBLE BOSES</t>
  </si>
  <si>
    <r>
      <t xml:space="preserve">Week: 32 / </t>
    </r>
    <r>
      <rPr>
        <b/>
        <u val="single"/>
        <sz val="18"/>
        <rFont val="Candara"/>
        <family val="2"/>
      </rPr>
      <t>August' 05 - 11, 2011</t>
    </r>
  </si>
  <si>
    <r>
      <t xml:space="preserve">Hafta: 32 / </t>
    </r>
    <r>
      <rPr>
        <b/>
        <u val="single"/>
        <sz val="18"/>
        <color indexed="10"/>
        <rFont val="Candara"/>
        <family val="2"/>
      </rPr>
      <t>05 - 11 Ağustos 2011</t>
    </r>
  </si>
</sst>
</file>

<file path=xl/styles.xml><?xml version="1.0" encoding="utf-8"?>
<styleSheet xmlns="http://schemas.openxmlformats.org/spreadsheetml/2006/main">
  <numFmts count="5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quot;Evet&quot;;&quot;Evet&quot;;&quot;Hayır&quot;"/>
    <numFmt numFmtId="208" formatCode="&quot;Doğru&quot;;&quot;Doğru&quot;;&quot;Yanlış&quot;"/>
    <numFmt numFmtId="209" formatCode="&quot;Açık&quot;;&quot;Açık&quot;;&quot;Kapalı&quot;"/>
  </numFmts>
  <fonts count="142">
    <font>
      <sz val="10"/>
      <name val="Arial"/>
      <family val="0"/>
    </font>
    <font>
      <sz val="8"/>
      <name val="Arial"/>
      <family val="2"/>
    </font>
    <font>
      <u val="single"/>
      <sz val="10"/>
      <color indexed="12"/>
      <name val="Arial"/>
      <family val="0"/>
    </font>
    <font>
      <u val="single"/>
      <sz val="10"/>
      <color indexed="36"/>
      <name val="Arial"/>
      <family val="0"/>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9"/>
      <name val="Calibri"/>
      <family val="2"/>
    </font>
    <font>
      <b/>
      <i/>
      <sz val="10"/>
      <name val="Calibri"/>
      <family val="2"/>
    </font>
    <font>
      <b/>
      <sz val="20"/>
      <name val="Calibri"/>
      <family val="2"/>
    </font>
    <font>
      <b/>
      <sz val="7"/>
      <name val="Arial"/>
      <family val="2"/>
    </font>
    <font>
      <b/>
      <sz val="8"/>
      <name val="Arial"/>
      <family val="2"/>
    </font>
    <font>
      <i/>
      <sz val="7"/>
      <color indexed="23"/>
      <name val="Arial"/>
      <family val="0"/>
    </font>
    <font>
      <i/>
      <sz val="8"/>
      <color indexed="23"/>
      <name val="Wingdings 3"/>
      <family val="1"/>
    </font>
    <font>
      <b/>
      <i/>
      <sz val="25"/>
      <color indexed="10"/>
      <name val="Wingdings 3"/>
      <family val="1"/>
    </font>
    <font>
      <b/>
      <i/>
      <sz val="25"/>
      <color indexed="12"/>
      <name val="Wingdings 3"/>
      <family val="1"/>
    </font>
    <font>
      <b/>
      <sz val="14"/>
      <name val="Calibri"/>
      <family val="2"/>
    </font>
    <font>
      <i/>
      <sz val="7"/>
      <name val="Courier New"/>
      <family val="3"/>
    </font>
    <font>
      <u val="single"/>
      <sz val="12"/>
      <color indexed="12"/>
      <name val="Corbel"/>
      <family val="2"/>
    </font>
    <font>
      <sz val="12"/>
      <name val="Corbel"/>
      <family val="2"/>
    </font>
    <font>
      <b/>
      <sz val="28"/>
      <name val="Calibri"/>
      <family val="2"/>
    </font>
    <font>
      <sz val="28"/>
      <name val="Arial"/>
      <family val="0"/>
    </font>
    <font>
      <b/>
      <u val="single"/>
      <sz val="18"/>
      <color indexed="10"/>
      <name val="Candara"/>
      <family val="2"/>
    </font>
    <font>
      <sz val="18"/>
      <name val="Candara"/>
      <family val="2"/>
    </font>
    <font>
      <sz val="20"/>
      <name val="Corbel"/>
      <family val="2"/>
    </font>
    <font>
      <u val="single"/>
      <sz val="20"/>
      <name val="Corbel"/>
      <family val="2"/>
    </font>
    <font>
      <sz val="20"/>
      <name val="Arial"/>
      <family val="0"/>
    </font>
    <font>
      <sz val="10"/>
      <name val="Arial Tur"/>
      <family val="0"/>
    </font>
    <font>
      <b/>
      <u val="single"/>
      <sz val="18"/>
      <name val="Candara"/>
      <family val="2"/>
    </font>
    <font>
      <b/>
      <i/>
      <sz val="10"/>
      <color indexed="16"/>
      <name val="Calibri"/>
      <family val="2"/>
    </font>
    <font>
      <sz val="10"/>
      <color indexed="16"/>
      <name val="Arial"/>
      <family val="0"/>
    </font>
    <font>
      <b/>
      <sz val="20"/>
      <name val="Arial Black"/>
      <family val="2"/>
    </font>
    <font>
      <b/>
      <sz val="20"/>
      <color indexed="16"/>
      <name val="Arial Black"/>
      <family val="2"/>
    </font>
    <font>
      <sz val="10"/>
      <name val="Verdana"/>
      <family val="2"/>
    </font>
    <font>
      <b/>
      <sz val="8"/>
      <name val="Calibri"/>
      <family val="2"/>
    </font>
    <font>
      <b/>
      <sz val="8"/>
      <color indexed="9"/>
      <name val="Calibri"/>
      <family val="2"/>
    </font>
    <font>
      <sz val="11"/>
      <color indexed="8"/>
      <name val="Calibri"/>
      <family val="2"/>
    </font>
    <font>
      <sz val="10"/>
      <color indexed="8"/>
      <name val="Calibri"/>
      <family val="2"/>
    </font>
    <font>
      <sz val="14"/>
      <color indexed="9"/>
      <name val="Garamond"/>
      <family val="1"/>
    </font>
    <font>
      <b/>
      <sz val="11"/>
      <color indexed="9"/>
      <name val="Corbel"/>
      <family val="2"/>
    </font>
    <font>
      <sz val="10"/>
      <color indexed="9"/>
      <name val="Corbel"/>
      <family val="2"/>
    </font>
    <font>
      <sz val="10"/>
      <color indexed="9"/>
      <name val="Trebuchet MS"/>
      <family val="2"/>
    </font>
    <font>
      <sz val="10"/>
      <color indexed="9"/>
      <name val="Arial"/>
      <family val="0"/>
    </font>
    <font>
      <sz val="14"/>
      <color indexed="9"/>
      <name val="Arial"/>
      <family val="2"/>
    </font>
    <font>
      <b/>
      <sz val="40"/>
      <color indexed="10"/>
      <name val="Calibri"/>
      <family val="2"/>
    </font>
    <font>
      <b/>
      <u val="single"/>
      <sz val="40"/>
      <name val="Calibri"/>
      <family val="2"/>
    </font>
    <font>
      <b/>
      <sz val="28"/>
      <color indexed="10"/>
      <name val="Calibri"/>
      <family val="2"/>
    </font>
    <font>
      <b/>
      <u val="single"/>
      <sz val="28"/>
      <name val="Calibri"/>
      <family val="2"/>
    </font>
    <font>
      <sz val="8"/>
      <name val="Calibri"/>
      <family val="2"/>
    </font>
    <font>
      <b/>
      <sz val="12"/>
      <name val="Candara"/>
      <family val="2"/>
    </font>
    <font>
      <b/>
      <u val="single"/>
      <sz val="12"/>
      <name val="Candara"/>
      <family val="2"/>
    </font>
    <font>
      <sz val="12"/>
      <name val="Candara"/>
      <family val="2"/>
    </font>
    <font>
      <b/>
      <u val="single"/>
      <sz val="12"/>
      <color indexed="10"/>
      <name val="Candara"/>
      <family val="2"/>
    </font>
    <font>
      <i/>
      <sz val="6.5"/>
      <name val="Courier New"/>
      <family val="3"/>
    </font>
    <font>
      <i/>
      <sz val="6.5"/>
      <color indexed="23"/>
      <name val="Courier New"/>
      <family val="3"/>
    </font>
    <font>
      <i/>
      <sz val="6.5"/>
      <color indexed="10"/>
      <name val="Courier New"/>
      <family val="3"/>
    </font>
    <font>
      <sz val="6.5"/>
      <name val="Arial"/>
      <family val="0"/>
    </font>
    <font>
      <b/>
      <sz val="18"/>
      <name val="Candar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65"/>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hair"/>
      <right style="hair"/>
      <top style="hair"/>
      <bottom style="hair"/>
    </border>
    <border>
      <left style="hair"/>
      <right style="hair"/>
      <top style="medium"/>
      <bottom style="hair"/>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style="hair"/>
      <top style="medium"/>
      <bottom style="hair"/>
    </border>
    <border>
      <left style="hair"/>
      <right>
        <color indexed="63"/>
      </right>
      <top style="medium"/>
      <bottom style="hair"/>
    </border>
    <border>
      <left>
        <color indexed="63"/>
      </left>
      <right style="thin"/>
      <top>
        <color indexed="63"/>
      </top>
      <bottom style="hair"/>
    </border>
    <border>
      <left style="medium"/>
      <right>
        <color indexed="63"/>
      </right>
      <top style="hair"/>
      <bottom style="hair"/>
    </border>
    <border>
      <left style="medium"/>
      <right style="hair"/>
      <top style="hair"/>
      <bottom style="hair"/>
    </border>
    <border>
      <left style="hair"/>
      <right>
        <color indexed="63"/>
      </right>
      <top style="hair"/>
      <bottom style="hair"/>
    </border>
    <border>
      <left style="hair"/>
      <right style="medium"/>
      <top style="hair"/>
      <bottom style="hair"/>
    </border>
    <border>
      <left>
        <color indexed="63"/>
      </left>
      <right style="thin"/>
      <top style="hair"/>
      <bottom style="hair"/>
    </border>
    <border>
      <left style="medium"/>
      <right>
        <color indexed="63"/>
      </right>
      <top style="hair"/>
      <bottom style="medium"/>
    </border>
    <border>
      <left style="hair"/>
      <right>
        <color indexed="63"/>
      </right>
      <top style="hair"/>
      <bottom style="medium"/>
    </border>
    <border>
      <left style="hair"/>
      <right style="hair"/>
      <top style="hair"/>
      <bottom style="medium"/>
    </border>
    <border>
      <left>
        <color indexed="63"/>
      </left>
      <right style="thin"/>
      <top style="hair"/>
      <bottom style="medium"/>
    </border>
    <border>
      <left style="medium"/>
      <right style="hair"/>
      <top style="hair"/>
      <bottom style="medium"/>
    </border>
    <border>
      <left style="hair"/>
      <right style="medium"/>
      <top style="medium"/>
      <bottom style="hair"/>
    </border>
    <border>
      <left style="thin"/>
      <right style="thin"/>
      <top style="thin"/>
      <bottom>
        <color indexed="63"/>
      </bottom>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hair"/>
      <right>
        <color indexed="63"/>
      </right>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hair"/>
      <right style="medium"/>
      <top style="hair"/>
      <bottom style="medium"/>
    </border>
    <border>
      <left style="medium"/>
      <right>
        <color indexed="63"/>
      </right>
      <top style="medium"/>
      <bottom style="hair"/>
    </border>
    <border>
      <left>
        <color indexed="63"/>
      </left>
      <right style="medium"/>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1" applyNumberFormat="0" applyFill="0" applyAlignment="0" applyProtection="0"/>
    <xf numFmtId="0" fontId="130" fillId="0" borderId="2" applyNumberFormat="0" applyFill="0" applyAlignment="0" applyProtection="0"/>
    <xf numFmtId="0" fontId="131" fillId="0" borderId="3" applyNumberFormat="0" applyFill="0" applyAlignment="0" applyProtection="0"/>
    <xf numFmtId="0" fontId="132" fillId="0" borderId="4" applyNumberFormat="0" applyFill="0" applyAlignment="0" applyProtection="0"/>
    <xf numFmtId="0" fontId="1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3" fillId="20" borderId="5" applyNumberFormat="0" applyAlignment="0" applyProtection="0"/>
    <xf numFmtId="0" fontId="134" fillId="21" borderId="6" applyNumberFormat="0" applyAlignment="0" applyProtection="0"/>
    <xf numFmtId="0" fontId="135" fillId="20" borderId="6" applyNumberFormat="0" applyAlignment="0" applyProtection="0"/>
    <xf numFmtId="0" fontId="136" fillId="22" borderId="7" applyNumberFormat="0" applyAlignment="0" applyProtection="0"/>
    <xf numFmtId="0" fontId="13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38"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61" fillId="0" borderId="0">
      <alignment/>
      <protection/>
    </xf>
    <xf numFmtId="0" fontId="0" fillId="25" borderId="8" applyNumberFormat="0" applyFont="0" applyAlignment="0" applyProtection="0"/>
    <xf numFmtId="0" fontId="1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0" fillId="0" borderId="9" applyNumberFormat="0" applyFill="0" applyAlignment="0" applyProtection="0"/>
    <xf numFmtId="0" fontId="141" fillId="0" borderId="0" applyNumberFormat="0" applyFill="0" applyBorder="0" applyAlignment="0" applyProtection="0"/>
    <xf numFmtId="0" fontId="126" fillId="27"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0" borderId="0" applyNumberFormat="0" applyBorder="0" applyAlignment="0" applyProtection="0"/>
    <xf numFmtId="0" fontId="126" fillId="31" borderId="0" applyNumberFormat="0" applyBorder="0" applyAlignment="0" applyProtection="0"/>
    <xf numFmtId="0" fontId="12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17" fillId="33" borderId="10" xfId="0" applyFont="1" applyFill="1" applyBorder="1" applyAlignment="1" applyProtection="1">
      <alignment horizontal="center"/>
      <protection/>
    </xf>
    <xf numFmtId="190" fontId="12" fillId="0" borderId="11"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right" vertical="center"/>
      <protection locked="0"/>
    </xf>
    <xf numFmtId="0" fontId="12" fillId="0" borderId="11" xfId="0" applyNumberFormat="1" applyFont="1" applyFill="1" applyBorder="1" applyAlignment="1" applyProtection="1">
      <alignment horizontal="right" vertical="center"/>
      <protection locked="0"/>
    </xf>
    <xf numFmtId="4" fontId="12" fillId="0" borderId="11" xfId="40" applyNumberFormat="1" applyFont="1" applyFill="1" applyBorder="1" applyAlignment="1" applyProtection="1">
      <alignment horizontal="right" vertical="center"/>
      <protection locked="0"/>
    </xf>
    <xf numFmtId="3" fontId="12" fillId="0" borderId="11" xfId="40" applyNumberFormat="1" applyFont="1" applyFill="1" applyBorder="1" applyAlignment="1" applyProtection="1">
      <alignment horizontal="right" vertical="center"/>
      <protection locked="0"/>
    </xf>
    <xf numFmtId="3" fontId="12" fillId="0" borderId="11" xfId="43" applyNumberFormat="1" applyFont="1" applyFill="1" applyBorder="1" applyAlignment="1" applyProtection="1">
      <alignment horizontal="right" vertical="center"/>
      <protection locked="0"/>
    </xf>
    <xf numFmtId="4" fontId="12" fillId="0" borderId="11" xfId="43" applyNumberFormat="1" applyFont="1" applyFill="1" applyBorder="1" applyAlignment="1" applyProtection="1">
      <alignment horizontal="right" vertical="center"/>
      <protection locked="0"/>
    </xf>
    <xf numFmtId="3" fontId="29" fillId="0" borderId="11" xfId="43" applyNumberFormat="1" applyFont="1" applyFill="1" applyBorder="1" applyAlignment="1" applyProtection="1">
      <alignment horizontal="right" vertical="center"/>
      <protection locked="0"/>
    </xf>
    <xf numFmtId="4" fontId="29" fillId="0" borderId="11" xfId="40" applyNumberFormat="1" applyFont="1" applyFill="1" applyBorder="1" applyAlignment="1" applyProtection="1">
      <alignment horizontal="right" vertical="center"/>
      <protection locked="0"/>
    </xf>
    <xf numFmtId="3" fontId="29" fillId="0" borderId="11" xfId="40" applyNumberFormat="1" applyFont="1" applyFill="1" applyBorder="1" applyAlignment="1" applyProtection="1">
      <alignment horizontal="right" vertical="center"/>
      <protection locked="0"/>
    </xf>
    <xf numFmtId="4" fontId="29" fillId="0" borderId="11" xfId="43" applyNumberFormat="1" applyFont="1" applyFill="1" applyBorder="1" applyAlignment="1" applyProtection="1">
      <alignment horizontal="right" vertical="center"/>
      <protection locked="0"/>
    </xf>
    <xf numFmtId="0" fontId="12" fillId="0" borderId="11" xfId="0" applyFont="1" applyFill="1" applyBorder="1" applyAlignment="1" applyProtection="1">
      <alignment horizontal="left" vertical="center"/>
      <protection locked="0"/>
    </xf>
    <xf numFmtId="0" fontId="12" fillId="0" borderId="11"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left" vertical="center"/>
      <protection locked="0"/>
    </xf>
    <xf numFmtId="0" fontId="12" fillId="0" borderId="11" xfId="0" applyFont="1" applyFill="1" applyBorder="1" applyAlignment="1" applyProtection="1">
      <alignment vertical="center"/>
      <protection locked="0"/>
    </xf>
    <xf numFmtId="4" fontId="12" fillId="0" borderId="11" xfId="40" applyNumberFormat="1" applyFont="1" applyFill="1" applyBorder="1" applyAlignment="1" applyProtection="1">
      <alignment vertical="center"/>
      <protection locked="0"/>
    </xf>
    <xf numFmtId="0" fontId="12" fillId="0" borderId="11" xfId="0" applyNumberFormat="1" applyFont="1" applyFill="1" applyBorder="1" applyAlignment="1" applyProtection="1">
      <alignment vertical="center"/>
      <protection locked="0"/>
    </xf>
    <xf numFmtId="49" fontId="12" fillId="0" borderId="11" xfId="0" applyNumberFormat="1" applyFont="1" applyFill="1" applyBorder="1" applyAlignment="1" applyProtection="1">
      <alignment vertical="center"/>
      <protection locked="0"/>
    </xf>
    <xf numFmtId="4" fontId="12" fillId="0" borderId="11" xfId="43" applyNumberFormat="1" applyFont="1" applyFill="1" applyBorder="1" applyAlignment="1" applyProtection="1">
      <alignment vertical="center"/>
      <protection locked="0"/>
    </xf>
    <xf numFmtId="3" fontId="12" fillId="0" borderId="11" xfId="43" applyNumberFormat="1" applyFont="1" applyFill="1" applyBorder="1" applyAlignment="1" applyProtection="1">
      <alignment vertical="center"/>
      <protection locked="0"/>
    </xf>
    <xf numFmtId="4" fontId="12" fillId="0" borderId="11" xfId="0" applyNumberFormat="1" applyFont="1" applyFill="1" applyBorder="1" applyAlignment="1">
      <alignment vertical="center"/>
    </xf>
    <xf numFmtId="3" fontId="12" fillId="0" borderId="11" xfId="0" applyNumberFormat="1" applyFont="1" applyFill="1" applyBorder="1" applyAlignment="1">
      <alignment vertical="center"/>
    </xf>
    <xf numFmtId="0" fontId="12" fillId="0" borderId="11" xfId="0" applyFont="1" applyFill="1" applyBorder="1" applyAlignment="1">
      <alignment horizontal="left" vertical="center"/>
    </xf>
    <xf numFmtId="0" fontId="12" fillId="0" borderId="11" xfId="0" applyFont="1" applyFill="1" applyBorder="1" applyAlignment="1">
      <alignment vertical="center"/>
    </xf>
    <xf numFmtId="190" fontId="12" fillId="0" borderId="11" xfId="0" applyNumberFormat="1" applyFont="1" applyFill="1" applyBorder="1" applyAlignment="1">
      <alignment horizontal="center" vertical="center"/>
    </xf>
    <xf numFmtId="0" fontId="12" fillId="0" borderId="11" xfId="0" applyFont="1" applyFill="1" applyBorder="1" applyAlignment="1">
      <alignment horizontal="right" vertical="center"/>
    </xf>
    <xf numFmtId="4" fontId="12" fillId="0" borderId="11" xfId="40" applyNumberFormat="1" applyFont="1" applyFill="1" applyBorder="1" applyAlignment="1" applyProtection="1">
      <alignment vertical="center"/>
      <protection/>
    </xf>
    <xf numFmtId="4" fontId="12" fillId="0" borderId="11" xfId="40" applyNumberFormat="1" applyFont="1" applyFill="1" applyBorder="1" applyAlignment="1" applyProtection="1">
      <alignment horizontal="right" vertical="center"/>
      <protection/>
    </xf>
    <xf numFmtId="4" fontId="12" fillId="0" borderId="11" xfId="0" applyNumberFormat="1" applyFont="1" applyFill="1" applyBorder="1" applyAlignment="1">
      <alignment horizontal="right" vertical="center"/>
    </xf>
    <xf numFmtId="3" fontId="12" fillId="0" borderId="11" xfId="40" applyNumberFormat="1" applyFont="1" applyFill="1" applyBorder="1" applyAlignment="1" applyProtection="1">
      <alignment horizontal="right" vertical="center"/>
      <protection/>
    </xf>
    <xf numFmtId="3" fontId="12" fillId="0" borderId="11"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11" xfId="42" applyNumberFormat="1" applyFont="1" applyFill="1" applyBorder="1" applyAlignment="1" applyProtection="1">
      <alignment horizontal="right" vertical="center"/>
      <protection locked="0"/>
    </xf>
    <xf numFmtId="4" fontId="12" fillId="0" borderId="11" xfId="42" applyNumberFormat="1" applyFont="1" applyFill="1" applyBorder="1" applyAlignment="1" applyProtection="1">
      <alignment horizontal="right" vertical="center"/>
      <protection locked="0"/>
    </xf>
    <xf numFmtId="4" fontId="29" fillId="0" borderId="11" xfId="0" applyNumberFormat="1" applyFont="1" applyFill="1" applyBorder="1" applyAlignment="1">
      <alignment horizontal="right" vertical="center"/>
    </xf>
    <xf numFmtId="3" fontId="29" fillId="0" borderId="11" xfId="0" applyNumberFormat="1" applyFont="1" applyFill="1" applyBorder="1" applyAlignment="1">
      <alignment horizontal="right" vertical="center"/>
    </xf>
    <xf numFmtId="4" fontId="29" fillId="0" borderId="11" xfId="42" applyNumberFormat="1" applyFont="1" applyFill="1" applyBorder="1" applyAlignment="1" applyProtection="1">
      <alignment horizontal="right" vertical="center"/>
      <protection locked="0"/>
    </xf>
    <xf numFmtId="3" fontId="29" fillId="0" borderId="11" xfId="42" applyNumberFormat="1" applyFont="1" applyFill="1" applyBorder="1" applyAlignment="1" applyProtection="1">
      <alignment horizontal="right" vertical="center"/>
      <protection locked="0"/>
    </xf>
    <xf numFmtId="4" fontId="29" fillId="0" borderId="11" xfId="40" applyNumberFormat="1" applyFont="1" applyFill="1" applyBorder="1" applyAlignment="1" applyProtection="1">
      <alignment horizontal="right" vertical="center"/>
      <protection/>
    </xf>
    <xf numFmtId="3" fontId="12" fillId="0" borderId="12" xfId="0" applyNumberFormat="1" applyFont="1" applyFill="1" applyBorder="1" applyAlignment="1">
      <alignment horizontal="right" vertical="center"/>
    </xf>
    <xf numFmtId="0" fontId="1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protection/>
    </xf>
    <xf numFmtId="0" fontId="32" fillId="0" borderId="13"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40" fillId="33" borderId="14" xfId="0" applyFont="1" applyFill="1" applyBorder="1" applyAlignment="1" applyProtection="1">
      <alignment horizontal="center" vertical="center" wrapText="1"/>
      <protection/>
    </xf>
    <xf numFmtId="0" fontId="22" fillId="33" borderId="15" xfId="0" applyFont="1" applyFill="1" applyBorder="1" applyAlignment="1" applyProtection="1">
      <alignment horizontal="center" vertical="center"/>
      <protection/>
    </xf>
    <xf numFmtId="1" fontId="18" fillId="33" borderId="16" xfId="0" applyNumberFormat="1" applyFont="1" applyFill="1" applyBorder="1" applyAlignment="1" applyProtection="1">
      <alignment horizontal="center" vertical="center" wrapText="1"/>
      <protection/>
    </xf>
    <xf numFmtId="0" fontId="18" fillId="33" borderId="16"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1" fontId="17" fillId="33" borderId="10" xfId="0" applyNumberFormat="1"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190" fontId="17"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vertical="center" wrapText="1"/>
      <protection/>
    </xf>
    <xf numFmtId="1" fontId="17" fillId="33" borderId="17" xfId="0" applyNumberFormat="1"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43" fontId="17" fillId="33" borderId="17" xfId="40" applyFont="1" applyFill="1" applyBorder="1" applyAlignment="1" applyProtection="1">
      <alignment horizontal="center"/>
      <protection/>
    </xf>
    <xf numFmtId="190" fontId="17" fillId="33" borderId="17" xfId="0" applyNumberFormat="1" applyFont="1" applyFill="1" applyBorder="1" applyAlignment="1" applyProtection="1">
      <alignment horizontal="center"/>
      <protection/>
    </xf>
    <xf numFmtId="0" fontId="17" fillId="33" borderId="17" xfId="0" applyFont="1" applyFill="1" applyBorder="1" applyAlignment="1" applyProtection="1">
      <alignment horizontal="center"/>
      <protection/>
    </xf>
    <xf numFmtId="0" fontId="30" fillId="33" borderId="17" xfId="0" applyFont="1" applyFill="1" applyBorder="1" applyAlignment="1" applyProtection="1">
      <alignment horizontal="center" vertical="center" wrapText="1"/>
      <protection/>
    </xf>
    <xf numFmtId="3" fontId="17" fillId="33" borderId="17" xfId="0" applyNumberFormat="1" applyFont="1" applyFill="1" applyBorder="1" applyAlignment="1" applyProtection="1">
      <alignment horizontal="center" vertical="center" wrapText="1"/>
      <protection/>
    </xf>
    <xf numFmtId="2" fontId="17" fillId="33" borderId="17" xfId="0" applyNumberFormat="1" applyFont="1" applyFill="1" applyBorder="1" applyAlignment="1" applyProtection="1">
      <alignment horizontal="center" vertical="center" wrapText="1"/>
      <protection/>
    </xf>
    <xf numFmtId="0" fontId="19" fillId="33" borderId="10" xfId="0" applyFont="1" applyFill="1" applyBorder="1" applyAlignment="1" applyProtection="1">
      <alignment horizontal="center"/>
      <protection/>
    </xf>
    <xf numFmtId="190" fontId="19" fillId="33" borderId="10" xfId="0" applyNumberFormat="1" applyFont="1" applyFill="1" applyBorder="1" applyAlignment="1" applyProtection="1">
      <alignment horizontal="center"/>
      <protection/>
    </xf>
    <xf numFmtId="0" fontId="19" fillId="33" borderId="10" xfId="0" applyFont="1" applyFill="1" applyBorder="1" applyAlignment="1" applyProtection="1">
      <alignment horizontal="center" vertical="center" wrapText="1"/>
      <protection/>
    </xf>
    <xf numFmtId="0" fontId="31" fillId="33" borderId="10" xfId="0" applyFont="1" applyFill="1" applyBorder="1" applyAlignment="1" applyProtection="1">
      <alignment horizontal="center"/>
      <protection/>
    </xf>
    <xf numFmtId="2" fontId="19"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9" fillId="33" borderId="17" xfId="0" applyFont="1" applyFill="1" applyBorder="1" applyAlignment="1" applyProtection="1">
      <alignment horizontal="center"/>
      <protection/>
    </xf>
    <xf numFmtId="43" fontId="19" fillId="33" borderId="17" xfId="40" applyFont="1" applyFill="1" applyBorder="1" applyAlignment="1" applyProtection="1">
      <alignment horizontal="center"/>
      <protection/>
    </xf>
    <xf numFmtId="190" fontId="19" fillId="33" borderId="17" xfId="0" applyNumberFormat="1" applyFont="1" applyFill="1" applyBorder="1" applyAlignment="1" applyProtection="1">
      <alignment horizontal="center"/>
      <protection/>
    </xf>
    <xf numFmtId="0" fontId="19" fillId="33" borderId="17" xfId="0" applyFont="1" applyFill="1" applyBorder="1" applyAlignment="1" applyProtection="1">
      <alignment horizontal="center" vertical="center" wrapText="1"/>
      <protection/>
    </xf>
    <xf numFmtId="0" fontId="31" fillId="33" borderId="17" xfId="0" applyFont="1" applyFill="1" applyBorder="1" applyAlignment="1" applyProtection="1">
      <alignment horizontal="center" vertical="center" wrapText="1"/>
      <protection/>
    </xf>
    <xf numFmtId="3" fontId="19" fillId="33" borderId="17" xfId="0" applyNumberFormat="1" applyFont="1" applyFill="1" applyBorder="1" applyAlignment="1" applyProtection="1">
      <alignment horizontal="center" vertical="center" wrapText="1"/>
      <protection/>
    </xf>
    <xf numFmtId="2" fontId="19" fillId="33" borderId="17" xfId="0" applyNumberFormat="1" applyFont="1" applyFill="1" applyBorder="1" applyAlignment="1" applyProtection="1">
      <alignment horizontal="center" vertical="center" wrapText="1"/>
      <protection/>
    </xf>
    <xf numFmtId="0" fontId="21" fillId="34" borderId="18" xfId="0" applyFont="1" applyFill="1" applyBorder="1" applyAlignment="1" applyProtection="1">
      <alignment vertical="center"/>
      <protection/>
    </xf>
    <xf numFmtId="0" fontId="24" fillId="35" borderId="19" xfId="0" applyFont="1" applyFill="1" applyBorder="1" applyAlignment="1" applyProtection="1">
      <alignment horizontal="center" vertical="center"/>
      <protection/>
    </xf>
    <xf numFmtId="0" fontId="23" fillId="33" borderId="20" xfId="0" applyFont="1" applyFill="1" applyBorder="1" applyAlignment="1" applyProtection="1">
      <alignment horizontal="left" vertical="center"/>
      <protection/>
    </xf>
    <xf numFmtId="0" fontId="21" fillId="34" borderId="21"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21" fillId="34" borderId="22" xfId="0" applyFont="1" applyFill="1" applyBorder="1" applyAlignment="1" applyProtection="1">
      <alignment vertical="center"/>
      <protection/>
    </xf>
    <xf numFmtId="0" fontId="23" fillId="33" borderId="23" xfId="0" applyNumberFormat="1" applyFont="1" applyFill="1" applyBorder="1" applyAlignment="1" applyProtection="1">
      <alignment horizontal="right" vertical="center"/>
      <protection/>
    </xf>
    <xf numFmtId="0" fontId="23" fillId="33" borderId="24" xfId="0" applyFont="1" applyFill="1" applyBorder="1" applyAlignment="1" applyProtection="1">
      <alignment horizontal="left" vertical="center"/>
      <protection/>
    </xf>
    <xf numFmtId="3" fontId="12" fillId="0" borderId="11" xfId="73" applyNumberFormat="1" applyFont="1" applyFill="1" applyBorder="1" applyAlignment="1" applyProtection="1">
      <alignment horizontal="right" vertical="center"/>
      <protection/>
    </xf>
    <xf numFmtId="4" fontId="12" fillId="0" borderId="11" xfId="73" applyNumberFormat="1" applyFont="1" applyFill="1" applyBorder="1" applyAlignment="1" applyProtection="1">
      <alignment horizontal="right" vertical="center"/>
      <protection/>
    </xf>
    <xf numFmtId="4" fontId="12" fillId="0" borderId="25" xfId="73" applyNumberFormat="1" applyFont="1" applyFill="1" applyBorder="1" applyAlignment="1" applyProtection="1">
      <alignment horizontal="right" vertical="center"/>
      <protection/>
    </xf>
    <xf numFmtId="0" fontId="21" fillId="34" borderId="26" xfId="0" applyFont="1" applyFill="1" applyBorder="1" applyAlignment="1" applyProtection="1">
      <alignment vertical="center"/>
      <protection/>
    </xf>
    <xf numFmtId="0" fontId="23" fillId="33" borderId="23" xfId="0" applyFont="1" applyFill="1" applyBorder="1" applyAlignment="1" applyProtection="1">
      <alignment horizontal="right" vertical="center"/>
      <protection/>
    </xf>
    <xf numFmtId="4" fontId="12" fillId="0" borderId="25" xfId="0" applyNumberFormat="1" applyFont="1" applyFill="1" applyBorder="1" applyAlignment="1" applyProtection="1">
      <alignment horizontal="right" vertical="center"/>
      <protection/>
    </xf>
    <xf numFmtId="0" fontId="24" fillId="35" borderId="23" xfId="0" applyFont="1" applyFill="1" applyBorder="1" applyAlignment="1" applyProtection="1">
      <alignment horizontal="center" vertical="center"/>
      <protection/>
    </xf>
    <xf numFmtId="0" fontId="24" fillId="36" borderId="24" xfId="0" applyFont="1" applyFill="1" applyBorder="1" applyAlignment="1" applyProtection="1">
      <alignment horizontal="center" vertical="center"/>
      <protection/>
    </xf>
    <xf numFmtId="204" fontId="23" fillId="33" borderId="23" xfId="0" applyNumberFormat="1" applyFont="1" applyFill="1" applyBorder="1" applyAlignment="1" applyProtection="1">
      <alignment horizontal="right" vertical="center"/>
      <protection/>
    </xf>
    <xf numFmtId="3" fontId="12" fillId="0" borderId="11" xfId="42" applyNumberFormat="1" applyFont="1" applyFill="1" applyBorder="1" applyAlignment="1" applyProtection="1">
      <alignment horizontal="right" vertical="center"/>
      <protection/>
    </xf>
    <xf numFmtId="3" fontId="12" fillId="0" borderId="11" xfId="43" applyNumberFormat="1" applyFont="1" applyFill="1" applyBorder="1" applyAlignment="1" applyProtection="1">
      <alignment horizontal="right" vertical="center"/>
      <protection/>
    </xf>
    <xf numFmtId="4" fontId="12" fillId="0" borderId="11" xfId="43" applyNumberFormat="1" applyFont="1" applyFill="1" applyBorder="1" applyAlignment="1" applyProtection="1">
      <alignment horizontal="right" vertical="center"/>
      <protection/>
    </xf>
    <xf numFmtId="3" fontId="12" fillId="0" borderId="11" xfId="0" applyNumberFormat="1" applyFont="1" applyFill="1" applyBorder="1" applyAlignment="1" applyProtection="1">
      <alignment horizontal="right" vertical="center"/>
      <protection/>
    </xf>
    <xf numFmtId="190" fontId="12" fillId="0" borderId="11" xfId="0" applyNumberFormat="1" applyFont="1" applyFill="1" applyBorder="1" applyAlignment="1" applyProtection="1">
      <alignment horizontal="center" vertical="center"/>
      <protection/>
    </xf>
    <xf numFmtId="0" fontId="12" fillId="0" borderId="11" xfId="0" applyFont="1" applyFill="1" applyBorder="1" applyAlignment="1" applyProtection="1">
      <alignment horizontal="left" vertical="center"/>
      <protection/>
    </xf>
    <xf numFmtId="0" fontId="12" fillId="0" borderId="11" xfId="0" applyFont="1" applyFill="1" applyBorder="1" applyAlignment="1" applyProtection="1">
      <alignment horizontal="right" vertical="center"/>
      <protection/>
    </xf>
    <xf numFmtId="0" fontId="23" fillId="33" borderId="23" xfId="0" applyFont="1" applyFill="1" applyBorder="1" applyAlignment="1" applyProtection="1">
      <alignment horizontal="right" vertical="center"/>
      <protection/>
    </xf>
    <xf numFmtId="0" fontId="12" fillId="0" borderId="11" xfId="0" applyNumberFormat="1" applyFont="1" applyFill="1" applyBorder="1" applyAlignment="1" applyProtection="1">
      <alignment horizontal="left" vertical="center"/>
      <protection/>
    </xf>
    <xf numFmtId="49" fontId="12" fillId="0" borderId="11" xfId="0" applyNumberFormat="1" applyFont="1" applyFill="1" applyBorder="1" applyAlignment="1" applyProtection="1">
      <alignment horizontal="left" vertical="center"/>
      <protection/>
    </xf>
    <xf numFmtId="0" fontId="12" fillId="0" borderId="11" xfId="0" applyNumberFormat="1" applyFont="1" applyFill="1" applyBorder="1" applyAlignment="1" applyProtection="1">
      <alignment horizontal="right" vertical="center"/>
      <protection/>
    </xf>
    <xf numFmtId="4" fontId="12" fillId="0" borderId="25" xfId="40" applyNumberFormat="1" applyFont="1" applyFill="1" applyBorder="1" applyAlignment="1" applyProtection="1">
      <alignment horizontal="right" vertical="center"/>
      <protection/>
    </xf>
    <xf numFmtId="0" fontId="21" fillId="34" borderId="27" xfId="0" applyFont="1" applyFill="1" applyBorder="1" applyAlignment="1" applyProtection="1">
      <alignment vertical="center"/>
      <protection/>
    </xf>
    <xf numFmtId="0" fontId="24" fillId="36" borderId="28" xfId="0" applyFont="1" applyFill="1" applyBorder="1" applyAlignment="1" applyProtection="1">
      <alignment horizontal="center" vertical="center"/>
      <protection/>
    </xf>
    <xf numFmtId="190" fontId="12" fillId="0" borderId="29" xfId="0" applyNumberFormat="1" applyFont="1" applyFill="1" applyBorder="1" applyAlignment="1" applyProtection="1">
      <alignment horizontal="center" vertical="center"/>
      <protection/>
    </xf>
    <xf numFmtId="3" fontId="12" fillId="0" borderId="29" xfId="73" applyNumberFormat="1" applyFont="1" applyFill="1" applyBorder="1" applyAlignment="1" applyProtection="1">
      <alignment horizontal="right" vertical="center"/>
      <protection/>
    </xf>
    <xf numFmtId="0" fontId="21" fillId="34" borderId="30"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190" fontId="9" fillId="33" borderId="0" xfId="0" applyNumberFormat="1" applyFont="1" applyFill="1" applyBorder="1" applyAlignment="1" applyProtection="1">
      <alignment horizontal="center" vertical="center"/>
      <protection/>
    </xf>
    <xf numFmtId="4" fontId="9" fillId="33" borderId="0" xfId="40" applyNumberFormat="1" applyFont="1" applyFill="1" applyBorder="1" applyAlignment="1" applyProtection="1">
      <alignment horizontal="right" vertical="center"/>
      <protection/>
    </xf>
    <xf numFmtId="3" fontId="9" fillId="33" borderId="0" xfId="40" applyNumberFormat="1" applyFont="1" applyFill="1" applyBorder="1" applyAlignment="1" applyProtection="1">
      <alignment horizontal="right" vertical="center"/>
      <protection/>
    </xf>
    <xf numFmtId="4" fontId="10" fillId="33" borderId="0" xfId="40" applyNumberFormat="1" applyFont="1" applyFill="1" applyBorder="1" applyAlignment="1" applyProtection="1">
      <alignment horizontal="right" vertical="center"/>
      <protection/>
    </xf>
    <xf numFmtId="3" fontId="10" fillId="33" borderId="0" xfId="40" applyNumberFormat="1" applyFont="1" applyFill="1" applyBorder="1" applyAlignment="1" applyProtection="1">
      <alignment horizontal="right" vertical="center"/>
      <protection/>
    </xf>
    <xf numFmtId="2" fontId="9" fillId="33" borderId="0" xfId="40" applyNumberFormat="1" applyFont="1" applyFill="1" applyBorder="1" applyAlignment="1" applyProtection="1">
      <alignment horizontal="right" vertical="center"/>
      <protection/>
    </xf>
    <xf numFmtId="192" fontId="9" fillId="33" borderId="0" xfId="73" applyNumberFormat="1" applyFont="1" applyFill="1" applyBorder="1" applyAlignment="1" applyProtection="1">
      <alignment horizontal="right" vertical="center"/>
      <protection/>
    </xf>
    <xf numFmtId="0" fontId="10" fillId="33" borderId="0" xfId="0" applyFont="1" applyFill="1" applyBorder="1" applyAlignment="1" applyProtection="1">
      <alignment horizontal="left" vertical="center"/>
      <protection/>
    </xf>
    <xf numFmtId="3" fontId="9" fillId="33" borderId="0" xfId="0" applyNumberFormat="1" applyFont="1" applyFill="1" applyBorder="1" applyAlignment="1" applyProtection="1">
      <alignment horizontal="left" vertical="center"/>
      <protection/>
    </xf>
    <xf numFmtId="2" fontId="9" fillId="33" borderId="0" xfId="0" applyNumberFormat="1" applyFont="1" applyFill="1" applyBorder="1" applyAlignment="1" applyProtection="1">
      <alignment horizontal="left" vertical="center"/>
      <protection/>
    </xf>
    <xf numFmtId="3" fontId="9"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3" fontId="4" fillId="33" borderId="0" xfId="0" applyNumberFormat="1" applyFont="1" applyFill="1" applyBorder="1" applyAlignment="1" applyProtection="1">
      <alignment vertical="center"/>
      <protection/>
    </xf>
    <xf numFmtId="2" fontId="4" fillId="33" borderId="0" xfId="0" applyNumberFormat="1" applyFont="1" applyFill="1" applyBorder="1" applyAlignment="1" applyProtection="1">
      <alignment vertical="center"/>
      <protection/>
    </xf>
    <xf numFmtId="204" fontId="23" fillId="33" borderId="31" xfId="0" applyNumberFormat="1" applyFont="1" applyFill="1" applyBorder="1" applyAlignment="1" applyProtection="1">
      <alignment horizontal="right" vertical="center"/>
      <protection/>
    </xf>
    <xf numFmtId="0" fontId="32" fillId="33" borderId="0" xfId="0" applyFont="1" applyFill="1" applyBorder="1" applyAlignment="1" applyProtection="1">
      <alignment horizontal="center" vertical="center" wrapText="1"/>
      <protection/>
    </xf>
    <xf numFmtId="4" fontId="35" fillId="33" borderId="0" xfId="0" applyNumberFormat="1" applyFont="1" applyFill="1" applyBorder="1" applyAlignment="1" applyProtection="1">
      <alignment horizontal="center" vertical="center"/>
      <protection/>
    </xf>
    <xf numFmtId="3" fontId="35" fillId="33" borderId="0" xfId="0" applyNumberFormat="1" applyFont="1" applyFill="1" applyBorder="1" applyAlignment="1" applyProtection="1">
      <alignment horizontal="center" vertical="center"/>
      <protection/>
    </xf>
    <xf numFmtId="0" fontId="35" fillId="33" borderId="0" xfId="0" applyFont="1" applyFill="1" applyBorder="1" applyAlignment="1" applyProtection="1">
      <alignment horizontal="center" vertical="center"/>
      <protection/>
    </xf>
    <xf numFmtId="4" fontId="35" fillId="33" borderId="0" xfId="0" applyNumberFormat="1" applyFont="1" applyFill="1" applyBorder="1" applyAlignment="1" applyProtection="1">
      <alignment horizontal="center" vertical="center" wrapText="1"/>
      <protection/>
    </xf>
    <xf numFmtId="3" fontId="35" fillId="33" borderId="0" xfId="0" applyNumberFormat="1" applyFont="1" applyFill="1" applyBorder="1" applyAlignment="1" applyProtection="1">
      <alignment horizontal="center" vertical="center" wrapText="1"/>
      <protection/>
    </xf>
    <xf numFmtId="0" fontId="3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center" vertical="center" wrapText="1"/>
      <protection/>
    </xf>
    <xf numFmtId="0" fontId="40"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center" vertical="center" wrapText="1"/>
      <protection/>
    </xf>
    <xf numFmtId="3" fontId="12" fillId="0" borderId="12" xfId="43" applyNumberFormat="1" applyFont="1" applyFill="1" applyBorder="1" applyAlignment="1" applyProtection="1">
      <alignment horizontal="right" vertical="center"/>
      <protection/>
    </xf>
    <xf numFmtId="2" fontId="12" fillId="0" borderId="12" xfId="43" applyNumberFormat="1" applyFont="1" applyFill="1" applyBorder="1" applyAlignment="1" applyProtection="1">
      <alignment horizontal="right" vertical="center"/>
      <protection/>
    </xf>
    <xf numFmtId="2" fontId="12" fillId="0" borderId="32" xfId="43" applyNumberFormat="1" applyFont="1" applyFill="1" applyBorder="1" applyAlignment="1" applyProtection="1">
      <alignment horizontal="right" vertical="center"/>
      <protection/>
    </xf>
    <xf numFmtId="0" fontId="12" fillId="0" borderId="23" xfId="0" applyFont="1" applyFill="1" applyBorder="1" applyAlignment="1">
      <alignment horizontal="left" vertical="center"/>
    </xf>
    <xf numFmtId="0" fontId="12" fillId="0" borderId="11" xfId="0" applyFont="1" applyFill="1" applyBorder="1" applyAlignment="1">
      <alignment horizontal="right" vertical="center"/>
    </xf>
    <xf numFmtId="3" fontId="29" fillId="0" borderId="11" xfId="0" applyNumberFormat="1" applyFont="1" applyFill="1" applyBorder="1" applyAlignment="1">
      <alignment horizontal="right" vertical="center"/>
    </xf>
    <xf numFmtId="2" fontId="12" fillId="0" borderId="11" xfId="43" applyNumberFormat="1" applyFont="1" applyFill="1" applyBorder="1" applyAlignment="1" applyProtection="1">
      <alignment horizontal="right" vertical="center"/>
      <protection/>
    </xf>
    <xf numFmtId="4" fontId="12" fillId="0" borderId="11" xfId="0" applyNumberFormat="1" applyFont="1" applyFill="1" applyBorder="1" applyAlignment="1">
      <alignment horizontal="right" vertical="center"/>
    </xf>
    <xf numFmtId="2" fontId="12" fillId="0" borderId="25" xfId="43" applyNumberFormat="1" applyFont="1" applyFill="1" applyBorder="1" applyAlignment="1" applyProtection="1">
      <alignment horizontal="right" vertical="center"/>
      <protection/>
    </xf>
    <xf numFmtId="0" fontId="12" fillId="0" borderId="23" xfId="0" applyFont="1" applyFill="1" applyBorder="1" applyAlignment="1">
      <alignment vertical="center"/>
    </xf>
    <xf numFmtId="0" fontId="12" fillId="0" borderId="11" xfId="0" applyNumberFormat="1" applyFont="1" applyFill="1" applyBorder="1" applyAlignment="1">
      <alignment horizontal="left" vertical="center"/>
    </xf>
    <xf numFmtId="2" fontId="12" fillId="0" borderId="11" xfId="43" applyNumberFormat="1" applyFont="1" applyFill="1" applyBorder="1" applyAlignment="1" applyProtection="1">
      <alignment vertical="center"/>
      <protection/>
    </xf>
    <xf numFmtId="0" fontId="12" fillId="0" borderId="11" xfId="0" applyNumberFormat="1" applyFont="1" applyFill="1" applyBorder="1" applyAlignment="1">
      <alignment horizontal="right" vertical="center"/>
    </xf>
    <xf numFmtId="3" fontId="12" fillId="0" borderId="11" xfId="43" applyNumberFormat="1" applyFont="1" applyFill="1" applyBorder="1" applyAlignment="1" applyProtection="1">
      <alignment vertical="center"/>
      <protection/>
    </xf>
    <xf numFmtId="2" fontId="12" fillId="0" borderId="11" xfId="42" applyNumberFormat="1" applyFont="1" applyFill="1" applyBorder="1" applyAlignment="1" applyProtection="1">
      <alignment horizontal="right" vertical="center"/>
      <protection/>
    </xf>
    <xf numFmtId="0" fontId="12" fillId="0" borderId="23" xfId="0" applyFont="1" applyFill="1" applyBorder="1" applyAlignment="1">
      <alignment horizontal="left" vertical="center" shrinkToFit="1"/>
    </xf>
    <xf numFmtId="190" fontId="12" fillId="0" borderId="11" xfId="0" applyNumberFormat="1" applyFont="1" applyFill="1" applyBorder="1" applyAlignment="1">
      <alignment horizontal="center" vertical="center" shrinkToFit="1"/>
    </xf>
    <xf numFmtId="0" fontId="12" fillId="0" borderId="11" xfId="0" applyFont="1" applyFill="1" applyBorder="1" applyAlignment="1">
      <alignment horizontal="right" vertical="center" shrinkToFit="1"/>
    </xf>
    <xf numFmtId="3" fontId="12" fillId="0" borderId="11" xfId="43" applyNumberFormat="1" applyFont="1" applyFill="1" applyBorder="1" applyAlignment="1" applyProtection="1">
      <alignment horizontal="right" vertical="center" shrinkToFit="1"/>
      <protection/>
    </xf>
    <xf numFmtId="2" fontId="12" fillId="0" borderId="11" xfId="43" applyNumberFormat="1" applyFont="1" applyFill="1" applyBorder="1" applyAlignment="1" applyProtection="1">
      <alignment horizontal="right" vertical="center" shrinkToFit="1"/>
      <protection/>
    </xf>
    <xf numFmtId="4" fontId="12" fillId="0" borderId="11" xfId="43" applyNumberFormat="1" applyFont="1" applyFill="1" applyBorder="1" applyAlignment="1" applyProtection="1">
      <alignment horizontal="right" vertical="center" shrinkToFit="1"/>
      <protection locked="0"/>
    </xf>
    <xf numFmtId="3" fontId="12" fillId="0" borderId="11" xfId="43" applyNumberFormat="1" applyFont="1" applyFill="1" applyBorder="1" applyAlignment="1" applyProtection="1">
      <alignment horizontal="right" vertical="center" shrinkToFit="1"/>
      <protection locked="0"/>
    </xf>
    <xf numFmtId="2" fontId="12" fillId="0" borderId="25" xfId="43" applyNumberFormat="1" applyFont="1" applyFill="1" applyBorder="1" applyAlignment="1" applyProtection="1">
      <alignment horizontal="right" vertical="center" shrinkToFit="1"/>
      <protection/>
    </xf>
    <xf numFmtId="0" fontId="12" fillId="0" borderId="23" xfId="0" applyNumberFormat="1" applyFont="1" applyFill="1" applyBorder="1" applyAlignment="1">
      <alignment horizontal="left" vertical="center"/>
    </xf>
    <xf numFmtId="193" fontId="12" fillId="0" borderId="11" xfId="43" applyNumberFormat="1" applyFont="1" applyFill="1" applyBorder="1" applyAlignment="1" applyProtection="1">
      <alignment horizontal="right" vertical="center"/>
      <protection/>
    </xf>
    <xf numFmtId="0" fontId="12" fillId="0" borderId="23" xfId="0" applyFont="1" applyFill="1" applyBorder="1" applyAlignment="1" applyProtection="1">
      <alignment horizontal="left" vertical="center"/>
      <protection locked="0"/>
    </xf>
    <xf numFmtId="2" fontId="12" fillId="0" borderId="25" xfId="42" applyNumberFormat="1" applyFont="1" applyFill="1" applyBorder="1" applyAlignment="1" applyProtection="1">
      <alignment horizontal="right" vertical="center"/>
      <protection/>
    </xf>
    <xf numFmtId="0" fontId="12" fillId="0" borderId="23" xfId="0" applyFont="1" applyFill="1" applyBorder="1" applyAlignment="1" applyProtection="1">
      <alignment vertical="center"/>
      <protection locked="0"/>
    </xf>
    <xf numFmtId="2" fontId="12" fillId="0" borderId="11" xfId="42" applyNumberFormat="1" applyFont="1" applyFill="1" applyBorder="1" applyAlignment="1" applyProtection="1">
      <alignment vertical="center"/>
      <protection/>
    </xf>
    <xf numFmtId="4" fontId="12" fillId="0" borderId="11" xfId="42" applyNumberFormat="1" applyFont="1" applyFill="1" applyBorder="1" applyAlignment="1" applyProtection="1">
      <alignment vertical="center"/>
      <protection locked="0"/>
    </xf>
    <xf numFmtId="0" fontId="12" fillId="0" borderId="23" xfId="0" applyNumberFormat="1" applyFont="1" applyFill="1" applyBorder="1" applyAlignment="1" applyProtection="1">
      <alignment horizontal="left" vertical="center"/>
      <protection locked="0"/>
    </xf>
    <xf numFmtId="193" fontId="12" fillId="0" borderId="11" xfId="42" applyNumberFormat="1" applyFont="1" applyFill="1" applyBorder="1" applyAlignment="1" applyProtection="1">
      <alignment horizontal="right" vertical="center"/>
      <protection/>
    </xf>
    <xf numFmtId="2" fontId="12" fillId="0" borderId="11" xfId="73" applyNumberFormat="1" applyFont="1" applyFill="1" applyBorder="1" applyAlignment="1" applyProtection="1">
      <alignment horizontal="right" vertical="center"/>
      <protection/>
    </xf>
    <xf numFmtId="2" fontId="12" fillId="0" borderId="25" xfId="73" applyNumberFormat="1" applyFont="1" applyFill="1" applyBorder="1" applyAlignment="1" applyProtection="1">
      <alignment horizontal="right" vertical="center"/>
      <protection/>
    </xf>
    <xf numFmtId="2" fontId="12" fillId="0" borderId="11" xfId="73" applyNumberFormat="1" applyFont="1" applyFill="1" applyBorder="1" applyAlignment="1" applyProtection="1">
      <alignment vertical="center"/>
      <protection/>
    </xf>
    <xf numFmtId="0" fontId="12" fillId="0" borderId="11" xfId="0" applyNumberFormat="1" applyFont="1" applyFill="1" applyBorder="1" applyAlignment="1">
      <alignment horizontal="right" vertical="center"/>
    </xf>
    <xf numFmtId="0" fontId="12" fillId="0" borderId="23" xfId="0" applyFont="1" applyFill="1" applyBorder="1" applyAlignment="1">
      <alignment vertical="center"/>
    </xf>
    <xf numFmtId="0" fontId="12" fillId="0" borderId="11" xfId="0" applyFont="1" applyFill="1" applyBorder="1" applyAlignment="1">
      <alignment horizontal="right"/>
    </xf>
    <xf numFmtId="3" fontId="12" fillId="0" borderId="11" xfId="0" applyNumberFormat="1" applyFont="1" applyFill="1" applyBorder="1" applyAlignment="1">
      <alignment horizontal="right"/>
    </xf>
    <xf numFmtId="4" fontId="12" fillId="0" borderId="11" xfId="0" applyNumberFormat="1" applyFont="1" applyFill="1" applyBorder="1" applyAlignment="1">
      <alignment horizontal="right"/>
    </xf>
    <xf numFmtId="4" fontId="12" fillId="0" borderId="11" xfId="53" applyNumberFormat="1" applyFont="1" applyFill="1" applyBorder="1" applyAlignment="1" applyProtection="1">
      <alignment horizontal="right" vertical="center"/>
      <protection/>
    </xf>
    <xf numFmtId="3" fontId="12" fillId="0" borderId="11" xfId="53" applyNumberFormat="1" applyFont="1" applyFill="1" applyBorder="1" applyAlignment="1" applyProtection="1">
      <alignment horizontal="right" vertical="center"/>
      <protection/>
    </xf>
    <xf numFmtId="2" fontId="12" fillId="0" borderId="25" xfId="0" applyNumberFormat="1" applyFont="1" applyFill="1" applyBorder="1" applyAlignment="1" applyProtection="1">
      <alignment horizontal="right" vertical="center"/>
      <protection/>
    </xf>
    <xf numFmtId="4" fontId="29" fillId="0" borderId="11" xfId="44" applyNumberFormat="1" applyFont="1" applyFill="1" applyBorder="1" applyAlignment="1" applyProtection="1">
      <alignment horizontal="right" vertical="center"/>
      <protection locked="0"/>
    </xf>
    <xf numFmtId="3" fontId="29" fillId="0" borderId="11" xfId="44" applyNumberFormat="1" applyFont="1" applyFill="1" applyBorder="1" applyAlignment="1" applyProtection="1">
      <alignment horizontal="right" vertical="center"/>
      <protection locked="0"/>
    </xf>
    <xf numFmtId="3" fontId="12" fillId="0" borderId="11" xfId="44" applyNumberFormat="1" applyFont="1" applyFill="1" applyBorder="1" applyAlignment="1" applyProtection="1">
      <alignment horizontal="right" vertical="center"/>
      <protection/>
    </xf>
    <xf numFmtId="2" fontId="12" fillId="0" borderId="11" xfId="44" applyNumberFormat="1" applyFont="1" applyFill="1" applyBorder="1" applyAlignment="1" applyProtection="1">
      <alignment horizontal="right" vertical="center"/>
      <protection/>
    </xf>
    <xf numFmtId="4" fontId="12" fillId="0" borderId="11" xfId="44" applyNumberFormat="1" applyFont="1" applyFill="1" applyBorder="1" applyAlignment="1" applyProtection="1">
      <alignment horizontal="right" vertical="center"/>
      <protection locked="0"/>
    </xf>
    <xf numFmtId="3" fontId="12" fillId="0" borderId="11" xfId="44" applyNumberFormat="1" applyFont="1" applyFill="1" applyBorder="1" applyAlignment="1" applyProtection="1">
      <alignment horizontal="right" vertical="center"/>
      <protection locked="0"/>
    </xf>
    <xf numFmtId="2" fontId="12" fillId="0" borderId="25" xfId="44" applyNumberFormat="1" applyFont="1" applyFill="1" applyBorder="1" applyAlignment="1" applyProtection="1">
      <alignment horizontal="right" vertical="center"/>
      <protection/>
    </xf>
    <xf numFmtId="0" fontId="12" fillId="0" borderId="23" xfId="0" applyNumberFormat="1" applyFont="1" applyFill="1" applyBorder="1" applyAlignment="1" applyProtection="1">
      <alignment vertical="center"/>
      <protection locked="0"/>
    </xf>
    <xf numFmtId="0" fontId="12" fillId="0" borderId="23" xfId="58" applyFont="1" applyFill="1" applyBorder="1" applyAlignment="1">
      <alignment horizontal="left" vertical="center"/>
      <protection/>
    </xf>
    <xf numFmtId="190" fontId="12" fillId="0" borderId="11" xfId="58" applyNumberFormat="1" applyFont="1" applyFill="1" applyBorder="1" applyAlignment="1">
      <alignment horizontal="center" vertical="center"/>
      <protection/>
    </xf>
    <xf numFmtId="0" fontId="12" fillId="0" borderId="11" xfId="58" applyFont="1" applyFill="1" applyBorder="1" applyAlignment="1">
      <alignment horizontal="left" vertical="center"/>
      <protection/>
    </xf>
    <xf numFmtId="0" fontId="12" fillId="0" borderId="11" xfId="58" applyFont="1" applyFill="1" applyBorder="1" applyAlignment="1">
      <alignment horizontal="right" vertical="center"/>
      <protection/>
    </xf>
    <xf numFmtId="4" fontId="12" fillId="0" borderId="11" xfId="58" applyNumberFormat="1" applyFont="1" applyFill="1" applyBorder="1" applyAlignment="1">
      <alignment horizontal="right" vertical="center"/>
      <protection/>
    </xf>
    <xf numFmtId="3" fontId="12" fillId="0" borderId="11" xfId="58" applyNumberFormat="1" applyFont="1" applyFill="1" applyBorder="1" applyAlignment="1">
      <alignment horizontal="right" vertical="center"/>
      <protection/>
    </xf>
    <xf numFmtId="2" fontId="12" fillId="0" borderId="11" xfId="0" applyNumberFormat="1" applyFont="1" applyFill="1" applyBorder="1" applyAlignment="1">
      <alignment horizontal="right" vertical="center"/>
    </xf>
    <xf numFmtId="2" fontId="12" fillId="0" borderId="25" xfId="0" applyNumberFormat="1" applyFont="1" applyFill="1" applyBorder="1" applyAlignment="1">
      <alignment horizontal="right" vertical="center"/>
    </xf>
    <xf numFmtId="2" fontId="12" fillId="0" borderId="11" xfId="44" applyNumberFormat="1" applyFont="1" applyFill="1" applyBorder="1" applyAlignment="1" applyProtection="1">
      <alignment vertical="center"/>
      <protection/>
    </xf>
    <xf numFmtId="14" fontId="12" fillId="0" borderId="11" xfId="0" applyNumberFormat="1" applyFont="1" applyFill="1" applyBorder="1" applyAlignment="1">
      <alignment vertical="center"/>
    </xf>
    <xf numFmtId="190" fontId="12" fillId="0" borderId="11" xfId="58"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left" vertical="center" shrinkToFit="1"/>
      <protection locked="0"/>
    </xf>
    <xf numFmtId="3" fontId="12" fillId="0" borderId="11" xfId="73" applyNumberFormat="1" applyFont="1" applyFill="1" applyBorder="1" applyAlignment="1" applyProtection="1">
      <alignment vertical="center"/>
      <protection/>
    </xf>
    <xf numFmtId="193" fontId="12" fillId="0" borderId="11" xfId="0" applyNumberFormat="1" applyFont="1" applyFill="1" applyBorder="1" applyAlignment="1" applyProtection="1">
      <alignment horizontal="right" vertical="center"/>
      <protection/>
    </xf>
    <xf numFmtId="2" fontId="12" fillId="0" borderId="11" xfId="0" applyNumberFormat="1" applyFont="1" applyFill="1" applyBorder="1" applyAlignment="1">
      <alignment vertical="center"/>
    </xf>
    <xf numFmtId="3" fontId="12" fillId="0" borderId="11" xfId="0" applyNumberFormat="1" applyFont="1" applyFill="1" applyBorder="1" applyAlignment="1">
      <alignment horizontal="right"/>
    </xf>
    <xf numFmtId="14" fontId="12" fillId="0" borderId="11" xfId="0" applyNumberFormat="1" applyFont="1" applyFill="1" applyBorder="1" applyAlignment="1">
      <alignment horizontal="left" vertical="center"/>
    </xf>
    <xf numFmtId="0" fontId="12" fillId="33" borderId="23" xfId="0" applyFont="1" applyFill="1" applyBorder="1" applyAlignment="1">
      <alignment horizontal="left"/>
    </xf>
    <xf numFmtId="190" fontId="12" fillId="33" borderId="11" xfId="0" applyNumberFormat="1" applyFont="1" applyFill="1" applyBorder="1" applyAlignment="1">
      <alignment horizontal="center" wrapText="1"/>
    </xf>
    <xf numFmtId="14" fontId="12" fillId="33" borderId="11" xfId="0" applyNumberFormat="1" applyFont="1" applyFill="1" applyBorder="1" applyAlignment="1">
      <alignment horizontal="left"/>
    </xf>
    <xf numFmtId="0" fontId="12" fillId="33" borderId="11" xfId="0" applyFont="1" applyFill="1" applyBorder="1" applyAlignment="1">
      <alignment horizontal="right"/>
    </xf>
    <xf numFmtId="3" fontId="12" fillId="33" borderId="11" xfId="0" applyNumberFormat="1" applyFont="1" applyFill="1" applyBorder="1" applyAlignment="1">
      <alignment horizontal="right"/>
    </xf>
    <xf numFmtId="2" fontId="12" fillId="33" borderId="11" xfId="0" applyNumberFormat="1" applyFont="1" applyFill="1" applyBorder="1" applyAlignment="1">
      <alignment horizontal="right"/>
    </xf>
    <xf numFmtId="4" fontId="12" fillId="33" borderId="11" xfId="0" applyNumberFormat="1" applyFont="1" applyFill="1" applyBorder="1" applyAlignment="1">
      <alignment horizontal="right"/>
    </xf>
    <xf numFmtId="3" fontId="12" fillId="33" borderId="11" xfId="0" applyNumberFormat="1" applyFont="1" applyFill="1" applyBorder="1" applyAlignment="1">
      <alignment horizontal="right"/>
    </xf>
    <xf numFmtId="2" fontId="12" fillId="33" borderId="25" xfId="0" applyNumberFormat="1" applyFont="1" applyFill="1" applyBorder="1" applyAlignment="1">
      <alignment horizontal="right"/>
    </xf>
    <xf numFmtId="204" fontId="12" fillId="0" borderId="23" xfId="0" applyNumberFormat="1" applyFont="1" applyFill="1" applyBorder="1" applyAlignment="1">
      <alignment horizontal="left" vertical="center"/>
    </xf>
    <xf numFmtId="4" fontId="12" fillId="0" borderId="11" xfId="44" applyNumberFormat="1" applyFont="1" applyFill="1" applyBorder="1" applyAlignment="1" applyProtection="1">
      <alignment vertical="center"/>
      <protection locked="0"/>
    </xf>
    <xf numFmtId="3" fontId="12" fillId="0" borderId="11" xfId="44" applyNumberFormat="1" applyFont="1" applyFill="1" applyBorder="1" applyAlignment="1" applyProtection="1">
      <alignment vertical="center"/>
      <protection/>
    </xf>
    <xf numFmtId="3" fontId="12" fillId="0" borderId="11" xfId="44" applyNumberFormat="1" applyFont="1" applyFill="1" applyBorder="1" applyAlignment="1" applyProtection="1">
      <alignment vertical="center"/>
      <protection locked="0"/>
    </xf>
    <xf numFmtId="0" fontId="12" fillId="0" borderId="23" xfId="58" applyNumberFormat="1" applyFont="1" applyFill="1" applyBorder="1" applyAlignment="1" applyProtection="1">
      <alignment horizontal="left" vertical="center"/>
      <protection locked="0"/>
    </xf>
    <xf numFmtId="0" fontId="12" fillId="0" borderId="11" xfId="58" applyNumberFormat="1" applyFont="1" applyFill="1" applyBorder="1" applyAlignment="1" applyProtection="1">
      <alignment horizontal="left" vertical="center"/>
      <protection locked="0"/>
    </xf>
    <xf numFmtId="0" fontId="12" fillId="0" borderId="11" xfId="58" applyNumberFormat="1" applyFont="1" applyFill="1" applyBorder="1" applyAlignment="1" applyProtection="1">
      <alignment horizontal="right" vertical="center"/>
      <protection locked="0"/>
    </xf>
    <xf numFmtId="190" fontId="12" fillId="0" borderId="11" xfId="0" applyNumberFormat="1" applyFont="1" applyBorder="1" applyAlignment="1" applyProtection="1">
      <alignment horizontal="center" vertical="center"/>
      <protection locked="0"/>
    </xf>
    <xf numFmtId="0" fontId="12" fillId="0" borderId="11" xfId="0" applyFont="1" applyBorder="1" applyAlignment="1" applyProtection="1">
      <alignment horizontal="left" vertical="center"/>
      <protection locked="0"/>
    </xf>
    <xf numFmtId="0" fontId="12" fillId="0" borderId="11" xfId="0" applyFont="1" applyBorder="1" applyAlignment="1" applyProtection="1">
      <alignment horizontal="right" vertical="center"/>
      <protection locked="0"/>
    </xf>
    <xf numFmtId="3" fontId="12" fillId="0" borderId="11" xfId="73" applyNumberFormat="1" applyFont="1" applyBorder="1" applyAlignment="1" applyProtection="1">
      <alignment horizontal="right" vertical="center"/>
      <protection/>
    </xf>
    <xf numFmtId="2" fontId="12" fillId="0" borderId="11" xfId="73" applyNumberFormat="1" applyFont="1" applyBorder="1" applyAlignment="1" applyProtection="1">
      <alignment horizontal="right" vertical="center"/>
      <protection/>
    </xf>
    <xf numFmtId="2" fontId="12" fillId="0" borderId="25" xfId="73" applyNumberFormat="1" applyFont="1" applyBorder="1" applyAlignment="1" applyProtection="1">
      <alignment horizontal="right" vertical="center"/>
      <protection/>
    </xf>
    <xf numFmtId="2" fontId="12" fillId="0" borderId="11" xfId="0" applyNumberFormat="1" applyFont="1" applyFill="1" applyBorder="1" applyAlignment="1" applyProtection="1">
      <alignment horizontal="right" vertical="center"/>
      <protection/>
    </xf>
    <xf numFmtId="2" fontId="12" fillId="0" borderId="11" xfId="0" applyNumberFormat="1" applyFont="1" applyFill="1" applyBorder="1" applyAlignment="1">
      <alignment horizontal="right"/>
    </xf>
    <xf numFmtId="2" fontId="12" fillId="0" borderId="25" xfId="0" applyNumberFormat="1" applyFont="1" applyFill="1" applyBorder="1" applyAlignment="1">
      <alignment horizontal="right"/>
    </xf>
    <xf numFmtId="0" fontId="12" fillId="0" borderId="19" xfId="0" applyFont="1" applyFill="1" applyBorder="1" applyAlignment="1">
      <alignment horizontal="left" vertical="center"/>
    </xf>
    <xf numFmtId="0" fontId="12" fillId="0" borderId="23" xfId="0" applyFont="1" applyFill="1" applyBorder="1" applyAlignment="1" applyProtection="1">
      <alignment horizontal="left" vertical="center"/>
      <protection/>
    </xf>
    <xf numFmtId="190" fontId="12" fillId="0" borderId="12" xfId="0" applyNumberFormat="1" applyFont="1" applyFill="1" applyBorder="1" applyAlignment="1">
      <alignment horizontal="center" vertical="center"/>
    </xf>
    <xf numFmtId="0" fontId="12" fillId="0" borderId="12" xfId="0" applyFont="1" applyFill="1" applyBorder="1" applyAlignment="1">
      <alignment horizontal="left" vertical="center"/>
    </xf>
    <xf numFmtId="0" fontId="12" fillId="0" borderId="12" xfId="0" applyFont="1" applyFill="1" applyBorder="1" applyAlignment="1">
      <alignment horizontal="right" vertical="center"/>
    </xf>
    <xf numFmtId="4" fontId="12" fillId="0" borderId="12" xfId="0" applyNumberFormat="1" applyFont="1" applyFill="1" applyBorder="1" applyAlignment="1">
      <alignment horizontal="right" vertical="center"/>
    </xf>
    <xf numFmtId="43" fontId="19" fillId="33" borderId="33" xfId="40" applyFont="1" applyFill="1" applyBorder="1" applyAlignment="1" applyProtection="1">
      <alignment horizontal="center"/>
      <protection/>
    </xf>
    <xf numFmtId="190" fontId="19" fillId="33" borderId="33" xfId="0" applyNumberFormat="1" applyFont="1" applyFill="1" applyBorder="1" applyAlignment="1" applyProtection="1">
      <alignment horizontal="center"/>
      <protection/>
    </xf>
    <xf numFmtId="0" fontId="19" fillId="33" borderId="33" xfId="0" applyFont="1" applyFill="1" applyBorder="1" applyAlignment="1" applyProtection="1">
      <alignment horizontal="center"/>
      <protection/>
    </xf>
    <xf numFmtId="0" fontId="31" fillId="33" borderId="33" xfId="0" applyFont="1" applyFill="1" applyBorder="1" applyAlignment="1" applyProtection="1">
      <alignment horizontal="center" vertical="center" wrapText="1"/>
      <protection/>
    </xf>
    <xf numFmtId="3" fontId="19" fillId="33" borderId="33" xfId="0" applyNumberFormat="1" applyFont="1" applyFill="1" applyBorder="1" applyAlignment="1" applyProtection="1">
      <alignment horizontal="center" vertical="center" wrapText="1"/>
      <protection/>
    </xf>
    <xf numFmtId="2" fontId="19" fillId="33" borderId="33" xfId="0" applyNumberFormat="1" applyFont="1" applyFill="1" applyBorder="1" applyAlignment="1" applyProtection="1">
      <alignment horizontal="center" vertical="center" wrapText="1"/>
      <protection/>
    </xf>
    <xf numFmtId="0" fontId="19" fillId="33" borderId="33" xfId="0" applyFont="1" applyFill="1" applyBorder="1" applyAlignment="1" applyProtection="1">
      <alignment horizontal="center" vertical="center" wrapText="1"/>
      <protection/>
    </xf>
    <xf numFmtId="3" fontId="29" fillId="0" borderId="11" xfId="59" applyNumberFormat="1" applyFont="1" applyFill="1" applyBorder="1" applyAlignment="1">
      <alignment horizontal="right" vertical="center"/>
      <protection/>
    </xf>
    <xf numFmtId="4" fontId="29" fillId="0" borderId="11" xfId="59" applyNumberFormat="1" applyFont="1" applyFill="1" applyBorder="1" applyAlignment="1" applyProtection="1">
      <alignment horizontal="right" vertical="center"/>
      <protection locked="0"/>
    </xf>
    <xf numFmtId="3" fontId="29" fillId="0" borderId="11" xfId="59" applyNumberFormat="1" applyFont="1" applyFill="1" applyBorder="1" applyAlignment="1" applyProtection="1">
      <alignment horizontal="right" vertical="center"/>
      <protection locked="0"/>
    </xf>
    <xf numFmtId="4" fontId="29" fillId="0" borderId="11" xfId="59" applyNumberFormat="1" applyFont="1" applyFill="1" applyBorder="1" applyAlignment="1">
      <alignment horizontal="right" vertical="center"/>
      <protection/>
    </xf>
    <xf numFmtId="3" fontId="29" fillId="0" borderId="11" xfId="59" applyNumberFormat="1" applyFont="1" applyFill="1" applyBorder="1" applyAlignment="1">
      <alignment horizontal="right" vertical="center"/>
      <protection/>
    </xf>
    <xf numFmtId="4" fontId="29" fillId="0" borderId="11" xfId="59" applyNumberFormat="1" applyFont="1" applyFill="1" applyBorder="1" applyAlignment="1">
      <alignment horizontal="right" vertical="center"/>
      <protection/>
    </xf>
    <xf numFmtId="2" fontId="12" fillId="0" borderId="25" xfId="73" applyNumberFormat="1" applyFont="1" applyFill="1" applyBorder="1" applyAlignment="1" applyProtection="1">
      <alignment vertical="center"/>
      <protection/>
    </xf>
    <xf numFmtId="2" fontId="12" fillId="0" borderId="25" xfId="42" applyNumberFormat="1" applyFont="1" applyFill="1" applyBorder="1" applyAlignment="1" applyProtection="1">
      <alignment vertical="center"/>
      <protection/>
    </xf>
    <xf numFmtId="2" fontId="12" fillId="0" borderId="25" xfId="0" applyNumberFormat="1" applyFont="1" applyFill="1" applyBorder="1" applyAlignment="1">
      <alignment vertical="center"/>
    </xf>
    <xf numFmtId="4" fontId="36" fillId="33" borderId="34" xfId="0" applyNumberFormat="1" applyFont="1" applyFill="1" applyBorder="1" applyAlignment="1" applyProtection="1">
      <alignment horizontal="center" vertical="center"/>
      <protection/>
    </xf>
    <xf numFmtId="3" fontId="36" fillId="33" borderId="35" xfId="0" applyNumberFormat="1" applyFont="1" applyFill="1" applyBorder="1" applyAlignment="1" applyProtection="1">
      <alignment horizontal="center" vertical="center"/>
      <protection/>
    </xf>
    <xf numFmtId="4" fontId="36" fillId="33" borderId="35" xfId="0" applyNumberFormat="1" applyFont="1" applyFill="1" applyBorder="1" applyAlignment="1" applyProtection="1">
      <alignment horizontal="center" vertical="center" wrapText="1"/>
      <protection/>
    </xf>
    <xf numFmtId="4" fontId="36" fillId="33" borderId="35" xfId="0" applyNumberFormat="1" applyFont="1" applyFill="1" applyBorder="1" applyAlignment="1" applyProtection="1">
      <alignment horizontal="center" vertical="center"/>
      <protection/>
    </xf>
    <xf numFmtId="3" fontId="36" fillId="33" borderId="13" xfId="0" applyNumberFormat="1" applyFont="1" applyFill="1" applyBorder="1" applyAlignment="1" applyProtection="1">
      <alignment horizontal="center" vertical="center" wrapText="1"/>
      <protection/>
    </xf>
    <xf numFmtId="3" fontId="12" fillId="33" borderId="0" xfId="0" applyNumberFormat="1" applyFont="1" applyFill="1" applyBorder="1" applyAlignment="1" applyProtection="1">
      <alignment horizontal="center" vertical="center"/>
      <protection/>
    </xf>
    <xf numFmtId="3" fontId="13" fillId="33" borderId="0" xfId="0" applyNumberFormat="1" applyFont="1" applyFill="1" applyBorder="1" applyAlignment="1" applyProtection="1">
      <alignment horizontal="center" vertical="center"/>
      <protection/>
    </xf>
    <xf numFmtId="3" fontId="14" fillId="33" borderId="0" xfId="0" applyNumberFormat="1" applyFont="1" applyFill="1" applyBorder="1" applyAlignment="1" applyProtection="1">
      <alignment horizontal="center" vertical="center"/>
      <protection/>
    </xf>
    <xf numFmtId="3" fontId="22" fillId="33" borderId="0" xfId="0" applyNumberFormat="1" applyFont="1" applyFill="1" applyBorder="1" applyAlignment="1" applyProtection="1">
      <alignment horizontal="center" vertical="center"/>
      <protection/>
    </xf>
    <xf numFmtId="3" fontId="22" fillId="33" borderId="15" xfId="0" applyNumberFormat="1" applyFont="1" applyFill="1" applyBorder="1" applyAlignment="1" applyProtection="1">
      <alignment horizontal="center" vertical="center"/>
      <protection/>
    </xf>
    <xf numFmtId="3" fontId="10" fillId="33" borderId="0" xfId="0" applyNumberFormat="1" applyFont="1" applyFill="1" applyBorder="1" applyAlignment="1" applyProtection="1">
      <alignment horizontal="left" vertical="center"/>
      <protection/>
    </xf>
    <xf numFmtId="3" fontId="5" fillId="33" borderId="0" xfId="0" applyNumberFormat="1" applyFont="1" applyFill="1" applyBorder="1" applyAlignment="1" applyProtection="1">
      <alignment vertical="center"/>
      <protection/>
    </xf>
    <xf numFmtId="3" fontId="32" fillId="0" borderId="35" xfId="0" applyNumberFormat="1" applyFont="1" applyFill="1" applyBorder="1" applyAlignment="1" applyProtection="1">
      <alignment horizontal="center" vertical="center" wrapText="1"/>
      <protection/>
    </xf>
    <xf numFmtId="3" fontId="0" fillId="33" borderId="0" xfId="0" applyNumberFormat="1" applyFont="1" applyFill="1" applyBorder="1" applyAlignment="1" applyProtection="1">
      <alignment vertical="center"/>
      <protection/>
    </xf>
    <xf numFmtId="3" fontId="39" fillId="33" borderId="17" xfId="0" applyNumberFormat="1" applyFont="1" applyFill="1" applyBorder="1" applyAlignment="1" applyProtection="1">
      <alignment horizontal="center" vertical="center" wrapText="1"/>
      <protection/>
    </xf>
    <xf numFmtId="4" fontId="12" fillId="33" borderId="0" xfId="0" applyNumberFormat="1" applyFont="1" applyFill="1" applyBorder="1" applyAlignment="1" applyProtection="1">
      <alignment horizontal="center" vertical="center"/>
      <protection/>
    </xf>
    <xf numFmtId="4" fontId="13" fillId="33" borderId="0" xfId="0" applyNumberFormat="1" applyFont="1" applyFill="1" applyBorder="1" applyAlignment="1" applyProtection="1">
      <alignment horizontal="center" vertical="center"/>
      <protection/>
    </xf>
    <xf numFmtId="4" fontId="14" fillId="33" borderId="0" xfId="0" applyNumberFormat="1" applyFont="1" applyFill="1" applyBorder="1" applyAlignment="1" applyProtection="1">
      <alignment horizontal="center" vertical="center"/>
      <protection/>
    </xf>
    <xf numFmtId="4" fontId="22" fillId="33" borderId="0" xfId="0" applyNumberFormat="1" applyFont="1" applyFill="1" applyBorder="1" applyAlignment="1" applyProtection="1">
      <alignment horizontal="center" vertical="center"/>
      <protection/>
    </xf>
    <xf numFmtId="4" fontId="22" fillId="33" borderId="15" xfId="0" applyNumberFormat="1" applyFont="1" applyFill="1" applyBorder="1" applyAlignment="1" applyProtection="1">
      <alignment horizontal="center" vertical="center"/>
      <protection/>
    </xf>
    <xf numFmtId="4" fontId="9" fillId="33" borderId="0" xfId="0" applyNumberFormat="1" applyFont="1" applyFill="1" applyBorder="1" applyAlignment="1" applyProtection="1">
      <alignment horizontal="left" vertical="center"/>
      <protection/>
    </xf>
    <xf numFmtId="4" fontId="32" fillId="0" borderId="34" xfId="0" applyNumberFormat="1" applyFont="1" applyFill="1" applyBorder="1" applyAlignment="1" applyProtection="1">
      <alignment horizontal="center" vertical="center" wrapText="1"/>
      <protection/>
    </xf>
    <xf numFmtId="4" fontId="10" fillId="33" borderId="0" xfId="0" applyNumberFormat="1" applyFont="1" applyFill="1" applyBorder="1" applyAlignment="1" applyProtection="1">
      <alignment horizontal="left" vertical="center"/>
      <protection/>
    </xf>
    <xf numFmtId="4" fontId="5" fillId="33" borderId="0" xfId="0" applyNumberFormat="1" applyFont="1" applyFill="1" applyBorder="1" applyAlignment="1" applyProtection="1">
      <alignment vertical="center"/>
      <protection/>
    </xf>
    <xf numFmtId="4" fontId="32" fillId="0" borderId="35" xfId="0" applyNumberFormat="1" applyFont="1" applyFill="1" applyBorder="1" applyAlignment="1" applyProtection="1">
      <alignment horizontal="center" vertical="center" wrapText="1"/>
      <protection/>
    </xf>
    <xf numFmtId="4" fontId="4" fillId="33" borderId="0" xfId="0" applyNumberFormat="1" applyFont="1" applyFill="1" applyBorder="1" applyAlignment="1" applyProtection="1">
      <alignment vertical="center"/>
      <protection/>
    </xf>
    <xf numFmtId="4" fontId="12" fillId="0" borderId="11" xfId="0" applyNumberFormat="1" applyFont="1" applyFill="1" applyBorder="1" applyAlignment="1">
      <alignment horizontal="right" wrapText="1"/>
    </xf>
    <xf numFmtId="4" fontId="12" fillId="0" borderId="11" xfId="73" applyNumberFormat="1" applyFont="1" applyFill="1" applyBorder="1" applyAlignment="1" applyProtection="1">
      <alignment vertical="center"/>
      <protection/>
    </xf>
    <xf numFmtId="4" fontId="12" fillId="0" borderId="25" xfId="0" applyNumberFormat="1" applyFont="1" applyFill="1" applyBorder="1" applyAlignment="1" applyProtection="1">
      <alignment vertical="center"/>
      <protection/>
    </xf>
    <xf numFmtId="3" fontId="12" fillId="0" borderId="11" xfId="42" applyNumberFormat="1" applyFont="1" applyFill="1" applyBorder="1" applyAlignment="1" applyProtection="1">
      <alignment vertical="center"/>
      <protection locked="0"/>
    </xf>
    <xf numFmtId="192" fontId="12" fillId="33" borderId="0" xfId="0" applyNumberFormat="1" applyFont="1" applyFill="1" applyBorder="1" applyAlignment="1" applyProtection="1">
      <alignment horizontal="center" vertical="center"/>
      <protection/>
    </xf>
    <xf numFmtId="192" fontId="13" fillId="33" borderId="0" xfId="0" applyNumberFormat="1" applyFont="1" applyFill="1" applyBorder="1" applyAlignment="1" applyProtection="1">
      <alignment horizontal="center" vertical="center"/>
      <protection/>
    </xf>
    <xf numFmtId="192" fontId="14" fillId="33" borderId="0" xfId="0" applyNumberFormat="1" applyFont="1" applyFill="1" applyBorder="1" applyAlignment="1" applyProtection="1">
      <alignment horizontal="center" vertical="center"/>
      <protection/>
    </xf>
    <xf numFmtId="192" fontId="22" fillId="33" borderId="0" xfId="0" applyNumberFormat="1" applyFont="1" applyFill="1" applyBorder="1" applyAlignment="1" applyProtection="1">
      <alignment horizontal="center" vertical="center"/>
      <protection/>
    </xf>
    <xf numFmtId="192" fontId="22" fillId="33" borderId="15" xfId="0" applyNumberFormat="1" applyFont="1" applyFill="1" applyBorder="1" applyAlignment="1" applyProtection="1">
      <alignment horizontal="center" vertical="center"/>
      <protection/>
    </xf>
    <xf numFmtId="192" fontId="12" fillId="0" borderId="11" xfId="73" applyNumberFormat="1" applyFont="1" applyFill="1" applyBorder="1" applyAlignment="1" applyProtection="1">
      <alignment vertical="center"/>
      <protection/>
    </xf>
    <xf numFmtId="192" fontId="32" fillId="0" borderId="35" xfId="0" applyNumberFormat="1" applyFont="1" applyFill="1" applyBorder="1" applyAlignment="1" applyProtection="1">
      <alignment horizontal="center" vertical="center" wrapText="1"/>
      <protection/>
    </xf>
    <xf numFmtId="192" fontId="9" fillId="33" borderId="0" xfId="0" applyNumberFormat="1" applyFont="1" applyFill="1" applyBorder="1" applyAlignment="1" applyProtection="1">
      <alignment horizontal="left" vertical="center"/>
      <protection/>
    </xf>
    <xf numFmtId="192" fontId="4" fillId="33" borderId="0" xfId="0" applyNumberFormat="1" applyFont="1" applyFill="1" applyBorder="1" applyAlignment="1" applyProtection="1">
      <alignment vertical="center"/>
      <protection/>
    </xf>
    <xf numFmtId="4" fontId="12" fillId="0" borderId="25" xfId="73" applyNumberFormat="1" applyFont="1" applyFill="1" applyBorder="1" applyAlignment="1" applyProtection="1">
      <alignment vertical="center"/>
      <protection/>
    </xf>
    <xf numFmtId="0" fontId="12" fillId="0" borderId="11" xfId="0" applyFont="1" applyFill="1" applyBorder="1" applyAlignment="1">
      <alignment horizontal="left"/>
    </xf>
    <xf numFmtId="3" fontId="29" fillId="0" borderId="11" xfId="0" applyNumberFormat="1" applyFont="1" applyFill="1" applyBorder="1" applyAlignment="1">
      <alignment vertical="center"/>
    </xf>
    <xf numFmtId="4" fontId="29" fillId="0" borderId="11" xfId="42" applyNumberFormat="1" applyFont="1" applyFill="1" applyBorder="1" applyAlignment="1" applyProtection="1">
      <alignment vertical="center"/>
      <protection locked="0"/>
    </xf>
    <xf numFmtId="3" fontId="29" fillId="0" borderId="11" xfId="42" applyNumberFormat="1" applyFont="1" applyFill="1" applyBorder="1" applyAlignment="1" applyProtection="1">
      <alignment vertical="center"/>
      <protection locked="0"/>
    </xf>
    <xf numFmtId="4" fontId="29" fillId="0" borderId="11" xfId="0" applyNumberFormat="1" applyFont="1" applyFill="1" applyBorder="1" applyAlignment="1">
      <alignment vertical="center"/>
    </xf>
    <xf numFmtId="4" fontId="29" fillId="0" borderId="11" xfId="0" applyNumberFormat="1" applyFont="1" applyFill="1" applyBorder="1" applyAlignment="1" applyProtection="1">
      <alignment vertical="center"/>
      <protection/>
    </xf>
    <xf numFmtId="2" fontId="12" fillId="0" borderId="25" xfId="0" applyNumberFormat="1" applyFont="1" applyFill="1" applyBorder="1" applyAlignment="1">
      <alignment horizontal="right" vertical="center"/>
    </xf>
    <xf numFmtId="4" fontId="36" fillId="33" borderId="36" xfId="0" applyNumberFormat="1" applyFont="1" applyFill="1" applyBorder="1" applyAlignment="1" applyProtection="1">
      <alignment horizontal="center" vertical="center"/>
      <protection/>
    </xf>
    <xf numFmtId="3" fontId="32" fillId="0" borderId="37" xfId="0" applyNumberFormat="1" applyFont="1" applyFill="1" applyBorder="1" applyAlignment="1" applyProtection="1">
      <alignment horizontal="center" vertical="center" wrapText="1"/>
      <protection/>
    </xf>
    <xf numFmtId="3" fontId="36" fillId="33" borderId="37" xfId="0" applyNumberFormat="1" applyFont="1" applyFill="1" applyBorder="1" applyAlignment="1" applyProtection="1">
      <alignment horizontal="center" vertical="center" wrapText="1"/>
      <protection/>
    </xf>
    <xf numFmtId="0" fontId="40" fillId="33" borderId="38" xfId="0" applyFont="1" applyFill="1" applyBorder="1" applyAlignment="1" applyProtection="1">
      <alignment horizontal="center" vertical="center" wrapText="1"/>
      <protection/>
    </xf>
    <xf numFmtId="0" fontId="40" fillId="33" borderId="17" xfId="0" applyFont="1" applyFill="1" applyBorder="1" applyAlignment="1" applyProtection="1">
      <alignment horizontal="center" vertical="center" wrapText="1"/>
      <protection/>
    </xf>
    <xf numFmtId="0" fontId="58" fillId="37" borderId="11" xfId="0" applyFont="1" applyFill="1" applyBorder="1" applyAlignment="1">
      <alignment horizontal="right" vertical="center" shrinkToFit="1"/>
    </xf>
    <xf numFmtId="0" fontId="21" fillId="34" borderId="24" xfId="0" applyFont="1" applyFill="1" applyBorder="1" applyAlignment="1" applyProtection="1">
      <alignment vertical="center"/>
      <protection/>
    </xf>
    <xf numFmtId="0" fontId="21" fillId="34" borderId="39" xfId="0" applyFont="1" applyFill="1" applyBorder="1" applyAlignment="1" applyProtection="1">
      <alignment vertical="center"/>
      <protection/>
    </xf>
    <xf numFmtId="4" fontId="29" fillId="38" borderId="11" xfId="43" applyNumberFormat="1" applyFont="1" applyFill="1" applyBorder="1" applyAlignment="1" applyProtection="1">
      <alignment horizontal="right" vertical="center"/>
      <protection locked="0"/>
    </xf>
    <xf numFmtId="3" fontId="29" fillId="38" borderId="11" xfId="43" applyNumberFormat="1" applyFont="1" applyFill="1" applyBorder="1" applyAlignment="1" applyProtection="1">
      <alignment horizontal="right" vertical="center"/>
      <protection locked="0"/>
    </xf>
    <xf numFmtId="4" fontId="29" fillId="0" borderId="11" xfId="0" applyNumberFormat="1" applyFont="1" applyFill="1" applyBorder="1" applyAlignment="1">
      <alignment horizontal="right"/>
    </xf>
    <xf numFmtId="3" fontId="29" fillId="0" borderId="11" xfId="0" applyNumberFormat="1" applyFont="1" applyFill="1" applyBorder="1" applyAlignment="1">
      <alignment horizontal="right"/>
    </xf>
    <xf numFmtId="0" fontId="58" fillId="0" borderId="11" xfId="0" applyNumberFormat="1" applyFont="1" applyFill="1" applyBorder="1" applyAlignment="1" applyProtection="1">
      <alignment horizontal="right" vertical="center"/>
      <protection locked="0"/>
    </xf>
    <xf numFmtId="4" fontId="29" fillId="0" borderId="11" xfId="0" applyNumberFormat="1" applyFont="1" applyFill="1" applyBorder="1" applyAlignment="1">
      <alignment horizontal="right"/>
    </xf>
    <xf numFmtId="4" fontId="29" fillId="0" borderId="11" xfId="0" applyNumberFormat="1" applyFont="1" applyFill="1" applyBorder="1" applyAlignment="1">
      <alignment horizontal="right" wrapText="1"/>
    </xf>
    <xf numFmtId="1" fontId="18" fillId="34" borderId="40" xfId="0" applyNumberFormat="1" applyFont="1" applyFill="1" applyBorder="1" applyAlignment="1" applyProtection="1">
      <alignment horizontal="center" vertical="center" wrapText="1"/>
      <protection/>
    </xf>
    <xf numFmtId="0" fontId="18" fillId="34" borderId="41" xfId="0" applyFont="1" applyFill="1" applyBorder="1" applyAlignment="1" applyProtection="1">
      <alignment horizontal="center" vertical="center" wrapText="1"/>
      <protection/>
    </xf>
    <xf numFmtId="1" fontId="17" fillId="34" borderId="42" xfId="0" applyNumberFormat="1"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protection/>
    </xf>
    <xf numFmtId="190" fontId="17" fillId="34" borderId="10" xfId="0" applyNumberFormat="1" applyFont="1" applyFill="1" applyBorder="1" applyAlignment="1" applyProtection="1">
      <alignment horizontal="center"/>
      <protection/>
    </xf>
    <xf numFmtId="4" fontId="17" fillId="34" borderId="10" xfId="0" applyNumberFormat="1" applyFont="1" applyFill="1" applyBorder="1" applyAlignment="1" applyProtection="1">
      <alignment horizontal="center" vertical="center" wrapText="1"/>
      <protection/>
    </xf>
    <xf numFmtId="0" fontId="17" fillId="34" borderId="43" xfId="0" applyFont="1" applyFill="1" applyBorder="1" applyAlignment="1" applyProtection="1">
      <alignment horizontal="center" vertical="center" wrapText="1"/>
      <protection/>
    </xf>
    <xf numFmtId="1" fontId="17" fillId="34" borderId="38" xfId="0" applyNumberFormat="1" applyFont="1" applyFill="1" applyBorder="1" applyAlignment="1" applyProtection="1">
      <alignment horizontal="center" vertical="center" wrapText="1"/>
      <protection/>
    </xf>
    <xf numFmtId="0" fontId="17" fillId="34" borderId="17" xfId="0" applyFont="1" applyFill="1" applyBorder="1" applyAlignment="1" applyProtection="1">
      <alignment horizontal="center" vertical="center" wrapText="1"/>
      <protection/>
    </xf>
    <xf numFmtId="43" fontId="17" fillId="34" borderId="17" xfId="40" applyFont="1" applyFill="1" applyBorder="1" applyAlignment="1" applyProtection="1">
      <alignment horizontal="center"/>
      <protection/>
    </xf>
    <xf numFmtId="190" fontId="17" fillId="34" borderId="17" xfId="0" applyNumberFormat="1" applyFont="1" applyFill="1" applyBorder="1" applyAlignment="1" applyProtection="1">
      <alignment horizontal="center"/>
      <protection/>
    </xf>
    <xf numFmtId="0" fontId="17" fillId="34" borderId="17" xfId="0" applyFont="1" applyFill="1" applyBorder="1" applyAlignment="1" applyProtection="1">
      <alignment horizontal="center"/>
      <protection/>
    </xf>
    <xf numFmtId="4" fontId="17" fillId="34" borderId="17" xfId="0" applyNumberFormat="1" applyFont="1" applyFill="1" applyBorder="1" applyAlignment="1" applyProtection="1">
      <alignment horizontal="center" vertical="center" wrapText="1"/>
      <protection/>
    </xf>
    <xf numFmtId="3" fontId="17" fillId="34" borderId="17" xfId="0" applyNumberFormat="1" applyFont="1" applyFill="1" applyBorder="1" applyAlignment="1" applyProtection="1">
      <alignment horizontal="center" vertical="center" wrapText="1"/>
      <protection/>
    </xf>
    <xf numFmtId="192" fontId="17" fillId="34" borderId="17" xfId="0" applyNumberFormat="1" applyFont="1" applyFill="1" applyBorder="1" applyAlignment="1" applyProtection="1">
      <alignment horizontal="center" vertical="center" wrapText="1"/>
      <protection/>
    </xf>
    <xf numFmtId="4" fontId="30" fillId="34" borderId="17" xfId="0" applyNumberFormat="1" applyFont="1" applyFill="1" applyBorder="1" applyAlignment="1" applyProtection="1">
      <alignment horizontal="center" vertical="center" wrapText="1"/>
      <protection/>
    </xf>
    <xf numFmtId="3" fontId="30" fillId="34" borderId="17" xfId="0" applyNumberFormat="1" applyFont="1" applyFill="1" applyBorder="1" applyAlignment="1" applyProtection="1">
      <alignment horizontal="center" vertical="center" wrapText="1"/>
      <protection/>
    </xf>
    <xf numFmtId="0" fontId="17" fillId="34" borderId="14" xfId="0" applyFont="1" applyFill="1" applyBorder="1" applyAlignment="1" applyProtection="1">
      <alignment horizontal="center" vertical="center" wrapText="1"/>
      <protection/>
    </xf>
    <xf numFmtId="0" fontId="19" fillId="34" borderId="42" xfId="0" applyFont="1" applyFill="1" applyBorder="1" applyAlignment="1" applyProtection="1">
      <alignment horizontal="center"/>
      <protection/>
    </xf>
    <xf numFmtId="0" fontId="19" fillId="34" borderId="10" xfId="0" applyFont="1" applyFill="1" applyBorder="1" applyAlignment="1" applyProtection="1">
      <alignment horizontal="center"/>
      <protection/>
    </xf>
    <xf numFmtId="190" fontId="19" fillId="34" borderId="10" xfId="0" applyNumberFormat="1" applyFont="1" applyFill="1" applyBorder="1" applyAlignment="1" applyProtection="1">
      <alignment horizontal="center"/>
      <protection/>
    </xf>
    <xf numFmtId="4" fontId="19" fillId="34" borderId="10" xfId="0" applyNumberFormat="1" applyFont="1" applyFill="1" applyBorder="1" applyAlignment="1" applyProtection="1">
      <alignment horizontal="center"/>
      <protection/>
    </xf>
    <xf numFmtId="3" fontId="19" fillId="34" borderId="10" xfId="0" applyNumberFormat="1" applyFont="1" applyFill="1" applyBorder="1" applyAlignment="1" applyProtection="1">
      <alignment horizontal="center"/>
      <protection/>
    </xf>
    <xf numFmtId="4" fontId="31" fillId="34" borderId="10" xfId="0" applyNumberFormat="1" applyFont="1" applyFill="1" applyBorder="1" applyAlignment="1" applyProtection="1">
      <alignment horizontal="center"/>
      <protection/>
    </xf>
    <xf numFmtId="3" fontId="31" fillId="34" borderId="10" xfId="0" applyNumberFormat="1" applyFont="1" applyFill="1" applyBorder="1" applyAlignment="1" applyProtection="1">
      <alignment horizontal="center"/>
      <protection/>
    </xf>
    <xf numFmtId="4" fontId="19" fillId="34" borderId="10" xfId="0" applyNumberFormat="1" applyFont="1" applyFill="1" applyBorder="1" applyAlignment="1" applyProtection="1">
      <alignment horizontal="center" vertical="center" wrapText="1"/>
      <protection/>
    </xf>
    <xf numFmtId="0" fontId="19" fillId="34" borderId="43" xfId="0" applyFont="1" applyFill="1" applyBorder="1" applyAlignment="1" applyProtection="1">
      <alignment horizontal="center" vertical="center" wrapText="1"/>
      <protection/>
    </xf>
    <xf numFmtId="0" fontId="19" fillId="34" borderId="38" xfId="0" applyFont="1" applyFill="1" applyBorder="1" applyAlignment="1" applyProtection="1">
      <alignment horizontal="center"/>
      <protection/>
    </xf>
    <xf numFmtId="0" fontId="19" fillId="34" borderId="14" xfId="0" applyFont="1" applyFill="1" applyBorder="1" applyAlignment="1" applyProtection="1">
      <alignment horizontal="center"/>
      <protection/>
    </xf>
    <xf numFmtId="43" fontId="19" fillId="34" borderId="33" xfId="40" applyFont="1" applyFill="1" applyBorder="1" applyAlignment="1" applyProtection="1">
      <alignment horizontal="center"/>
      <protection/>
    </xf>
    <xf numFmtId="0" fontId="19" fillId="34" borderId="33" xfId="0" applyFont="1" applyFill="1" applyBorder="1" applyAlignment="1" applyProtection="1">
      <alignment horizontal="center"/>
      <protection/>
    </xf>
    <xf numFmtId="190" fontId="19" fillId="34" borderId="33" xfId="0" applyNumberFormat="1" applyFont="1" applyFill="1" applyBorder="1" applyAlignment="1" applyProtection="1">
      <alignment horizontal="center"/>
      <protection/>
    </xf>
    <xf numFmtId="4" fontId="19" fillId="34" borderId="33" xfId="0" applyNumberFormat="1" applyFont="1" applyFill="1" applyBorder="1" applyAlignment="1" applyProtection="1">
      <alignment horizontal="center" vertical="center" wrapText="1"/>
      <protection/>
    </xf>
    <xf numFmtId="3" fontId="19" fillId="34" borderId="33" xfId="0" applyNumberFormat="1" applyFont="1" applyFill="1" applyBorder="1" applyAlignment="1" applyProtection="1">
      <alignment horizontal="center" vertical="center" wrapText="1"/>
      <protection/>
    </xf>
    <xf numFmtId="192" fontId="19" fillId="34" borderId="33" xfId="0" applyNumberFormat="1" applyFont="1" applyFill="1" applyBorder="1" applyAlignment="1" applyProtection="1">
      <alignment horizontal="center" vertical="center" wrapText="1"/>
      <protection/>
    </xf>
    <xf numFmtId="4" fontId="31" fillId="34" borderId="33" xfId="0" applyNumberFormat="1" applyFont="1" applyFill="1" applyBorder="1" applyAlignment="1" applyProtection="1">
      <alignment horizontal="center" vertical="center" wrapText="1"/>
      <protection/>
    </xf>
    <xf numFmtId="3" fontId="31" fillId="34" borderId="33" xfId="0" applyNumberFormat="1" applyFont="1" applyFill="1" applyBorder="1" applyAlignment="1" applyProtection="1">
      <alignment horizontal="center" vertical="center" wrapText="1"/>
      <protection/>
    </xf>
    <xf numFmtId="4" fontId="12" fillId="0" borderId="11" xfId="53" applyNumberFormat="1" applyFont="1" applyFill="1" applyBorder="1" applyAlignment="1" applyProtection="1">
      <alignment horizontal="right" vertical="center" wrapText="1"/>
      <protection/>
    </xf>
    <xf numFmtId="3" fontId="12" fillId="0" borderId="11" xfId="53" applyNumberFormat="1" applyFont="1" applyFill="1" applyBorder="1" applyAlignment="1" applyProtection="1">
      <alignment horizontal="right" vertical="center" wrapText="1"/>
      <protection/>
    </xf>
    <xf numFmtId="4" fontId="29" fillId="0" borderId="11" xfId="53" applyNumberFormat="1" applyFont="1" applyFill="1" applyBorder="1" applyAlignment="1" applyProtection="1">
      <alignment horizontal="right" vertical="center" wrapText="1"/>
      <protection/>
    </xf>
    <xf numFmtId="3" fontId="29" fillId="0" borderId="11" xfId="53" applyNumberFormat="1" applyFont="1" applyFill="1" applyBorder="1" applyAlignment="1" applyProtection="1">
      <alignment horizontal="right" vertical="center" wrapText="1"/>
      <protection/>
    </xf>
    <xf numFmtId="190" fontId="12" fillId="0" borderId="11" xfId="0" applyNumberFormat="1" applyFont="1" applyFill="1" applyBorder="1" applyAlignment="1" applyProtection="1">
      <alignment horizontal="left" vertical="center"/>
      <protection/>
    </xf>
    <xf numFmtId="4" fontId="29" fillId="38" borderId="11" xfId="42" applyNumberFormat="1" applyFont="1" applyFill="1" applyBorder="1" applyAlignment="1" applyProtection="1">
      <alignment horizontal="right" vertical="center"/>
      <protection locked="0"/>
    </xf>
    <xf numFmtId="3" fontId="29" fillId="38" borderId="11" xfId="42" applyNumberFormat="1" applyFont="1" applyFill="1" applyBorder="1" applyAlignment="1" applyProtection="1">
      <alignment horizontal="right" vertical="center"/>
      <protection locked="0"/>
    </xf>
    <xf numFmtId="4" fontId="29" fillId="38" borderId="11" xfId="0" applyNumberFormat="1" applyFont="1" applyFill="1" applyBorder="1" applyAlignment="1">
      <alignment horizontal="right"/>
    </xf>
    <xf numFmtId="3" fontId="29" fillId="38" borderId="11" xfId="0" applyNumberFormat="1" applyFont="1" applyFill="1" applyBorder="1" applyAlignment="1">
      <alignment horizontal="right"/>
    </xf>
    <xf numFmtId="3" fontId="29" fillId="38" borderId="11" xfId="0" applyNumberFormat="1" applyFont="1" applyFill="1" applyBorder="1" applyAlignment="1">
      <alignment horizontal="right"/>
    </xf>
    <xf numFmtId="4" fontId="29" fillId="38" borderId="11" xfId="53" applyNumberFormat="1" applyFont="1" applyFill="1" applyBorder="1" applyAlignment="1" applyProtection="1">
      <alignment horizontal="right" vertical="center" wrapText="1"/>
      <protection/>
    </xf>
    <xf numFmtId="3" fontId="29" fillId="38" borderId="11" xfId="53" applyNumberFormat="1" applyFont="1" applyFill="1" applyBorder="1" applyAlignment="1" applyProtection="1">
      <alignment horizontal="right" vertical="center" wrapText="1"/>
      <protection/>
    </xf>
    <xf numFmtId="3" fontId="29" fillId="0" borderId="11" xfId="0" applyNumberFormat="1" applyFont="1" applyFill="1" applyBorder="1" applyAlignment="1" applyProtection="1">
      <alignment vertical="center"/>
      <protection/>
    </xf>
    <xf numFmtId="0" fontId="58" fillId="0" borderId="11" xfId="0" applyFont="1" applyBorder="1" applyAlignment="1" applyProtection="1">
      <alignment horizontal="right" vertical="center"/>
      <protection locked="0"/>
    </xf>
    <xf numFmtId="0" fontId="12" fillId="0" borderId="23" xfId="0" applyFont="1" applyFill="1" applyBorder="1" applyAlignment="1" applyProtection="1">
      <alignment vertical="center" shrinkToFit="1"/>
      <protection locked="0"/>
    </xf>
    <xf numFmtId="4" fontId="29" fillId="0" borderId="11" xfId="42" applyNumberFormat="1" applyFont="1" applyFill="1" applyBorder="1" applyAlignment="1" applyProtection="1">
      <alignment horizontal="right" vertical="center"/>
      <protection/>
    </xf>
    <xf numFmtId="3" fontId="29" fillId="0" borderId="11" xfId="0" applyNumberFormat="1" applyFont="1" applyFill="1" applyBorder="1" applyAlignment="1">
      <alignment horizontal="right" wrapText="1"/>
    </xf>
    <xf numFmtId="0" fontId="12" fillId="0" borderId="11" xfId="56" applyNumberFormat="1" applyFont="1" applyFill="1" applyBorder="1" applyAlignment="1">
      <alignment horizontal="left" vertical="center"/>
      <protection/>
    </xf>
    <xf numFmtId="0" fontId="12" fillId="0" borderId="11" xfId="0" applyFont="1" applyFill="1" applyBorder="1" applyAlignment="1">
      <alignment horizontal="left" vertical="center" shrinkToFit="1"/>
    </xf>
    <xf numFmtId="190" fontId="12" fillId="0" borderId="11" xfId="59" applyNumberFormat="1" applyFont="1" applyFill="1" applyBorder="1" applyAlignment="1">
      <alignment horizontal="center" vertical="center"/>
      <protection/>
    </xf>
    <xf numFmtId="0" fontId="12" fillId="0" borderId="11" xfId="59" applyFont="1" applyFill="1" applyBorder="1" applyAlignment="1">
      <alignment horizontal="left" vertical="center"/>
      <protection/>
    </xf>
    <xf numFmtId="0" fontId="12" fillId="0" borderId="11" xfId="59" applyFont="1" applyFill="1" applyBorder="1" applyAlignment="1">
      <alignment horizontal="right" vertical="center"/>
      <protection/>
    </xf>
    <xf numFmtId="0" fontId="12" fillId="37" borderId="23" xfId="0" applyFont="1" applyFill="1" applyBorder="1" applyAlignment="1">
      <alignment horizontal="left" vertical="center"/>
    </xf>
    <xf numFmtId="0" fontId="12" fillId="0" borderId="23" xfId="0" applyNumberFormat="1" applyFont="1" applyFill="1" applyBorder="1" applyAlignment="1">
      <alignment horizontal="left" vertical="center"/>
    </xf>
    <xf numFmtId="190" fontId="12" fillId="0" borderId="11" xfId="0" applyNumberFormat="1" applyFont="1" applyFill="1" applyBorder="1" applyAlignment="1">
      <alignment horizontal="center" vertical="center"/>
    </xf>
    <xf numFmtId="0" fontId="12" fillId="0" borderId="11" xfId="0" applyNumberFormat="1" applyFont="1" applyFill="1" applyBorder="1" applyAlignment="1">
      <alignment horizontal="left" vertical="center"/>
    </xf>
    <xf numFmtId="2" fontId="12" fillId="0" borderId="11" xfId="0" applyNumberFormat="1" applyFont="1" applyFill="1" applyBorder="1" applyAlignment="1">
      <alignment horizontal="right" vertical="center"/>
    </xf>
    <xf numFmtId="2" fontId="12" fillId="0" borderId="25" xfId="0" applyNumberFormat="1" applyFont="1" applyFill="1" applyBorder="1" applyAlignment="1">
      <alignment horizontal="right" vertical="center"/>
    </xf>
    <xf numFmtId="0" fontId="12" fillId="0" borderId="11" xfId="0" applyFont="1" applyFill="1" applyBorder="1" applyAlignment="1">
      <alignment horizontal="left" vertical="center"/>
    </xf>
    <xf numFmtId="0" fontId="12" fillId="0" borderId="23" xfId="0" applyFont="1" applyFill="1" applyBorder="1" applyAlignment="1">
      <alignment horizontal="left"/>
    </xf>
    <xf numFmtId="190" fontId="12" fillId="0" borderId="11" xfId="0" applyNumberFormat="1" applyFont="1" applyFill="1" applyBorder="1" applyAlignment="1">
      <alignment horizontal="center"/>
    </xf>
    <xf numFmtId="190" fontId="12" fillId="0" borderId="11" xfId="0" applyNumberFormat="1" applyFont="1" applyFill="1" applyBorder="1" applyAlignment="1">
      <alignment horizontal="center" wrapText="1"/>
    </xf>
    <xf numFmtId="14" fontId="12" fillId="0" borderId="11" xfId="0" applyNumberFormat="1" applyFont="1" applyFill="1" applyBorder="1" applyAlignment="1">
      <alignment horizontal="left"/>
    </xf>
    <xf numFmtId="0" fontId="12" fillId="0" borderId="23" xfId="56" applyNumberFormat="1" applyFont="1" applyFill="1" applyBorder="1" applyAlignment="1">
      <alignment horizontal="left" vertical="center"/>
      <protection/>
    </xf>
    <xf numFmtId="190" fontId="12" fillId="0" borderId="11" xfId="56" applyNumberFormat="1" applyFont="1" applyFill="1" applyBorder="1" applyAlignment="1">
      <alignment horizontal="center" vertical="center"/>
      <protection/>
    </xf>
    <xf numFmtId="0" fontId="12" fillId="0" borderId="11" xfId="56" applyNumberFormat="1" applyFont="1" applyFill="1" applyBorder="1" applyAlignment="1">
      <alignment horizontal="right" vertical="center"/>
      <protection/>
    </xf>
    <xf numFmtId="0" fontId="12" fillId="0" borderId="23" xfId="56" applyFont="1" applyFill="1" applyBorder="1" applyAlignment="1">
      <alignment horizontal="left" vertical="center" shrinkToFit="1"/>
      <protection/>
    </xf>
    <xf numFmtId="190" fontId="12" fillId="0" borderId="11" xfId="56" applyNumberFormat="1" applyFont="1" applyFill="1" applyBorder="1" applyAlignment="1">
      <alignment horizontal="center" vertical="center" shrinkToFit="1"/>
      <protection/>
    </xf>
    <xf numFmtId="0" fontId="12" fillId="0" borderId="11" xfId="56" applyFont="1" applyFill="1" applyBorder="1" applyAlignment="1">
      <alignment horizontal="right" vertical="center" shrinkToFit="1"/>
      <protection/>
    </xf>
    <xf numFmtId="0" fontId="12" fillId="0" borderId="23" xfId="56" applyFont="1" applyFill="1" applyBorder="1" applyAlignment="1">
      <alignment horizontal="left" vertical="center"/>
      <protection/>
    </xf>
    <xf numFmtId="0" fontId="12" fillId="0" borderId="11" xfId="56" applyFont="1" applyFill="1" applyBorder="1" applyAlignment="1">
      <alignment horizontal="right" vertical="center"/>
      <protection/>
    </xf>
    <xf numFmtId="0" fontId="12" fillId="0" borderId="23" xfId="56" applyFont="1" applyFill="1" applyBorder="1" applyAlignment="1">
      <alignment vertical="center"/>
      <protection/>
    </xf>
    <xf numFmtId="0" fontId="12" fillId="0" borderId="23" xfId="58" applyFont="1" applyFill="1" applyBorder="1" applyAlignment="1" applyProtection="1">
      <alignment horizontal="left" vertical="center"/>
      <protection locked="0"/>
    </xf>
    <xf numFmtId="0" fontId="12" fillId="0" borderId="11" xfId="58" applyFont="1" applyFill="1" applyBorder="1" applyAlignment="1" applyProtection="1">
      <alignment horizontal="left" vertical="center"/>
      <protection locked="0"/>
    </xf>
    <xf numFmtId="0" fontId="12" fillId="0" borderId="11" xfId="58" applyFont="1" applyFill="1" applyBorder="1" applyAlignment="1" applyProtection="1">
      <alignment horizontal="right" vertical="center"/>
      <protection locked="0"/>
    </xf>
    <xf numFmtId="2" fontId="12" fillId="0" borderId="11" xfId="40" applyNumberFormat="1" applyFont="1" applyFill="1" applyBorder="1" applyAlignment="1" applyProtection="1">
      <alignment horizontal="right" vertical="center"/>
      <protection/>
    </xf>
    <xf numFmtId="2" fontId="12" fillId="0" borderId="25" xfId="40" applyNumberFormat="1" applyFont="1" applyFill="1" applyBorder="1" applyAlignment="1" applyProtection="1">
      <alignment horizontal="right" vertical="center"/>
      <protection/>
    </xf>
    <xf numFmtId="204" fontId="12" fillId="37" borderId="23" xfId="0" applyNumberFormat="1" applyFont="1" applyFill="1" applyBorder="1" applyAlignment="1">
      <alignment horizontal="left" vertical="center" shrinkToFit="1"/>
    </xf>
    <xf numFmtId="190" fontId="12" fillId="37" borderId="11" xfId="0" applyNumberFormat="1" applyFont="1" applyFill="1" applyBorder="1" applyAlignment="1">
      <alignment horizontal="center" vertical="center" shrinkToFit="1"/>
    </xf>
    <xf numFmtId="0" fontId="12" fillId="37" borderId="11" xfId="0" applyFont="1" applyFill="1" applyBorder="1" applyAlignment="1">
      <alignment horizontal="left" vertical="center" shrinkToFit="1"/>
    </xf>
    <xf numFmtId="0" fontId="12" fillId="37" borderId="11" xfId="0" applyFont="1" applyFill="1" applyBorder="1" applyAlignment="1">
      <alignment horizontal="right" vertical="center" shrinkToFit="1"/>
    </xf>
    <xf numFmtId="0" fontId="12" fillId="0" borderId="11" xfId="56" applyFont="1" applyFill="1" applyBorder="1" applyAlignment="1">
      <alignment horizontal="left" vertical="center"/>
      <protection/>
    </xf>
    <xf numFmtId="0" fontId="12" fillId="0" borderId="23" xfId="0" applyNumberFormat="1" applyFont="1" applyFill="1" applyBorder="1" applyAlignment="1" applyProtection="1">
      <alignment horizontal="left" vertical="center"/>
      <protection/>
    </xf>
    <xf numFmtId="3" fontId="12" fillId="0" borderId="11" xfId="40" applyNumberFormat="1" applyFont="1" applyFill="1" applyBorder="1" applyAlignment="1" applyProtection="1">
      <alignment vertical="center"/>
      <protection locked="0"/>
    </xf>
    <xf numFmtId="190" fontId="12" fillId="0" borderId="11" xfId="53" applyNumberFormat="1" applyFont="1" applyFill="1" applyBorder="1" applyAlignment="1">
      <alignment horizontal="center" vertical="center"/>
      <protection/>
    </xf>
    <xf numFmtId="0" fontId="12" fillId="0" borderId="11" xfId="53" applyFont="1" applyFill="1" applyBorder="1" applyAlignment="1">
      <alignment horizontal="right" vertical="center"/>
      <protection/>
    </xf>
    <xf numFmtId="0" fontId="12" fillId="0" borderId="23" xfId="53" applyNumberFormat="1" applyFont="1" applyFill="1" applyBorder="1" applyAlignment="1">
      <alignment horizontal="left" vertical="center"/>
      <protection/>
    </xf>
    <xf numFmtId="0" fontId="12" fillId="0" borderId="11" xfId="53" applyNumberFormat="1" applyFont="1" applyFill="1" applyBorder="1" applyAlignment="1">
      <alignment horizontal="right" vertical="center"/>
      <protection/>
    </xf>
    <xf numFmtId="0" fontId="12" fillId="0" borderId="11" xfId="53" applyNumberFormat="1" applyFont="1" applyFill="1" applyBorder="1" applyAlignment="1">
      <alignment horizontal="left" vertical="center"/>
      <protection/>
    </xf>
    <xf numFmtId="2" fontId="12" fillId="0" borderId="11" xfId="53" applyNumberFormat="1" applyFont="1" applyFill="1" applyBorder="1" applyAlignment="1" applyProtection="1">
      <alignment horizontal="right" vertical="center"/>
      <protection/>
    </xf>
    <xf numFmtId="2" fontId="12" fillId="0" borderId="25" xfId="53" applyNumberFormat="1" applyFont="1" applyFill="1" applyBorder="1" applyAlignment="1" applyProtection="1">
      <alignment horizontal="right" vertical="center"/>
      <protection/>
    </xf>
    <xf numFmtId="0" fontId="12" fillId="0" borderId="23" xfId="53" applyFont="1" applyBorder="1" applyAlignment="1">
      <alignment horizontal="left"/>
      <protection/>
    </xf>
    <xf numFmtId="190" fontId="12" fillId="0" borderId="11" xfId="53" applyNumberFormat="1" applyFont="1" applyBorder="1" applyAlignment="1">
      <alignment horizontal="center"/>
      <protection/>
    </xf>
    <xf numFmtId="0" fontId="12" fillId="0" borderId="11" xfId="53" applyFont="1" applyBorder="1" applyAlignment="1">
      <alignment horizontal="right"/>
      <protection/>
    </xf>
    <xf numFmtId="0" fontId="58" fillId="0" borderId="11" xfId="0" applyFont="1" applyBorder="1" applyAlignment="1">
      <alignment horizontal="right"/>
    </xf>
    <xf numFmtId="0" fontId="12" fillId="0" borderId="23" xfId="53" applyFont="1" applyFill="1" applyBorder="1" applyAlignment="1">
      <alignment vertical="center"/>
      <protection/>
    </xf>
    <xf numFmtId="0" fontId="12" fillId="0" borderId="11" xfId="53" applyFont="1" applyFill="1" applyBorder="1" applyAlignment="1">
      <alignment horizontal="left" vertical="center"/>
      <protection/>
    </xf>
    <xf numFmtId="3" fontId="12" fillId="0" borderId="11" xfId="0" applyNumberFormat="1" applyFont="1" applyFill="1" applyBorder="1" applyAlignment="1">
      <alignment vertical="center"/>
    </xf>
    <xf numFmtId="0" fontId="12" fillId="0" borderId="23" xfId="54" applyFont="1" applyFill="1" applyBorder="1" applyAlignment="1">
      <alignment horizontal="left" vertical="center" shrinkToFit="1"/>
      <protection/>
    </xf>
    <xf numFmtId="190" fontId="12" fillId="0" borderId="11" xfId="54" applyNumberFormat="1" applyFont="1" applyFill="1" applyBorder="1" applyAlignment="1">
      <alignment horizontal="center" vertical="center"/>
      <protection/>
    </xf>
    <xf numFmtId="0" fontId="12" fillId="0" borderId="11" xfId="54" applyFont="1" applyFill="1" applyBorder="1" applyAlignment="1">
      <alignment horizontal="right" vertical="center"/>
      <protection/>
    </xf>
    <xf numFmtId="0" fontId="12" fillId="0" borderId="23" xfId="54" applyFont="1" applyFill="1" applyBorder="1" applyAlignment="1">
      <alignment horizontal="left" vertical="center"/>
      <protection/>
    </xf>
    <xf numFmtId="0" fontId="12" fillId="37" borderId="11" xfId="0" applyFont="1" applyFill="1" applyBorder="1" applyAlignment="1">
      <alignment horizontal="left" vertical="center"/>
    </xf>
    <xf numFmtId="4" fontId="29" fillId="38" borderId="11" xfId="43" applyNumberFormat="1" applyFont="1" applyFill="1" applyBorder="1" applyAlignment="1" applyProtection="1">
      <alignment horizontal="right" vertical="center"/>
      <protection/>
    </xf>
    <xf numFmtId="3" fontId="29" fillId="38" borderId="11" xfId="43" applyNumberFormat="1" applyFont="1" applyFill="1" applyBorder="1" applyAlignment="1" applyProtection="1">
      <alignment horizontal="right" vertical="center"/>
      <protection/>
    </xf>
    <xf numFmtId="0" fontId="12" fillId="0" borderId="23" xfId="59" applyFont="1" applyFill="1" applyBorder="1" applyAlignment="1">
      <alignment horizontal="left" vertical="center"/>
      <protection/>
    </xf>
    <xf numFmtId="204" fontId="12" fillId="0" borderId="23" xfId="0" applyNumberFormat="1" applyFont="1" applyFill="1" applyBorder="1" applyAlignment="1" applyProtection="1">
      <alignment horizontal="left" vertical="center"/>
      <protection/>
    </xf>
    <xf numFmtId="0" fontId="12" fillId="0" borderId="23" xfId="56" applyFont="1" applyFill="1" applyBorder="1" applyAlignment="1" applyProtection="1">
      <alignment horizontal="left" vertical="center"/>
      <protection/>
    </xf>
    <xf numFmtId="190" fontId="12" fillId="0" borderId="11" xfId="56" applyNumberFormat="1" applyFont="1" applyFill="1" applyBorder="1" applyAlignment="1" applyProtection="1">
      <alignment horizontal="center" vertical="center"/>
      <protection/>
    </xf>
    <xf numFmtId="0" fontId="12" fillId="0" borderId="11" xfId="56" applyFont="1" applyFill="1" applyBorder="1" applyAlignment="1" applyProtection="1">
      <alignment horizontal="right" vertical="center"/>
      <protection/>
    </xf>
    <xf numFmtId="0" fontId="12" fillId="0" borderId="23" xfId="0" applyFont="1" applyFill="1" applyBorder="1" applyAlignment="1" applyProtection="1">
      <alignment horizontal="left" vertical="center"/>
      <protection/>
    </xf>
    <xf numFmtId="204" fontId="12" fillId="0" borderId="23" xfId="0" applyNumberFormat="1" applyFont="1" applyFill="1" applyBorder="1" applyAlignment="1">
      <alignment horizontal="left" vertical="center" shrinkToFit="1"/>
    </xf>
    <xf numFmtId="4" fontId="29" fillId="38" borderId="11" xfId="40" applyNumberFormat="1" applyFont="1" applyFill="1" applyBorder="1" applyAlignment="1" applyProtection="1">
      <alignment horizontal="right" vertical="center"/>
      <protection/>
    </xf>
    <xf numFmtId="3" fontId="29" fillId="38" borderId="11" xfId="40" applyNumberFormat="1" applyFont="1" applyFill="1" applyBorder="1" applyAlignment="1" applyProtection="1">
      <alignment horizontal="right" vertical="center"/>
      <protection/>
    </xf>
    <xf numFmtId="3" fontId="12" fillId="0" borderId="11" xfId="40" applyNumberFormat="1" applyFont="1" applyFill="1" applyBorder="1" applyAlignment="1" applyProtection="1">
      <alignment vertical="center"/>
      <protection/>
    </xf>
    <xf numFmtId="2" fontId="12" fillId="0" borderId="11" xfId="40" applyNumberFormat="1" applyFont="1" applyFill="1" applyBorder="1" applyAlignment="1" applyProtection="1">
      <alignment vertical="center"/>
      <protection/>
    </xf>
    <xf numFmtId="0" fontId="12" fillId="0" borderId="31" xfId="0" applyNumberFormat="1" applyFont="1" applyFill="1" applyBorder="1" applyAlignment="1" applyProtection="1">
      <alignment horizontal="left" vertical="center"/>
      <protection locked="0"/>
    </xf>
    <xf numFmtId="190" fontId="12" fillId="0" borderId="29" xfId="0" applyNumberFormat="1" applyFont="1" applyFill="1" applyBorder="1" applyAlignment="1" applyProtection="1">
      <alignment horizontal="center" vertical="center"/>
      <protection locked="0"/>
    </xf>
    <xf numFmtId="49" fontId="12" fillId="0" borderId="29" xfId="0" applyNumberFormat="1" applyFont="1" applyFill="1" applyBorder="1" applyAlignment="1" applyProtection="1">
      <alignment horizontal="left" vertical="center"/>
      <protection locked="0"/>
    </xf>
    <xf numFmtId="0" fontId="12" fillId="0" borderId="29" xfId="0" applyNumberFormat="1" applyFont="1" applyFill="1" applyBorder="1" applyAlignment="1" applyProtection="1">
      <alignment horizontal="right" vertical="center"/>
      <protection locked="0"/>
    </xf>
    <xf numFmtId="2" fontId="12" fillId="0" borderId="29" xfId="73" applyNumberFormat="1" applyFont="1" applyFill="1" applyBorder="1" applyAlignment="1" applyProtection="1">
      <alignment horizontal="right" vertical="center"/>
      <protection/>
    </xf>
    <xf numFmtId="4" fontId="12" fillId="0" borderId="29" xfId="40" applyNumberFormat="1" applyFont="1" applyFill="1" applyBorder="1" applyAlignment="1" applyProtection="1">
      <alignment horizontal="right" vertical="center"/>
      <protection locked="0"/>
    </xf>
    <xf numFmtId="3" fontId="12" fillId="0" borderId="29" xfId="40" applyNumberFormat="1" applyFont="1" applyFill="1" applyBorder="1" applyAlignment="1" applyProtection="1">
      <alignment horizontal="right" vertical="center"/>
      <protection locked="0"/>
    </xf>
    <xf numFmtId="2" fontId="12" fillId="0" borderId="44" xfId="73" applyNumberFormat="1" applyFont="1" applyFill="1" applyBorder="1" applyAlignment="1" applyProtection="1">
      <alignment horizontal="right" vertical="center"/>
      <protection/>
    </xf>
    <xf numFmtId="4" fontId="29" fillId="38" borderId="11" xfId="40" applyNumberFormat="1" applyFont="1" applyFill="1" applyBorder="1" applyAlignment="1" applyProtection="1">
      <alignment horizontal="right" vertical="center"/>
      <protection locked="0"/>
    </xf>
    <xf numFmtId="3" fontId="29" fillId="38" borderId="11" xfId="40" applyNumberFormat="1" applyFont="1" applyFill="1" applyBorder="1" applyAlignment="1" applyProtection="1">
      <alignment horizontal="right" vertical="center"/>
      <protection locked="0"/>
    </xf>
    <xf numFmtId="4" fontId="29" fillId="38" borderId="11" xfId="0" applyNumberFormat="1" applyFont="1" applyFill="1" applyBorder="1" applyAlignment="1">
      <alignment horizontal="right" wrapText="1"/>
    </xf>
    <xf numFmtId="4" fontId="29" fillId="38" borderId="11" xfId="0" applyNumberFormat="1" applyFont="1" applyFill="1" applyBorder="1" applyAlignment="1">
      <alignment horizontal="right" vertical="center"/>
    </xf>
    <xf numFmtId="3" fontId="29" fillId="38" borderId="11" xfId="0" applyNumberFormat="1" applyFont="1" applyFill="1" applyBorder="1" applyAlignment="1">
      <alignment horizontal="right" vertical="center"/>
    </xf>
    <xf numFmtId="4" fontId="29" fillId="38" borderId="11" xfId="43" applyNumberFormat="1" applyFont="1" applyFill="1" applyBorder="1" applyAlignment="1" applyProtection="1">
      <alignment horizontal="right" vertical="center" shrinkToFit="1"/>
      <protection locked="0"/>
    </xf>
    <xf numFmtId="3" fontId="29" fillId="38" borderId="11" xfId="43" applyNumberFormat="1" applyFont="1" applyFill="1" applyBorder="1" applyAlignment="1" applyProtection="1">
      <alignment horizontal="right" vertical="center" shrinkToFit="1"/>
      <protection locked="0"/>
    </xf>
    <xf numFmtId="4" fontId="29" fillId="0" borderId="11" xfId="53" applyNumberFormat="1" applyFont="1" applyFill="1" applyBorder="1" applyAlignment="1" applyProtection="1">
      <alignment horizontal="right" vertical="center"/>
      <protection/>
    </xf>
    <xf numFmtId="3" fontId="29" fillId="0" borderId="11" xfId="53" applyNumberFormat="1" applyFont="1" applyFill="1" applyBorder="1" applyAlignment="1" applyProtection="1">
      <alignment horizontal="right" vertical="center"/>
      <protection/>
    </xf>
    <xf numFmtId="4" fontId="29" fillId="38" borderId="12" xfId="0" applyNumberFormat="1" applyFont="1" applyFill="1" applyBorder="1" applyAlignment="1">
      <alignment horizontal="right" vertical="center"/>
    </xf>
    <xf numFmtId="3" fontId="29" fillId="38" borderId="12" xfId="0" applyNumberFormat="1" applyFont="1" applyFill="1" applyBorder="1" applyAlignment="1">
      <alignment horizontal="right" vertical="center"/>
    </xf>
    <xf numFmtId="4" fontId="29" fillId="38" borderId="11" xfId="43" applyNumberFormat="1" applyFont="1" applyFill="1" applyBorder="1" applyAlignment="1" applyProtection="1">
      <alignment vertical="center"/>
      <protection locked="0"/>
    </xf>
    <xf numFmtId="3" fontId="29" fillId="38" borderId="11" xfId="43" applyNumberFormat="1" applyFont="1" applyFill="1" applyBorder="1" applyAlignment="1" applyProtection="1">
      <alignment vertical="center"/>
      <protection locked="0"/>
    </xf>
    <xf numFmtId="4" fontId="29" fillId="38" borderId="11" xfId="42" applyNumberFormat="1" applyFont="1" applyFill="1" applyBorder="1" applyAlignment="1" applyProtection="1">
      <alignment vertical="center"/>
      <protection locked="0"/>
    </xf>
    <xf numFmtId="3" fontId="29" fillId="38" borderId="11" xfId="42" applyNumberFormat="1" applyFont="1" applyFill="1" applyBorder="1" applyAlignment="1" applyProtection="1">
      <alignment vertical="center"/>
      <protection locked="0"/>
    </xf>
    <xf numFmtId="4" fontId="29" fillId="38" borderId="11" xfId="40" applyNumberFormat="1" applyFont="1" applyFill="1" applyBorder="1" applyAlignment="1" applyProtection="1">
      <alignment vertical="center"/>
      <protection/>
    </xf>
    <xf numFmtId="4" fontId="29" fillId="38" borderId="11" xfId="0" applyNumberFormat="1" applyFont="1" applyFill="1" applyBorder="1" applyAlignment="1">
      <alignment horizontal="right" vertical="center"/>
    </xf>
    <xf numFmtId="3" fontId="29" fillId="38" borderId="11" xfId="0" applyNumberFormat="1" applyFont="1" applyFill="1" applyBorder="1" applyAlignment="1">
      <alignment horizontal="right" vertical="center"/>
    </xf>
    <xf numFmtId="4" fontId="29" fillId="38" borderId="11" xfId="53" applyNumberFormat="1" applyFont="1" applyFill="1" applyBorder="1" applyAlignment="1" applyProtection="1">
      <alignment horizontal="right" vertical="center"/>
      <protection/>
    </xf>
    <xf numFmtId="3" fontId="29" fillId="38" borderId="11" xfId="53" applyNumberFormat="1" applyFont="1" applyFill="1" applyBorder="1" applyAlignment="1" applyProtection="1">
      <alignment horizontal="right" vertical="center"/>
      <protection/>
    </xf>
    <xf numFmtId="4" fontId="29" fillId="38" borderId="11" xfId="44" applyNumberFormat="1" applyFont="1" applyFill="1" applyBorder="1" applyAlignment="1" applyProtection="1">
      <alignment vertical="center"/>
      <protection locked="0"/>
    </xf>
    <xf numFmtId="3" fontId="29" fillId="38" borderId="11" xfId="44" applyNumberFormat="1" applyFont="1" applyFill="1" applyBorder="1" applyAlignment="1" applyProtection="1">
      <alignment horizontal="right" vertical="center"/>
      <protection locked="0"/>
    </xf>
    <xf numFmtId="4" fontId="29" fillId="38" borderId="11" xfId="44" applyNumberFormat="1" applyFont="1" applyFill="1" applyBorder="1" applyAlignment="1" applyProtection="1">
      <alignment horizontal="right" vertical="center"/>
      <protection locked="0"/>
    </xf>
    <xf numFmtId="4" fontId="29" fillId="38" borderId="11" xfId="58" applyNumberFormat="1" applyFont="1" applyFill="1" applyBorder="1" applyAlignment="1">
      <alignment horizontal="right" vertical="center"/>
      <protection/>
    </xf>
    <xf numFmtId="3" fontId="29" fillId="38" borderId="11" xfId="58" applyNumberFormat="1" applyFont="1" applyFill="1" applyBorder="1" applyAlignment="1">
      <alignment horizontal="right" vertical="center"/>
      <protection/>
    </xf>
    <xf numFmtId="4" fontId="29" fillId="38" borderId="11" xfId="0" applyNumberFormat="1" applyFont="1" applyFill="1" applyBorder="1" applyAlignment="1">
      <alignment vertical="center"/>
    </xf>
    <xf numFmtId="3" fontId="29" fillId="38" borderId="11" xfId="40" applyNumberFormat="1" applyFont="1" applyFill="1" applyBorder="1" applyAlignment="1" applyProtection="1">
      <alignment vertical="center"/>
      <protection/>
    </xf>
    <xf numFmtId="4" fontId="29" fillId="38" borderId="11" xfId="40" applyNumberFormat="1" applyFont="1" applyFill="1" applyBorder="1" applyAlignment="1" applyProtection="1">
      <alignment vertical="center"/>
      <protection locked="0"/>
    </xf>
    <xf numFmtId="3" fontId="29" fillId="38" borderId="11" xfId="40" applyNumberFormat="1" applyFont="1" applyFill="1" applyBorder="1" applyAlignment="1" applyProtection="1">
      <alignment vertical="center"/>
      <protection locked="0"/>
    </xf>
    <xf numFmtId="3" fontId="29" fillId="38" borderId="11" xfId="0" applyNumberFormat="1" applyFont="1" applyFill="1" applyBorder="1" applyAlignment="1">
      <alignment vertical="center"/>
    </xf>
    <xf numFmtId="3" fontId="29" fillId="38" borderId="11" xfId="44" applyNumberFormat="1" applyFont="1" applyFill="1" applyBorder="1" applyAlignment="1" applyProtection="1">
      <alignment vertical="center"/>
      <protection locked="0"/>
    </xf>
    <xf numFmtId="4" fontId="29" fillId="38" borderId="29" xfId="40" applyNumberFormat="1" applyFont="1" applyFill="1" applyBorder="1" applyAlignment="1" applyProtection="1">
      <alignment horizontal="right" vertical="center"/>
      <protection locked="0"/>
    </xf>
    <xf numFmtId="3" fontId="29" fillId="38" borderId="29" xfId="40" applyNumberFormat="1" applyFont="1" applyFill="1" applyBorder="1" applyAlignment="1" applyProtection="1">
      <alignment horizontal="right" vertical="center"/>
      <protection locked="0"/>
    </xf>
    <xf numFmtId="0" fontId="12" fillId="0" borderId="11" xfId="0" applyFont="1" applyFill="1" applyBorder="1" applyAlignment="1">
      <alignment horizontal="right" vertical="top"/>
    </xf>
    <xf numFmtId="0" fontId="12" fillId="0" borderId="23" xfId="53" applyFont="1" applyFill="1" applyBorder="1" applyAlignment="1">
      <alignment horizontal="left" vertical="center"/>
      <protection/>
    </xf>
    <xf numFmtId="204" fontId="12" fillId="0" borderId="23" xfId="0" applyNumberFormat="1" applyFont="1" applyFill="1" applyBorder="1" applyAlignment="1">
      <alignment vertical="center"/>
    </xf>
    <xf numFmtId="0" fontId="63" fillId="33" borderId="0" xfId="0" applyFont="1" applyFill="1" applyBorder="1" applyAlignment="1" applyProtection="1">
      <alignment horizontal="center" vertical="center" wrapText="1"/>
      <protection/>
    </xf>
    <xf numFmtId="0" fontId="64" fillId="33" borderId="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protection/>
    </xf>
    <xf numFmtId="0" fontId="66" fillId="33" borderId="0" xfId="0" applyFont="1" applyFill="1" applyBorder="1" applyAlignment="1" applyProtection="1">
      <alignment horizontal="left" vertical="center"/>
      <protection/>
    </xf>
    <xf numFmtId="0" fontId="67" fillId="33" borderId="0" xfId="0" applyFont="1" applyFill="1" applyAlignment="1" applyProtection="1">
      <alignment vertical="center"/>
      <protection/>
    </xf>
    <xf numFmtId="0" fontId="68" fillId="33" borderId="0" xfId="0" applyFont="1" applyFill="1" applyBorder="1" applyAlignment="1" applyProtection="1">
      <alignment vertical="center"/>
      <protection/>
    </xf>
    <xf numFmtId="0" fontId="12" fillId="0" borderId="11" xfId="0" applyNumberFormat="1" applyFont="1" applyFill="1" applyBorder="1" applyAlignment="1" applyProtection="1">
      <alignment horizontal="right" vertical="center"/>
      <protection/>
    </xf>
    <xf numFmtId="0" fontId="12" fillId="0" borderId="11" xfId="0" applyFont="1" applyFill="1" applyBorder="1" applyAlignment="1">
      <alignment horizontal="left"/>
    </xf>
    <xf numFmtId="0" fontId="12" fillId="0" borderId="11" xfId="0" applyFont="1" applyFill="1" applyBorder="1" applyAlignment="1" applyProtection="1">
      <alignment horizontal="left" vertical="center"/>
      <protection/>
    </xf>
    <xf numFmtId="4" fontId="29" fillId="38" borderId="11" xfId="0" applyNumberFormat="1" applyFont="1" applyFill="1" applyBorder="1" applyAlignment="1">
      <alignment vertical="center"/>
    </xf>
    <xf numFmtId="2" fontId="12" fillId="0" borderId="11" xfId="0" applyNumberFormat="1" applyFont="1" applyFill="1" applyBorder="1" applyAlignment="1">
      <alignment vertical="center"/>
    </xf>
    <xf numFmtId="4" fontId="12" fillId="0" borderId="11" xfId="0" applyNumberFormat="1" applyFont="1" applyFill="1" applyBorder="1" applyAlignment="1">
      <alignment vertical="center"/>
    </xf>
    <xf numFmtId="0" fontId="12" fillId="0" borderId="23" xfId="57" applyFont="1" applyFill="1" applyBorder="1" applyAlignment="1" applyProtection="1">
      <alignment horizontal="left" vertical="center"/>
      <protection/>
    </xf>
    <xf numFmtId="0" fontId="12" fillId="0" borderId="11" xfId="59" applyFont="1" applyFill="1" applyBorder="1" applyAlignment="1" applyProtection="1">
      <alignment horizontal="left" vertical="center"/>
      <protection locked="0"/>
    </xf>
    <xf numFmtId="190" fontId="12" fillId="0" borderId="11" xfId="59" applyNumberFormat="1" applyFont="1" applyFill="1" applyBorder="1" applyAlignment="1" applyProtection="1">
      <alignment horizontal="center" vertical="center"/>
      <protection locked="0"/>
    </xf>
    <xf numFmtId="0" fontId="12" fillId="0" borderId="11" xfId="59" applyFont="1" applyFill="1" applyBorder="1" applyAlignment="1" applyProtection="1">
      <alignment horizontal="right" vertical="center"/>
      <protection locked="0"/>
    </xf>
    <xf numFmtId="3" fontId="29" fillId="0" borderId="11" xfId="42" applyNumberFormat="1" applyFont="1" applyFill="1" applyBorder="1" applyAlignment="1" applyProtection="1">
      <alignment horizontal="right" vertical="center"/>
      <protection/>
    </xf>
    <xf numFmtId="190" fontId="12" fillId="0" borderId="11" xfId="59" applyNumberFormat="1" applyFont="1" applyFill="1" applyBorder="1" applyAlignment="1">
      <alignment horizontal="center" wrapText="1"/>
      <protection/>
    </xf>
    <xf numFmtId="14" fontId="12" fillId="0" borderId="11" xfId="59" applyNumberFormat="1" applyFont="1" applyFill="1" applyBorder="1" applyAlignment="1">
      <alignment horizontal="left"/>
      <protection/>
    </xf>
    <xf numFmtId="0" fontId="12" fillId="0" borderId="11" xfId="59" applyFont="1" applyFill="1" applyBorder="1" applyAlignment="1">
      <alignment horizontal="right"/>
      <protection/>
    </xf>
    <xf numFmtId="190" fontId="12" fillId="0"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right" vertical="center"/>
      <protection locked="0"/>
    </xf>
    <xf numFmtId="190" fontId="12" fillId="0" borderId="11" xfId="0" applyNumberFormat="1" applyFont="1" applyFill="1" applyBorder="1" applyAlignment="1" applyProtection="1">
      <alignment horizontal="center" vertical="center"/>
      <protection/>
    </xf>
    <xf numFmtId="49" fontId="12" fillId="0" borderId="11" xfId="59" applyNumberFormat="1" applyFont="1" applyFill="1" applyBorder="1" applyAlignment="1" applyProtection="1">
      <alignment horizontal="left" vertical="center"/>
      <protection locked="0"/>
    </xf>
    <xf numFmtId="0" fontId="12" fillId="0" borderId="11" xfId="59" applyNumberFormat="1" applyFont="1" applyFill="1" applyBorder="1" applyAlignment="1" applyProtection="1">
      <alignment horizontal="right" vertical="center"/>
      <protection locked="0"/>
    </xf>
    <xf numFmtId="194" fontId="12" fillId="0" borderId="11" xfId="0" applyNumberFormat="1" applyFont="1" applyFill="1" applyBorder="1" applyAlignment="1">
      <alignment horizontal="center"/>
    </xf>
    <xf numFmtId="0" fontId="12" fillId="0" borderId="11" xfId="59" applyNumberFormat="1" applyFont="1" applyFill="1" applyBorder="1" applyAlignment="1">
      <alignment horizontal="left" vertical="center"/>
      <protection/>
    </xf>
    <xf numFmtId="0" fontId="12" fillId="0" borderId="11" xfId="59" applyNumberFormat="1" applyFont="1" applyFill="1" applyBorder="1" applyAlignment="1">
      <alignment horizontal="right" vertical="center"/>
      <protection/>
    </xf>
    <xf numFmtId="0" fontId="12" fillId="0" borderId="11" xfId="59" applyNumberFormat="1" applyFont="1" applyFill="1" applyBorder="1" applyAlignment="1">
      <alignment horizontal="right" vertical="center"/>
      <protection/>
    </xf>
    <xf numFmtId="0" fontId="21" fillId="34" borderId="45" xfId="0" applyFont="1" applyFill="1" applyBorder="1" applyAlignment="1" applyProtection="1">
      <alignment vertical="center"/>
      <protection/>
    </xf>
    <xf numFmtId="0" fontId="12" fillId="0" borderId="12" xfId="0" applyFont="1" applyFill="1" applyBorder="1" applyAlignment="1" applyProtection="1">
      <alignment vertical="center"/>
      <protection/>
    </xf>
    <xf numFmtId="0" fontId="12" fillId="0" borderId="12" xfId="0" applyFont="1" applyFill="1" applyBorder="1" applyAlignment="1" applyProtection="1">
      <alignment vertical="center"/>
      <protection locked="0"/>
    </xf>
    <xf numFmtId="3" fontId="12" fillId="0" borderId="12" xfId="73" applyNumberFormat="1" applyFont="1" applyFill="1" applyBorder="1" applyAlignment="1" applyProtection="1">
      <alignment vertical="center"/>
      <protection/>
    </xf>
    <xf numFmtId="4" fontId="12" fillId="0" borderId="12" xfId="73" applyNumberFormat="1" applyFont="1" applyFill="1" applyBorder="1" applyAlignment="1" applyProtection="1">
      <alignment vertical="center"/>
      <protection/>
    </xf>
    <xf numFmtId="4" fontId="12" fillId="0" borderId="12" xfId="40" applyNumberFormat="1" applyFont="1" applyFill="1" applyBorder="1" applyAlignment="1" applyProtection="1">
      <alignment vertical="center"/>
      <protection/>
    </xf>
    <xf numFmtId="192" fontId="12" fillId="0" borderId="12" xfId="73" applyNumberFormat="1" applyFont="1" applyFill="1" applyBorder="1" applyAlignment="1" applyProtection="1">
      <alignment vertical="center"/>
      <protection/>
    </xf>
    <xf numFmtId="0" fontId="12" fillId="0" borderId="11" xfId="0" applyFont="1" applyFill="1" applyBorder="1" applyAlignment="1" applyProtection="1">
      <alignment vertical="center"/>
      <protection/>
    </xf>
    <xf numFmtId="4" fontId="12" fillId="0" borderId="11" xfId="40" applyNumberFormat="1" applyFont="1" applyFill="1" applyBorder="1" applyAlignment="1">
      <alignment vertical="center"/>
    </xf>
    <xf numFmtId="3" fontId="12" fillId="0" borderId="11" xfId="40" applyNumberFormat="1" applyFont="1" applyFill="1" applyBorder="1" applyAlignment="1">
      <alignment vertical="center"/>
    </xf>
    <xf numFmtId="0" fontId="12" fillId="0" borderId="11" xfId="0" applyNumberFormat="1" applyFont="1" applyFill="1" applyBorder="1" applyAlignment="1" applyProtection="1">
      <alignment vertical="center"/>
      <protection/>
    </xf>
    <xf numFmtId="49" fontId="12" fillId="0" borderId="11" xfId="0" applyNumberFormat="1" applyFont="1" applyFill="1" applyBorder="1" applyAlignment="1" applyProtection="1">
      <alignment vertical="center"/>
      <protection/>
    </xf>
    <xf numFmtId="204" fontId="12" fillId="0" borderId="11" xfId="0" applyNumberFormat="1" applyFont="1" applyFill="1" applyBorder="1" applyAlignment="1" applyProtection="1">
      <alignment vertical="center"/>
      <protection/>
    </xf>
    <xf numFmtId="0" fontId="12" fillId="0" borderId="11" xfId="0" applyFont="1" applyFill="1" applyBorder="1" applyAlignment="1">
      <alignment vertical="center" shrinkToFit="1"/>
    </xf>
    <xf numFmtId="3" fontId="12" fillId="0" borderId="11" xfId="74" applyNumberFormat="1" applyFont="1" applyFill="1" applyBorder="1" applyAlignment="1" applyProtection="1">
      <alignment vertical="center"/>
      <protection/>
    </xf>
    <xf numFmtId="0" fontId="12" fillId="0" borderId="11" xfId="0" applyFont="1" applyFill="1" applyBorder="1" applyAlignment="1" applyProtection="1">
      <alignment vertical="center"/>
      <protection/>
    </xf>
    <xf numFmtId="0" fontId="12" fillId="0" borderId="11" xfId="57" applyFont="1" applyFill="1" applyBorder="1" applyAlignment="1" applyProtection="1">
      <alignment vertical="center"/>
      <protection/>
    </xf>
    <xf numFmtId="0" fontId="12" fillId="0" borderId="11" xfId="0" applyFont="1" applyFill="1" applyBorder="1" applyAlignment="1">
      <alignment vertical="center"/>
    </xf>
    <xf numFmtId="0" fontId="12" fillId="0" borderId="11" xfId="0" applyFont="1" applyFill="1" applyBorder="1" applyAlignment="1" applyProtection="1">
      <alignment vertical="center"/>
      <protection/>
    </xf>
    <xf numFmtId="4" fontId="12" fillId="0" borderId="11" xfId="43" applyNumberFormat="1" applyFont="1" applyFill="1" applyBorder="1" applyAlignment="1" applyProtection="1">
      <alignment vertical="center"/>
      <protection/>
    </xf>
    <xf numFmtId="3" fontId="12" fillId="0" borderId="11" xfId="0" applyNumberFormat="1" applyFont="1" applyFill="1" applyBorder="1" applyAlignment="1">
      <alignment vertical="center"/>
    </xf>
    <xf numFmtId="4" fontId="12" fillId="0" borderId="11" xfId="0" applyNumberFormat="1" applyFont="1" applyFill="1" applyBorder="1" applyAlignment="1">
      <alignment vertical="center"/>
    </xf>
    <xf numFmtId="4" fontId="12" fillId="0" borderId="11" xfId="53" applyNumberFormat="1" applyFont="1" applyFill="1" applyBorder="1" applyAlignment="1" applyProtection="1">
      <alignment vertical="center"/>
      <protection/>
    </xf>
    <xf numFmtId="3" fontId="12" fillId="0" borderId="11" xfId="53" applyNumberFormat="1" applyFont="1" applyFill="1" applyBorder="1" applyAlignment="1" applyProtection="1">
      <alignment vertical="center"/>
      <protection/>
    </xf>
    <xf numFmtId="0" fontId="12" fillId="0" borderId="11" xfId="0" applyFont="1" applyFill="1" applyBorder="1" applyAlignment="1">
      <alignment vertical="center"/>
    </xf>
    <xf numFmtId="0" fontId="12" fillId="0" borderId="12" xfId="0" applyFont="1" applyFill="1" applyBorder="1" applyAlignment="1">
      <alignment vertical="center"/>
    </xf>
    <xf numFmtId="3" fontId="29" fillId="0" borderId="11" xfId="0" applyNumberFormat="1" applyFont="1" applyFill="1" applyBorder="1" applyAlignment="1">
      <alignment horizontal="right" vertical="center"/>
    </xf>
    <xf numFmtId="49" fontId="12" fillId="37" borderId="23" xfId="0" applyNumberFormat="1" applyFont="1" applyFill="1" applyBorder="1" applyAlignment="1">
      <alignment horizontal="left" vertical="center" shrinkToFit="1"/>
    </xf>
    <xf numFmtId="0" fontId="12" fillId="0" borderId="23" xfId="0" applyFont="1" applyFill="1" applyBorder="1" applyAlignment="1">
      <alignment vertical="center"/>
    </xf>
    <xf numFmtId="0" fontId="12" fillId="0" borderId="23" xfId="0" applyNumberFormat="1" applyFont="1" applyFill="1" applyBorder="1" applyAlignment="1" applyProtection="1">
      <alignment vertical="center"/>
      <protection/>
    </xf>
    <xf numFmtId="0" fontId="12" fillId="0" borderId="23" xfId="57" applyFont="1" applyFill="1" applyBorder="1" applyAlignment="1" applyProtection="1">
      <alignment vertical="center"/>
      <protection/>
    </xf>
    <xf numFmtId="0" fontId="12" fillId="0" borderId="23" xfId="0" applyNumberFormat="1" applyFont="1" applyFill="1" applyBorder="1" applyAlignment="1">
      <alignment horizontal="left" vertical="center"/>
    </xf>
    <xf numFmtId="4" fontId="29" fillId="38" borderId="11" xfId="0" applyNumberFormat="1" applyFont="1" applyFill="1" applyBorder="1" applyAlignment="1">
      <alignment horizontal="right"/>
    </xf>
    <xf numFmtId="2" fontId="12" fillId="0" borderId="11" xfId="0" applyNumberFormat="1" applyFont="1" applyFill="1" applyBorder="1" applyAlignment="1">
      <alignment horizontal="right"/>
    </xf>
    <xf numFmtId="2" fontId="12" fillId="0" borderId="25" xfId="0" applyNumberFormat="1" applyFont="1" applyFill="1" applyBorder="1" applyAlignment="1">
      <alignment horizontal="right"/>
    </xf>
    <xf numFmtId="0" fontId="12" fillId="0" borderId="19" xfId="57" applyFont="1" applyFill="1" applyBorder="1" applyAlignment="1" applyProtection="1">
      <alignment vertical="center"/>
      <protection/>
    </xf>
    <xf numFmtId="0" fontId="12" fillId="0" borderId="23" xfId="0" applyFont="1" applyFill="1" applyBorder="1" applyAlignment="1" applyProtection="1">
      <alignment vertical="center"/>
      <protection/>
    </xf>
    <xf numFmtId="204" fontId="12" fillId="0" borderId="23" xfId="0" applyNumberFormat="1" applyFont="1" applyFill="1" applyBorder="1" applyAlignment="1">
      <alignment vertical="center" shrinkToFit="1"/>
    </xf>
    <xf numFmtId="0" fontId="12" fillId="0" borderId="23" xfId="0" applyFont="1" applyFill="1" applyBorder="1" applyAlignment="1" applyProtection="1">
      <alignment vertical="center"/>
      <protection/>
    </xf>
    <xf numFmtId="204" fontId="12" fillId="0" borderId="23" xfId="0" applyNumberFormat="1" applyFont="1" applyFill="1" applyBorder="1" applyAlignment="1" applyProtection="1">
      <alignment vertical="center"/>
      <protection/>
    </xf>
    <xf numFmtId="0" fontId="12" fillId="0" borderId="23" xfId="59" applyFont="1" applyFill="1" applyBorder="1" applyAlignment="1" applyProtection="1">
      <alignment horizontal="left" vertical="center"/>
      <protection locked="0"/>
    </xf>
    <xf numFmtId="49" fontId="12" fillId="0" borderId="23" xfId="0" applyNumberFormat="1" applyFont="1" applyFill="1" applyBorder="1" applyAlignment="1">
      <alignment horizontal="left" vertical="center" shrinkToFit="1"/>
    </xf>
    <xf numFmtId="0" fontId="12" fillId="0" borderId="23" xfId="59" applyFont="1" applyFill="1" applyBorder="1" applyAlignment="1">
      <alignment horizontal="left"/>
      <protection/>
    </xf>
    <xf numFmtId="49" fontId="12" fillId="0" borderId="23" xfId="0" applyNumberFormat="1" applyFont="1" applyFill="1" applyBorder="1" applyAlignment="1" applyProtection="1">
      <alignment horizontal="left" vertical="center"/>
      <protection locked="0"/>
    </xf>
    <xf numFmtId="0" fontId="12" fillId="0" borderId="23" xfId="59" applyNumberFormat="1" applyFont="1" applyFill="1" applyBorder="1" applyAlignment="1" applyProtection="1">
      <alignment horizontal="left" vertical="center"/>
      <protection locked="0"/>
    </xf>
    <xf numFmtId="0" fontId="12" fillId="0" borderId="23" xfId="0" applyFont="1" applyFill="1" applyBorder="1" applyAlignment="1">
      <alignment/>
    </xf>
    <xf numFmtId="0" fontId="12" fillId="0" borderId="23" xfId="59" applyNumberFormat="1" applyFont="1" applyFill="1" applyBorder="1" applyAlignment="1">
      <alignment horizontal="left" vertical="center"/>
      <protection/>
    </xf>
    <xf numFmtId="0" fontId="12" fillId="0" borderId="11" xfId="0" applyNumberFormat="1" applyFont="1" applyFill="1" applyBorder="1" applyAlignment="1">
      <alignment vertical="center"/>
    </xf>
    <xf numFmtId="4" fontId="29" fillId="0" borderId="11" xfId="53" applyNumberFormat="1" applyFont="1" applyFill="1" applyBorder="1" applyAlignment="1" applyProtection="1">
      <alignment vertical="center"/>
      <protection locked="0"/>
    </xf>
    <xf numFmtId="3" fontId="29" fillId="0" borderId="11" xfId="53" applyNumberFormat="1" applyFont="1" applyFill="1" applyBorder="1" applyAlignment="1" applyProtection="1">
      <alignment vertical="center"/>
      <protection locked="0"/>
    </xf>
    <xf numFmtId="4" fontId="29" fillId="0" borderId="11" xfId="0" applyNumberFormat="1" applyFont="1" applyFill="1" applyBorder="1" applyAlignment="1">
      <alignment vertical="center"/>
    </xf>
    <xf numFmtId="3" fontId="29" fillId="0" borderId="11" xfId="0" applyNumberFormat="1" applyFont="1" applyFill="1" applyBorder="1" applyAlignment="1">
      <alignment vertical="center"/>
    </xf>
    <xf numFmtId="4" fontId="29" fillId="0" borderId="11" xfId="40" applyNumberFormat="1" applyFont="1" applyFill="1" applyBorder="1" applyAlignment="1" applyProtection="1">
      <alignment vertical="center"/>
      <protection/>
    </xf>
    <xf numFmtId="4" fontId="29" fillId="0" borderId="11" xfId="40" applyNumberFormat="1" applyFont="1" applyFill="1" applyBorder="1" applyAlignment="1" applyProtection="1">
      <alignment vertical="center"/>
      <protection locked="0"/>
    </xf>
    <xf numFmtId="3" fontId="29" fillId="0" borderId="11" xfId="40" applyNumberFormat="1" applyFont="1" applyFill="1" applyBorder="1" applyAlignment="1" applyProtection="1">
      <alignment vertical="center"/>
      <protection locked="0"/>
    </xf>
    <xf numFmtId="3" fontId="12" fillId="0" borderId="11" xfId="0" applyNumberFormat="1" applyFont="1" applyFill="1" applyBorder="1" applyAlignment="1">
      <alignment vertical="center" wrapText="1"/>
    </xf>
    <xf numFmtId="4" fontId="12" fillId="0" borderId="11" xfId="0" applyNumberFormat="1" applyFont="1" applyFill="1" applyBorder="1" applyAlignment="1">
      <alignment vertical="center" wrapText="1"/>
    </xf>
    <xf numFmtId="4" fontId="12" fillId="0" borderId="12" xfId="42" applyNumberFormat="1" applyFont="1" applyFill="1" applyBorder="1" applyAlignment="1" applyProtection="1">
      <alignment vertical="center"/>
      <protection locked="0"/>
    </xf>
    <xf numFmtId="3" fontId="12" fillId="0" borderId="12" xfId="42" applyNumberFormat="1" applyFont="1" applyFill="1" applyBorder="1" applyAlignment="1" applyProtection="1">
      <alignment vertical="center"/>
      <protection locked="0"/>
    </xf>
    <xf numFmtId="4" fontId="12" fillId="0" borderId="32" xfId="73" applyNumberFormat="1" applyFont="1" applyFill="1" applyBorder="1" applyAlignment="1" applyProtection="1">
      <alignment vertical="center"/>
      <protection/>
    </xf>
    <xf numFmtId="4" fontId="12" fillId="0" borderId="25" xfId="40" applyNumberFormat="1" applyFont="1" applyFill="1" applyBorder="1" applyAlignment="1" applyProtection="1">
      <alignment vertical="center"/>
      <protection/>
    </xf>
    <xf numFmtId="4" fontId="12" fillId="0" borderId="25" xfId="0" applyNumberFormat="1" applyFont="1" applyFill="1" applyBorder="1" applyAlignment="1" applyProtection="1">
      <alignment vertical="center"/>
      <protection/>
    </xf>
    <xf numFmtId="190" fontId="12" fillId="0" borderId="11" xfId="0" applyNumberFormat="1" applyFont="1" applyFill="1" applyBorder="1" applyAlignment="1">
      <alignment horizontal="center" vertical="center" wrapText="1"/>
    </xf>
    <xf numFmtId="4" fontId="29" fillId="39" borderId="12" xfId="42" applyNumberFormat="1" applyFont="1" applyFill="1" applyBorder="1" applyAlignment="1" applyProtection="1">
      <alignment vertical="center"/>
      <protection locked="0"/>
    </xf>
    <xf numFmtId="3" fontId="29" fillId="39" borderId="12" xfId="42" applyNumberFormat="1" applyFont="1" applyFill="1" applyBorder="1" applyAlignment="1" applyProtection="1">
      <alignment vertical="center"/>
      <protection locked="0"/>
    </xf>
    <xf numFmtId="4" fontId="29" fillId="39" borderId="11" xfId="0" applyNumberFormat="1" applyFont="1" applyFill="1" applyBorder="1" applyAlignment="1">
      <alignment vertical="center"/>
    </xf>
    <xf numFmtId="3" fontId="29" fillId="39" borderId="11" xfId="0" applyNumberFormat="1" applyFont="1" applyFill="1" applyBorder="1" applyAlignment="1">
      <alignment vertical="center"/>
    </xf>
    <xf numFmtId="4" fontId="29" fillId="39" borderId="11" xfId="43" applyNumberFormat="1" applyFont="1" applyFill="1" applyBorder="1" applyAlignment="1" applyProtection="1">
      <alignment vertical="center"/>
      <protection locked="0"/>
    </xf>
    <xf numFmtId="3" fontId="29" fillId="39" borderId="11" xfId="43" applyNumberFormat="1" applyFont="1" applyFill="1" applyBorder="1" applyAlignment="1" applyProtection="1">
      <alignment vertical="center"/>
      <protection locked="0"/>
    </xf>
    <xf numFmtId="4" fontId="29" fillId="39" borderId="11" xfId="40" applyNumberFormat="1" applyFont="1" applyFill="1" applyBorder="1" applyAlignment="1" applyProtection="1">
      <alignment vertical="center"/>
      <protection locked="0"/>
    </xf>
    <xf numFmtId="3" fontId="29" fillId="39" borderId="11" xfId="40" applyNumberFormat="1" applyFont="1" applyFill="1" applyBorder="1" applyAlignment="1" applyProtection="1">
      <alignment vertical="center"/>
      <protection locked="0"/>
    </xf>
    <xf numFmtId="4" fontId="29" fillId="39" borderId="11" xfId="0" applyNumberFormat="1" applyFont="1" applyFill="1" applyBorder="1" applyAlignment="1">
      <alignment vertical="center"/>
    </xf>
    <xf numFmtId="3" fontId="29" fillId="39" borderId="11" xfId="0" applyNumberFormat="1" applyFont="1" applyFill="1" applyBorder="1" applyAlignment="1">
      <alignment vertical="center"/>
    </xf>
    <xf numFmtId="4" fontId="29" fillId="39" borderId="11" xfId="42" applyNumberFormat="1" applyFont="1" applyFill="1" applyBorder="1" applyAlignment="1" applyProtection="1">
      <alignment vertical="center"/>
      <protection locked="0"/>
    </xf>
    <xf numFmtId="3" fontId="29" fillId="39" borderId="11" xfId="42" applyNumberFormat="1" applyFont="1" applyFill="1" applyBorder="1" applyAlignment="1" applyProtection="1">
      <alignment vertical="center"/>
      <protection locked="0"/>
    </xf>
    <xf numFmtId="4" fontId="29" fillId="39" borderId="11" xfId="40" applyNumberFormat="1" applyFont="1" applyFill="1" applyBorder="1" applyAlignment="1" applyProtection="1">
      <alignment vertical="center"/>
      <protection/>
    </xf>
    <xf numFmtId="3" fontId="29" fillId="39" borderId="11" xfId="40" applyNumberFormat="1" applyFont="1" applyFill="1" applyBorder="1" applyAlignment="1" applyProtection="1">
      <alignment vertical="center"/>
      <protection/>
    </xf>
    <xf numFmtId="0" fontId="12" fillId="0" borderId="23" xfId="0" applyFont="1" applyFill="1" applyBorder="1" applyAlignment="1">
      <alignment horizontal="left"/>
    </xf>
    <xf numFmtId="0" fontId="12" fillId="0" borderId="23" xfId="0" applyFont="1" applyFill="1" applyBorder="1" applyAlignment="1">
      <alignment horizontal="left" vertical="center"/>
    </xf>
    <xf numFmtId="4" fontId="29" fillId="38" borderId="11" xfId="0" applyNumberFormat="1" applyFont="1" applyFill="1" applyBorder="1" applyAlignment="1">
      <alignment vertical="center" wrapText="1"/>
    </xf>
    <xf numFmtId="4" fontId="29" fillId="0" borderId="11" xfId="0" applyNumberFormat="1" applyFont="1" applyFill="1" applyBorder="1" applyAlignment="1">
      <alignment vertical="center" wrapText="1"/>
    </xf>
    <xf numFmtId="4" fontId="29" fillId="0" borderId="11" xfId="43" applyNumberFormat="1" applyFont="1" applyFill="1" applyBorder="1" applyAlignment="1" applyProtection="1">
      <alignment vertical="center"/>
      <protection locked="0"/>
    </xf>
    <xf numFmtId="3" fontId="29" fillId="0" borderId="11" xfId="43" applyNumberFormat="1" applyFont="1" applyFill="1" applyBorder="1" applyAlignment="1" applyProtection="1">
      <alignment vertical="center"/>
      <protection locked="0"/>
    </xf>
    <xf numFmtId="3" fontId="29" fillId="0" borderId="11" xfId="59" applyNumberFormat="1" applyFont="1" applyFill="1" applyBorder="1" applyAlignment="1">
      <alignment horizontal="right" vertical="center"/>
      <protection/>
    </xf>
    <xf numFmtId="4" fontId="29" fillId="0" borderId="12" xfId="0" applyNumberFormat="1" applyFont="1" applyFill="1" applyBorder="1" applyAlignment="1">
      <alignment vertical="center"/>
    </xf>
    <xf numFmtId="3" fontId="29" fillId="0" borderId="12" xfId="0" applyNumberFormat="1" applyFont="1" applyFill="1" applyBorder="1" applyAlignment="1">
      <alignment vertical="center"/>
    </xf>
    <xf numFmtId="0" fontId="12" fillId="0" borderId="31" xfId="0" applyFont="1" applyFill="1" applyBorder="1" applyAlignment="1" applyProtection="1">
      <alignment vertical="center"/>
      <protection/>
    </xf>
    <xf numFmtId="0" fontId="12" fillId="0" borderId="29" xfId="0" applyFont="1" applyFill="1" applyBorder="1" applyAlignment="1" applyProtection="1">
      <alignment vertical="center"/>
      <protection/>
    </xf>
    <xf numFmtId="0" fontId="12" fillId="0" borderId="29" xfId="0" applyFont="1" applyFill="1" applyBorder="1" applyAlignment="1">
      <alignment vertical="center"/>
    </xf>
    <xf numFmtId="4" fontId="29" fillId="0" borderId="29" xfId="0" applyNumberFormat="1" applyFont="1" applyFill="1" applyBorder="1" applyAlignment="1">
      <alignment vertical="center"/>
    </xf>
    <xf numFmtId="3" fontId="29" fillId="0" borderId="29" xfId="0" applyNumberFormat="1" applyFont="1" applyFill="1" applyBorder="1" applyAlignment="1">
      <alignment vertical="center"/>
    </xf>
    <xf numFmtId="4" fontId="12" fillId="0" borderId="44" xfId="73" applyNumberFormat="1" applyFont="1" applyFill="1" applyBorder="1" applyAlignment="1" applyProtection="1">
      <alignment vertical="center"/>
      <protection/>
    </xf>
    <xf numFmtId="4" fontId="12" fillId="0" borderId="29" xfId="73" applyNumberFormat="1" applyFont="1" applyFill="1" applyBorder="1" applyAlignment="1" applyProtection="1">
      <alignment vertical="center"/>
      <protection/>
    </xf>
    <xf numFmtId="192" fontId="12" fillId="0" borderId="29" xfId="73" applyNumberFormat="1" applyFont="1" applyFill="1" applyBorder="1" applyAlignment="1" applyProtection="1">
      <alignment vertical="center"/>
      <protection/>
    </xf>
    <xf numFmtId="3" fontId="12" fillId="0" borderId="29" xfId="73" applyNumberFormat="1" applyFont="1" applyFill="1" applyBorder="1" applyAlignment="1" applyProtection="1">
      <alignment vertical="center"/>
      <protection/>
    </xf>
    <xf numFmtId="190" fontId="12" fillId="0" borderId="11" xfId="0" applyNumberFormat="1" applyFont="1" applyFill="1" applyBorder="1" applyAlignment="1">
      <alignment horizontal="center" vertical="center"/>
    </xf>
    <xf numFmtId="4" fontId="12" fillId="0" borderId="32" xfId="0" applyNumberFormat="1" applyFont="1" applyFill="1" applyBorder="1" applyAlignment="1" applyProtection="1">
      <alignment vertical="center"/>
      <protection/>
    </xf>
    <xf numFmtId="4" fontId="12" fillId="0" borderId="11" xfId="0" applyNumberFormat="1" applyFont="1" applyFill="1" applyBorder="1" applyAlignment="1" applyProtection="1">
      <alignment horizontal="right" vertical="center"/>
      <protection/>
    </xf>
    <xf numFmtId="4" fontId="12" fillId="0" borderId="11" xfId="0" applyNumberFormat="1" applyFont="1" applyFill="1" applyBorder="1" applyAlignment="1">
      <alignment horizontal="right" wrapText="1"/>
    </xf>
    <xf numFmtId="0" fontId="21" fillId="34" borderId="46" xfId="0" applyFont="1" applyFill="1" applyBorder="1" applyAlignment="1" applyProtection="1">
      <alignment vertical="center"/>
      <protection/>
    </xf>
    <xf numFmtId="0" fontId="60" fillId="0" borderId="11" xfId="0" applyFont="1" applyFill="1" applyBorder="1" applyAlignment="1" applyProtection="1">
      <alignment vertical="center"/>
      <protection/>
    </xf>
    <xf numFmtId="4" fontId="29" fillId="40" borderId="11" xfId="40" applyNumberFormat="1" applyFont="1" applyFill="1" applyBorder="1" applyAlignment="1" applyProtection="1">
      <alignment vertical="center"/>
      <protection/>
    </xf>
    <xf numFmtId="3" fontId="29" fillId="40" borderId="11" xfId="40" applyNumberFormat="1" applyFont="1" applyFill="1" applyBorder="1" applyAlignment="1" applyProtection="1">
      <alignment vertical="center"/>
      <protection/>
    </xf>
    <xf numFmtId="0" fontId="59" fillId="33" borderId="11" xfId="0" applyFont="1" applyFill="1" applyBorder="1" applyAlignment="1" applyProtection="1">
      <alignment vertical="center"/>
      <protection/>
    </xf>
    <xf numFmtId="204" fontId="12" fillId="0" borderId="11" xfId="0" applyNumberFormat="1" applyFont="1" applyFill="1" applyBorder="1" applyAlignment="1">
      <alignment vertical="center"/>
    </xf>
    <xf numFmtId="190" fontId="12" fillId="0" borderId="11" xfId="0" applyNumberFormat="1" applyFont="1" applyFill="1" applyBorder="1" applyAlignment="1" applyProtection="1">
      <alignment vertical="center"/>
      <protection/>
    </xf>
    <xf numFmtId="4" fontId="12" fillId="0" borderId="11" xfId="43" applyNumberFormat="1" applyFont="1" applyFill="1" applyBorder="1" applyAlignment="1">
      <alignment vertical="center"/>
    </xf>
    <xf numFmtId="3" fontId="12" fillId="0" borderId="11" xfId="43" applyNumberFormat="1" applyFont="1" applyFill="1" applyBorder="1" applyAlignment="1">
      <alignment vertical="center"/>
    </xf>
    <xf numFmtId="0" fontId="73" fillId="33" borderId="11" xfId="0" applyFont="1" applyFill="1" applyBorder="1" applyAlignment="1" applyProtection="1">
      <alignment vertical="center"/>
      <protection/>
    </xf>
    <xf numFmtId="190" fontId="12" fillId="0" borderId="11" xfId="0" applyNumberFormat="1" applyFont="1" applyFill="1" applyBorder="1" applyAlignment="1" applyProtection="1">
      <alignment vertical="center"/>
      <protection/>
    </xf>
    <xf numFmtId="0" fontId="73" fillId="0" borderId="11" xfId="0" applyFont="1" applyFill="1" applyBorder="1" applyAlignment="1" applyProtection="1">
      <alignment vertical="center"/>
      <protection/>
    </xf>
    <xf numFmtId="4" fontId="29" fillId="40" borderId="11" xfId="0" applyNumberFormat="1" applyFont="1" applyFill="1" applyBorder="1" applyAlignment="1">
      <alignment vertical="center"/>
    </xf>
    <xf numFmtId="3" fontId="29" fillId="40" borderId="11" xfId="0" applyNumberFormat="1" applyFont="1" applyFill="1" applyBorder="1" applyAlignment="1">
      <alignment vertical="center"/>
    </xf>
    <xf numFmtId="190" fontId="12" fillId="0" borderId="11" xfId="0" applyNumberFormat="1" applyFont="1" applyFill="1" applyBorder="1" applyAlignment="1">
      <alignment vertical="center"/>
    </xf>
    <xf numFmtId="0" fontId="59" fillId="0" borderId="11" xfId="0" applyFont="1" applyFill="1" applyBorder="1" applyAlignment="1" applyProtection="1">
      <alignment vertical="center"/>
      <protection/>
    </xf>
    <xf numFmtId="0" fontId="60" fillId="36" borderId="11" xfId="0" applyFont="1" applyFill="1" applyBorder="1" applyAlignment="1" applyProtection="1">
      <alignment vertical="center"/>
      <protection/>
    </xf>
    <xf numFmtId="190" fontId="12" fillId="0" borderId="11" xfId="0" applyNumberFormat="1" applyFont="1" applyFill="1" applyBorder="1" applyAlignment="1" applyProtection="1">
      <alignment vertical="center"/>
      <protection/>
    </xf>
    <xf numFmtId="204" fontId="12" fillId="37" borderId="11" xfId="0" applyNumberFormat="1" applyFont="1" applyFill="1" applyBorder="1" applyAlignment="1">
      <alignment vertical="center"/>
    </xf>
    <xf numFmtId="190" fontId="12" fillId="37" borderId="11" xfId="0" applyNumberFormat="1" applyFont="1" applyFill="1" applyBorder="1" applyAlignment="1">
      <alignment vertical="center"/>
    </xf>
    <xf numFmtId="0" fontId="12" fillId="37" borderId="11" xfId="0" applyFont="1" applyFill="1" applyBorder="1" applyAlignment="1">
      <alignment vertical="center"/>
    </xf>
    <xf numFmtId="4" fontId="29" fillId="40" borderId="11" xfId="40" applyNumberFormat="1" applyFont="1" applyFill="1" applyBorder="1" applyAlignment="1">
      <alignment vertical="center"/>
    </xf>
    <xf numFmtId="3" fontId="29" fillId="40" borderId="11" xfId="40" applyNumberFormat="1" applyFont="1" applyFill="1" applyBorder="1" applyAlignment="1">
      <alignment vertical="center"/>
    </xf>
    <xf numFmtId="49" fontId="12" fillId="0" borderId="11" xfId="0" applyNumberFormat="1" applyFont="1" applyFill="1" applyBorder="1" applyAlignment="1">
      <alignment vertical="center"/>
    </xf>
    <xf numFmtId="190" fontId="12" fillId="0" borderId="11" xfId="0" applyNumberFormat="1" applyFont="1" applyFill="1" applyBorder="1" applyAlignment="1">
      <alignment vertical="center"/>
    </xf>
    <xf numFmtId="0" fontId="24" fillId="0" borderId="11" xfId="0" applyFont="1" applyFill="1" applyBorder="1" applyAlignment="1" applyProtection="1">
      <alignment vertical="center"/>
      <protection/>
    </xf>
    <xf numFmtId="0" fontId="9" fillId="33" borderId="11" xfId="0" applyFont="1" applyFill="1" applyBorder="1" applyAlignment="1" applyProtection="1">
      <alignment vertical="center"/>
      <protection/>
    </xf>
    <xf numFmtId="4" fontId="29" fillId="40" borderId="11" xfId="0" applyNumberFormat="1" applyFont="1" applyFill="1" applyBorder="1" applyAlignment="1">
      <alignment vertical="center"/>
    </xf>
    <xf numFmtId="3" fontId="29" fillId="40" borderId="11" xfId="0" applyNumberFormat="1" applyFont="1" applyFill="1" applyBorder="1" applyAlignment="1">
      <alignment vertical="center"/>
    </xf>
    <xf numFmtId="0" fontId="60" fillId="35" borderId="19" xfId="0" applyFont="1" applyFill="1" applyBorder="1" applyAlignment="1" applyProtection="1">
      <alignment vertical="center"/>
      <protection/>
    </xf>
    <xf numFmtId="0" fontId="60" fillId="0" borderId="12" xfId="0" applyFont="1" applyFill="1" applyBorder="1" applyAlignment="1" applyProtection="1">
      <alignment vertical="center"/>
      <protection/>
    </xf>
    <xf numFmtId="190" fontId="12" fillId="0" borderId="12" xfId="0" applyNumberFormat="1" applyFont="1" applyFill="1" applyBorder="1" applyAlignment="1" applyProtection="1">
      <alignment vertical="center"/>
      <protection locked="0"/>
    </xf>
    <xf numFmtId="4" fontId="12" fillId="0" borderId="12" xfId="40" applyNumberFormat="1" applyFont="1" applyFill="1" applyBorder="1" applyAlignment="1" applyProtection="1">
      <alignment vertical="center"/>
      <protection locked="0"/>
    </xf>
    <xf numFmtId="3" fontId="12" fillId="0" borderId="12" xfId="40" applyNumberFormat="1" applyFont="1" applyFill="1" applyBorder="1" applyAlignment="1" applyProtection="1">
      <alignment vertical="center"/>
      <protection locked="0"/>
    </xf>
    <xf numFmtId="4" fontId="29" fillId="40" borderId="12" xfId="40" applyNumberFormat="1" applyFont="1" applyFill="1" applyBorder="1" applyAlignment="1" applyProtection="1">
      <alignment vertical="center"/>
      <protection/>
    </xf>
    <xf numFmtId="3" fontId="29" fillId="40" borderId="12" xfId="40" applyNumberFormat="1" applyFont="1" applyFill="1" applyBorder="1" applyAlignment="1" applyProtection="1">
      <alignment vertical="center"/>
      <protection/>
    </xf>
    <xf numFmtId="0" fontId="60" fillId="35" borderId="23" xfId="0" applyFont="1" applyFill="1" applyBorder="1" applyAlignment="1" applyProtection="1">
      <alignment vertical="center"/>
      <protection/>
    </xf>
    <xf numFmtId="0" fontId="59" fillId="33" borderId="23" xfId="0" applyFont="1" applyFill="1" applyBorder="1" applyAlignment="1" applyProtection="1">
      <alignment vertical="center"/>
      <protection/>
    </xf>
    <xf numFmtId="0" fontId="59" fillId="33" borderId="23" xfId="57" applyFont="1" applyFill="1" applyBorder="1" applyAlignment="1" applyProtection="1">
      <alignment vertical="center"/>
      <protection/>
    </xf>
    <xf numFmtId="204" fontId="59" fillId="33" borderId="23" xfId="0" applyNumberFormat="1" applyFont="1" applyFill="1" applyBorder="1" applyAlignment="1" applyProtection="1">
      <alignment vertical="center"/>
      <protection/>
    </xf>
    <xf numFmtId="0" fontId="59" fillId="0" borderId="23" xfId="0" applyFont="1" applyFill="1" applyBorder="1" applyAlignment="1" applyProtection="1">
      <alignment vertical="center"/>
      <protection/>
    </xf>
    <xf numFmtId="0" fontId="29" fillId="33" borderId="23" xfId="0" applyFont="1" applyFill="1" applyBorder="1" applyAlignment="1" applyProtection="1">
      <alignment vertical="center"/>
      <protection/>
    </xf>
    <xf numFmtId="0" fontId="73" fillId="33" borderId="23" xfId="0" applyFont="1" applyFill="1" applyBorder="1" applyAlignment="1" applyProtection="1">
      <alignment vertical="center"/>
      <protection/>
    </xf>
    <xf numFmtId="0" fontId="12" fillId="33" borderId="23" xfId="0" applyFont="1" applyFill="1" applyBorder="1" applyAlignment="1" applyProtection="1">
      <alignment vertical="center"/>
      <protection/>
    </xf>
    <xf numFmtId="0" fontId="59" fillId="33" borderId="23" xfId="0" applyNumberFormat="1" applyFont="1" applyFill="1" applyBorder="1" applyAlignment="1" applyProtection="1">
      <alignment vertical="center"/>
      <protection/>
    </xf>
    <xf numFmtId="0" fontId="59" fillId="33" borderId="23" xfId="0" applyFont="1" applyFill="1" applyBorder="1" applyAlignment="1" applyProtection="1">
      <alignment vertical="center"/>
      <protection/>
    </xf>
    <xf numFmtId="0" fontId="23" fillId="33" borderId="23" xfId="0" applyNumberFormat="1" applyFont="1" applyFill="1" applyBorder="1" applyAlignment="1" applyProtection="1">
      <alignment vertical="center"/>
      <protection/>
    </xf>
    <xf numFmtId="0" fontId="59" fillId="0" borderId="23" xfId="57" applyFont="1" applyFill="1" applyBorder="1" applyAlignment="1" applyProtection="1">
      <alignment vertical="center"/>
      <protection/>
    </xf>
    <xf numFmtId="204" fontId="59" fillId="33" borderId="31" xfId="0" applyNumberFormat="1" applyFont="1" applyFill="1" applyBorder="1" applyAlignment="1" applyProtection="1">
      <alignment vertical="center"/>
      <protection/>
    </xf>
    <xf numFmtId="0" fontId="59" fillId="33" borderId="29" xfId="0" applyFont="1" applyFill="1" applyBorder="1" applyAlignment="1" applyProtection="1">
      <alignment vertical="center"/>
      <protection/>
    </xf>
    <xf numFmtId="0" fontId="12" fillId="0" borderId="29" xfId="0" applyNumberFormat="1" applyFont="1" applyFill="1" applyBorder="1" applyAlignment="1" applyProtection="1">
      <alignment vertical="center"/>
      <protection/>
    </xf>
    <xf numFmtId="190" fontId="12" fillId="0" borderId="29" xfId="0" applyNumberFormat="1" applyFont="1" applyFill="1" applyBorder="1" applyAlignment="1" applyProtection="1">
      <alignment vertical="center"/>
      <protection/>
    </xf>
    <xf numFmtId="49" fontId="12" fillId="0" borderId="29" xfId="0" applyNumberFormat="1" applyFont="1" applyFill="1" applyBorder="1" applyAlignment="1" applyProtection="1">
      <alignment vertical="center"/>
      <protection/>
    </xf>
    <xf numFmtId="4" fontId="12" fillId="0" borderId="29" xfId="40" applyNumberFormat="1" applyFont="1" applyFill="1" applyBorder="1" applyAlignment="1">
      <alignment vertical="center"/>
    </xf>
    <xf numFmtId="3" fontId="12" fillId="0" borderId="29" xfId="40" applyNumberFormat="1" applyFont="1" applyFill="1" applyBorder="1" applyAlignment="1">
      <alignment vertical="center"/>
    </xf>
    <xf numFmtId="4" fontId="29" fillId="40" borderId="29" xfId="40" applyNumberFormat="1" applyFont="1" applyFill="1" applyBorder="1" applyAlignment="1">
      <alignment vertical="center"/>
    </xf>
    <xf numFmtId="3" fontId="29" fillId="40" borderId="29" xfId="40" applyNumberFormat="1" applyFont="1" applyFill="1" applyBorder="1" applyAlignment="1">
      <alignment vertical="center"/>
    </xf>
    <xf numFmtId="3" fontId="12" fillId="0" borderId="29" xfId="0" applyNumberFormat="1" applyFont="1" applyFill="1" applyBorder="1" applyAlignment="1">
      <alignment vertical="center"/>
    </xf>
    <xf numFmtId="4" fontId="12" fillId="0" borderId="29" xfId="0" applyNumberFormat="1" applyFont="1" applyFill="1" applyBorder="1" applyAlignment="1">
      <alignment vertical="center"/>
    </xf>
    <xf numFmtId="4" fontId="29" fillId="39" borderId="11" xfId="53" applyNumberFormat="1" applyFont="1" applyFill="1" applyBorder="1" applyAlignment="1" applyProtection="1">
      <alignment vertical="center"/>
      <protection/>
    </xf>
    <xf numFmtId="3" fontId="29" fillId="39" borderId="11" xfId="53" applyNumberFormat="1" applyFont="1" applyFill="1" applyBorder="1" applyAlignment="1" applyProtection="1">
      <alignment vertical="center"/>
      <protection/>
    </xf>
    <xf numFmtId="3" fontId="29" fillId="39" borderId="11" xfId="0" applyNumberFormat="1" applyFont="1" applyFill="1" applyBorder="1" applyAlignment="1">
      <alignment vertical="center"/>
    </xf>
    <xf numFmtId="4" fontId="29" fillId="39" borderId="11" xfId="0" applyNumberFormat="1" applyFont="1" applyFill="1" applyBorder="1" applyAlignment="1">
      <alignment vertical="center"/>
    </xf>
    <xf numFmtId="4" fontId="29" fillId="39" borderId="29" xfId="0" applyNumberFormat="1" applyFont="1" applyFill="1" applyBorder="1" applyAlignment="1">
      <alignment vertical="center"/>
    </xf>
    <xf numFmtId="3" fontId="29" fillId="39" borderId="29" xfId="0" applyNumberFormat="1" applyFont="1" applyFill="1" applyBorder="1" applyAlignment="1">
      <alignment vertical="center"/>
    </xf>
    <xf numFmtId="190" fontId="12" fillId="0" borderId="11" xfId="0" applyNumberFormat="1" applyFont="1" applyBorder="1" applyAlignment="1" applyProtection="1">
      <alignment vertical="center"/>
      <protection locked="0"/>
    </xf>
    <xf numFmtId="0" fontId="12" fillId="0" borderId="11" xfId="0" applyFont="1" applyBorder="1" applyAlignment="1" applyProtection="1">
      <alignment vertical="center"/>
      <protection locked="0"/>
    </xf>
    <xf numFmtId="0" fontId="12" fillId="0" borderId="23" xfId="60" applyFont="1" applyFill="1" applyBorder="1" applyAlignment="1">
      <alignment horizontal="left" vertical="center"/>
      <protection/>
    </xf>
    <xf numFmtId="0" fontId="12" fillId="33" borderId="23" xfId="0" applyFont="1" applyFill="1" applyBorder="1" applyAlignment="1">
      <alignment horizontal="left" vertical="center"/>
    </xf>
    <xf numFmtId="204" fontId="12" fillId="37" borderId="23" xfId="0" applyNumberFormat="1" applyFont="1" applyFill="1" applyBorder="1" applyAlignment="1">
      <alignment vertical="center"/>
    </xf>
    <xf numFmtId="0" fontId="12" fillId="0" borderId="23" xfId="0" applyFont="1" applyFill="1" applyBorder="1" applyAlignment="1" applyProtection="1">
      <alignment horizontal="left" vertical="center"/>
      <protection/>
    </xf>
    <xf numFmtId="0" fontId="12" fillId="33" borderId="23" xfId="0" applyFont="1" applyFill="1" applyBorder="1" applyAlignment="1">
      <alignment horizontal="left"/>
    </xf>
    <xf numFmtId="190" fontId="12" fillId="0" borderId="11" xfId="60" applyNumberFormat="1" applyFont="1" applyFill="1" applyBorder="1" applyAlignment="1">
      <alignment horizontal="center" vertical="center"/>
      <protection/>
    </xf>
    <xf numFmtId="14" fontId="12" fillId="0" borderId="11" xfId="60" applyNumberFormat="1" applyFont="1" applyFill="1" applyBorder="1" applyAlignment="1">
      <alignment horizontal="left" vertical="center"/>
      <protection/>
    </xf>
    <xf numFmtId="0" fontId="58" fillId="0" borderId="11" xfId="0" applyFont="1" applyFill="1" applyBorder="1" applyAlignment="1" applyProtection="1">
      <alignment horizontal="right" vertical="center"/>
      <protection locked="0"/>
    </xf>
    <xf numFmtId="0" fontId="12" fillId="0" borderId="11" xfId="60" applyFont="1" applyFill="1" applyBorder="1" applyAlignment="1">
      <alignment horizontal="right" vertical="center"/>
      <protection/>
    </xf>
    <xf numFmtId="0" fontId="58" fillId="0" borderId="11" xfId="0" applyFont="1" applyFill="1" applyBorder="1" applyAlignment="1" applyProtection="1">
      <alignment horizontal="right" vertical="center"/>
      <protection/>
    </xf>
    <xf numFmtId="0" fontId="62" fillId="0" borderId="11" xfId="0" applyNumberFormat="1" applyFont="1" applyFill="1" applyBorder="1" applyAlignment="1">
      <alignment horizontal="right" vertical="center"/>
    </xf>
    <xf numFmtId="4" fontId="29" fillId="38" borderId="11" xfId="0" applyNumberFormat="1" applyFont="1" applyFill="1" applyBorder="1" applyAlignment="1">
      <alignment horizontal="right" wrapText="1"/>
    </xf>
    <xf numFmtId="4" fontId="29" fillId="38" borderId="11" xfId="60" applyNumberFormat="1" applyFont="1" applyFill="1" applyBorder="1" applyAlignment="1">
      <alignment horizontal="right" vertical="center"/>
      <protection/>
    </xf>
    <xf numFmtId="4" fontId="29" fillId="38" borderId="11" xfId="0" applyNumberFormat="1" applyFont="1" applyFill="1" applyBorder="1" applyAlignment="1" applyProtection="1">
      <alignment horizontal="right" vertical="center"/>
      <protection/>
    </xf>
    <xf numFmtId="3" fontId="29" fillId="38" borderId="11" xfId="60" applyNumberFormat="1" applyFont="1" applyFill="1" applyBorder="1" applyAlignment="1">
      <alignment horizontal="right" vertical="center"/>
      <protection/>
    </xf>
    <xf numFmtId="3" fontId="29" fillId="38" borderId="11" xfId="0" applyNumberFormat="1" applyFont="1" applyFill="1" applyBorder="1" applyAlignment="1" applyProtection="1">
      <alignment horizontal="right" vertical="center"/>
      <protection/>
    </xf>
    <xf numFmtId="3" fontId="29" fillId="38" borderId="11" xfId="0" applyNumberFormat="1" applyFont="1" applyFill="1" applyBorder="1" applyAlignment="1">
      <alignment vertical="center"/>
    </xf>
    <xf numFmtId="3" fontId="12" fillId="0" borderId="11" xfId="42" applyNumberFormat="1" applyFont="1" applyFill="1" applyBorder="1" applyAlignment="1" applyProtection="1">
      <alignment vertical="center"/>
      <protection/>
    </xf>
    <xf numFmtId="193" fontId="12" fillId="0" borderId="11" xfId="0" applyNumberFormat="1" applyFont="1" applyFill="1" applyBorder="1" applyAlignment="1">
      <alignment horizontal="right" vertical="center"/>
    </xf>
    <xf numFmtId="4" fontId="12" fillId="0" borderId="11" xfId="60" applyNumberFormat="1" applyFont="1" applyFill="1" applyBorder="1" applyAlignment="1">
      <alignment horizontal="right" vertical="center"/>
      <protection/>
    </xf>
    <xf numFmtId="3" fontId="12" fillId="0" borderId="11" xfId="60" applyNumberFormat="1" applyFont="1" applyFill="1" applyBorder="1" applyAlignment="1">
      <alignment horizontal="right" vertical="center"/>
      <protection/>
    </xf>
    <xf numFmtId="3" fontId="12" fillId="0" borderId="11" xfId="0" applyNumberFormat="1" applyFont="1" applyFill="1" applyBorder="1" applyAlignment="1" applyProtection="1">
      <alignment horizontal="right" vertical="center"/>
      <protection/>
    </xf>
    <xf numFmtId="3" fontId="12" fillId="33" borderId="11" xfId="0" applyNumberFormat="1" applyFont="1" applyFill="1" applyBorder="1" applyAlignment="1">
      <alignment horizontal="right"/>
    </xf>
    <xf numFmtId="2" fontId="12" fillId="0" borderId="25" xfId="60" applyNumberFormat="1" applyFont="1" applyFill="1" applyBorder="1" applyAlignment="1">
      <alignment horizontal="right" vertical="center"/>
      <protection/>
    </xf>
    <xf numFmtId="0" fontId="12" fillId="0" borderId="19" xfId="0" applyFont="1" applyFill="1" applyBorder="1" applyAlignment="1" applyProtection="1">
      <alignment vertical="center"/>
      <protection locked="0"/>
    </xf>
    <xf numFmtId="49" fontId="12" fillId="0" borderId="23" xfId="0" applyNumberFormat="1" applyFont="1" applyFill="1" applyBorder="1" applyAlignment="1">
      <alignment vertical="center"/>
    </xf>
    <xf numFmtId="190" fontId="12" fillId="0" borderId="29" xfId="0" applyNumberFormat="1" applyFont="1" applyFill="1" applyBorder="1" applyAlignment="1" applyProtection="1">
      <alignment vertical="center"/>
      <protection/>
    </xf>
    <xf numFmtId="0" fontId="12" fillId="0" borderId="29" xfId="0" applyFont="1" applyFill="1" applyBorder="1" applyAlignment="1">
      <alignment vertical="center"/>
    </xf>
    <xf numFmtId="4" fontId="12" fillId="0" borderId="29" xfId="0" applyNumberFormat="1" applyFont="1" applyFill="1" applyBorder="1" applyAlignment="1">
      <alignment vertical="center"/>
    </xf>
    <xf numFmtId="3" fontId="12" fillId="0" borderId="29" xfId="0" applyNumberFormat="1" applyFont="1" applyFill="1" applyBorder="1" applyAlignment="1">
      <alignment vertical="center"/>
    </xf>
    <xf numFmtId="4" fontId="29" fillId="40" borderId="29" xfId="0" applyNumberFormat="1" applyFont="1" applyFill="1" applyBorder="1" applyAlignment="1">
      <alignment vertical="center"/>
    </xf>
    <xf numFmtId="3" fontId="29" fillId="40" borderId="29" xfId="0" applyNumberFormat="1" applyFont="1" applyFill="1" applyBorder="1" applyAlignment="1">
      <alignment vertical="center"/>
    </xf>
    <xf numFmtId="4" fontId="29" fillId="39" borderId="29" xfId="0" applyNumberFormat="1" applyFont="1" applyFill="1" applyBorder="1" applyAlignment="1">
      <alignment vertical="center"/>
    </xf>
    <xf numFmtId="3" fontId="29" fillId="39" borderId="29" xfId="0" applyNumberFormat="1" applyFont="1" applyFill="1" applyBorder="1" applyAlignment="1">
      <alignment vertical="center"/>
    </xf>
    <xf numFmtId="4" fontId="29" fillId="0" borderId="11" xfId="59" applyNumberFormat="1" applyFont="1" applyFill="1" applyBorder="1" applyAlignment="1">
      <alignment horizontal="right"/>
      <protection/>
    </xf>
    <xf numFmtId="3" fontId="29" fillId="0" borderId="11" xfId="59" applyNumberFormat="1" applyFont="1" applyFill="1" applyBorder="1" applyAlignment="1">
      <alignment horizontal="right"/>
      <protection/>
    </xf>
    <xf numFmtId="0" fontId="12" fillId="0" borderId="11" xfId="0" applyFont="1" applyFill="1" applyBorder="1" applyAlignment="1">
      <alignment horizontal="right" vertical="center"/>
    </xf>
    <xf numFmtId="4" fontId="29" fillId="0" borderId="11" xfId="0" applyNumberFormat="1" applyFont="1" applyFill="1" applyBorder="1" applyAlignment="1">
      <alignment horizontal="right" vertical="center"/>
    </xf>
    <xf numFmtId="4" fontId="29" fillId="0" borderId="11" xfId="53" applyNumberFormat="1" applyFont="1" applyFill="1" applyBorder="1" applyAlignment="1" applyProtection="1">
      <alignment vertical="center"/>
      <protection/>
    </xf>
    <xf numFmtId="3" fontId="29" fillId="0" borderId="11" xfId="53" applyNumberFormat="1" applyFont="1" applyFill="1" applyBorder="1" applyAlignment="1" applyProtection="1">
      <alignment vertical="center"/>
      <protection/>
    </xf>
    <xf numFmtId="190" fontId="12" fillId="0" borderId="11" xfId="59" applyNumberFormat="1" applyFont="1" applyFill="1" applyBorder="1" applyAlignment="1">
      <alignment horizontal="center" vertical="center"/>
      <protection/>
    </xf>
    <xf numFmtId="0" fontId="82" fillId="34" borderId="15" xfId="0" applyFont="1" applyFill="1" applyBorder="1" applyAlignment="1" applyProtection="1">
      <alignment horizontal="right" vertical="center" wrapText="1"/>
      <protection/>
    </xf>
    <xf numFmtId="0" fontId="48" fillId="34" borderId="15" xfId="0" applyFont="1" applyFill="1" applyBorder="1" applyAlignment="1" applyProtection="1">
      <alignment horizontal="right" vertical="center" wrapText="1"/>
      <protection/>
    </xf>
    <xf numFmtId="0" fontId="41" fillId="0" borderId="47" xfId="0" applyFont="1" applyFill="1" applyBorder="1" applyAlignment="1" applyProtection="1">
      <alignment horizontal="center" vertical="center" wrapText="1"/>
      <protection/>
    </xf>
    <xf numFmtId="0" fontId="41" fillId="0" borderId="48" xfId="0" applyFont="1" applyFill="1" applyBorder="1" applyAlignment="1" applyProtection="1">
      <alignment horizontal="center" vertical="center" wrapText="1"/>
      <protection/>
    </xf>
    <xf numFmtId="0" fontId="41" fillId="0" borderId="49" xfId="0" applyFont="1" applyFill="1" applyBorder="1" applyAlignment="1" applyProtection="1">
      <alignment horizontal="center" vertical="center" wrapText="1"/>
      <protection/>
    </xf>
    <xf numFmtId="0" fontId="41" fillId="0" borderId="50" xfId="0" applyFont="1" applyFill="1" applyBorder="1" applyAlignment="1" applyProtection="1">
      <alignment horizontal="center" vertical="center" wrapText="1"/>
      <protection/>
    </xf>
    <xf numFmtId="0" fontId="2" fillId="33" borderId="51" xfId="51" applyFill="1" applyBorder="1" applyAlignment="1" applyProtection="1">
      <alignment horizontal="center" vertical="center" wrapText="1"/>
      <protection/>
    </xf>
    <xf numFmtId="0" fontId="44" fillId="0" borderId="52" xfId="0" applyFont="1" applyBorder="1" applyAlignment="1">
      <alignment horizontal="center" vertical="center" wrapText="1"/>
    </xf>
    <xf numFmtId="1" fontId="69" fillId="33" borderId="0" xfId="0" applyNumberFormat="1"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wrapText="1"/>
      <protection/>
    </xf>
    <xf numFmtId="1" fontId="26" fillId="33" borderId="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wrapText="1"/>
      <protection/>
    </xf>
    <xf numFmtId="1" fontId="50" fillId="33" borderId="15" xfId="51" applyNumberFormat="1" applyFont="1" applyFill="1" applyBorder="1" applyAlignment="1" applyProtection="1">
      <alignment horizontal="center" vertical="center" wrapText="1"/>
      <protection/>
    </xf>
    <xf numFmtId="0" fontId="49" fillId="33" borderId="15" xfId="0" applyFont="1" applyFill="1" applyBorder="1" applyAlignment="1" applyProtection="1">
      <alignment horizontal="center" vertical="center" wrapText="1"/>
      <protection/>
    </xf>
    <xf numFmtId="0" fontId="82" fillId="34" borderId="53" xfId="0" applyFont="1" applyFill="1" applyBorder="1" applyAlignment="1" applyProtection="1">
      <alignment horizontal="right" vertical="center" wrapText="1"/>
      <protection/>
    </xf>
    <xf numFmtId="0" fontId="48" fillId="34" borderId="53" xfId="0" applyFont="1" applyFill="1" applyBorder="1" applyAlignment="1" applyProtection="1">
      <alignment horizontal="right" vertical="center" wrapText="1"/>
      <protection/>
    </xf>
    <xf numFmtId="0" fontId="78" fillId="33" borderId="16" xfId="0" applyFont="1" applyFill="1" applyBorder="1" applyAlignment="1" applyProtection="1">
      <alignment horizontal="center" vertical="center" wrapText="1"/>
      <protection/>
    </xf>
    <xf numFmtId="0" fontId="81" fillId="0" borderId="16" xfId="0" applyFont="1" applyBorder="1" applyAlignment="1" applyProtection="1">
      <alignment horizontal="center" vertical="center" wrapText="1"/>
      <protection/>
    </xf>
    <xf numFmtId="190" fontId="15" fillId="33" borderId="54" xfId="0" applyNumberFormat="1" applyFont="1" applyFill="1" applyBorder="1" applyAlignment="1" applyProtection="1">
      <alignment horizontal="left" vertical="center" wrapText="1"/>
      <protection/>
    </xf>
    <xf numFmtId="0" fontId="0" fillId="33" borderId="53"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0" fillId="33" borderId="56"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7" xfId="0" applyFill="1" applyBorder="1" applyAlignment="1" applyProtection="1">
      <alignment vertical="center" wrapText="1"/>
      <protection/>
    </xf>
    <xf numFmtId="0" fontId="0" fillId="33" borderId="58" xfId="0"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33" borderId="59" xfId="0" applyFill="1" applyBorder="1" applyAlignment="1" applyProtection="1">
      <alignment vertical="center" wrapText="1"/>
      <protection/>
    </xf>
    <xf numFmtId="0" fontId="18" fillId="34" borderId="41" xfId="0" applyFont="1" applyFill="1" applyBorder="1" applyAlignment="1" applyProtection="1">
      <alignment horizontal="center" vertical="center" wrapText="1"/>
      <protection/>
    </xf>
    <xf numFmtId="0" fontId="17" fillId="34" borderId="49" xfId="0" applyFont="1" applyFill="1" applyBorder="1" applyAlignment="1" applyProtection="1">
      <alignment horizontal="center" vertical="center" wrapText="1"/>
      <protection/>
    </xf>
    <xf numFmtId="0" fontId="17" fillId="34" borderId="6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9" fillId="34" borderId="49" xfId="0" applyFont="1" applyFill="1" applyBorder="1" applyAlignment="1" applyProtection="1">
      <alignment horizontal="center" vertical="center" wrapText="1"/>
      <protection/>
    </xf>
    <xf numFmtId="0" fontId="19" fillId="34" borderId="60" xfId="0"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xf>
    <xf numFmtId="0" fontId="18" fillId="34" borderId="61" xfId="0" applyFont="1" applyFill="1" applyBorder="1" applyAlignment="1" applyProtection="1">
      <alignment horizontal="center" vertical="center" wrapText="1"/>
      <protection/>
    </xf>
    <xf numFmtId="0" fontId="30" fillId="34" borderId="10" xfId="0" applyFont="1" applyFill="1" applyBorder="1" applyAlignment="1" applyProtection="1">
      <alignment horizontal="center" vertical="center" wrapText="1"/>
      <protection/>
    </xf>
    <xf numFmtId="0" fontId="53" fillId="34" borderId="0" xfId="0" applyFont="1" applyFill="1" applyBorder="1" applyAlignment="1" applyProtection="1">
      <alignment horizontal="right" vertical="center" wrapText="1"/>
      <protection/>
    </xf>
    <xf numFmtId="0" fontId="48" fillId="34" borderId="0" xfId="0" applyFont="1" applyFill="1" applyBorder="1" applyAlignment="1" applyProtection="1">
      <alignment horizontal="right" vertical="center" wrapText="1"/>
      <protection/>
    </xf>
    <xf numFmtId="0" fontId="47" fillId="34" borderId="15" xfId="0" applyFont="1" applyFill="1" applyBorder="1" applyAlignment="1" applyProtection="1">
      <alignment horizontal="right" vertical="center" wrapText="1"/>
      <protection/>
    </xf>
    <xf numFmtId="0" fontId="0" fillId="33" borderId="15" xfId="0" applyFill="1" applyBorder="1" applyAlignment="1" applyProtection="1">
      <alignment horizontal="center" vertical="center" wrapText="1"/>
      <protection/>
    </xf>
    <xf numFmtId="1" fontId="34" fillId="33" borderId="0"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0" fontId="0" fillId="0" borderId="0" xfId="0" applyAlignment="1">
      <alignment horizontal="center" vertical="center" wrapText="1"/>
    </xf>
    <xf numFmtId="1" fontId="5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18" fillId="33" borderId="16"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9" fillId="33" borderId="10" xfId="0"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0" fontId="43" fillId="33" borderId="0" xfId="51" applyFont="1" applyFill="1" applyBorder="1" applyAlignment="1" applyProtection="1">
      <alignment horizontal="center" vertical="center" wrapText="1"/>
      <protection/>
    </xf>
    <xf numFmtId="0" fontId="44" fillId="33" borderId="0" xfId="0" applyFont="1" applyFill="1" applyBorder="1" applyAlignment="1">
      <alignment horizontal="center" vertical="center" wrapText="1"/>
    </xf>
    <xf numFmtId="0" fontId="42" fillId="33" borderId="15" xfId="0" applyFont="1" applyFill="1" applyBorder="1" applyAlignment="1" applyProtection="1">
      <alignment horizontal="center" vertical="center" wrapText="1"/>
      <protection/>
    </xf>
    <xf numFmtId="1" fontId="45" fillId="33" borderId="0" xfId="0" applyNumberFormat="1" applyFont="1" applyFill="1" applyBorder="1" applyAlignment="1" applyProtection="1">
      <alignment horizontal="center" vertical="center" wrapText="1"/>
      <protection/>
    </xf>
    <xf numFmtId="0" fontId="46" fillId="33" borderId="0"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53" fillId="34" borderId="53" xfId="0" applyFont="1" applyFill="1" applyBorder="1" applyAlignment="1" applyProtection="1">
      <alignment horizontal="right" vertical="center" wrapText="1"/>
      <protection/>
    </xf>
    <xf numFmtId="0" fontId="30" fillId="33" borderId="10" xfId="0" applyFont="1" applyFill="1" applyBorder="1" applyAlignment="1" applyProtection="1">
      <alignment horizontal="center" vertical="center" wrapText="1"/>
      <protection/>
    </xf>
    <xf numFmtId="0" fontId="17" fillId="33" borderId="49" xfId="0" applyFont="1" applyFill="1" applyBorder="1" applyAlignment="1" applyProtection="1">
      <alignment horizontal="center" vertical="center" wrapText="1"/>
      <protection/>
    </xf>
    <xf numFmtId="0" fontId="17" fillId="33" borderId="60" xfId="0" applyFont="1" applyFill="1" applyBorder="1" applyAlignment="1" applyProtection="1">
      <alignment horizontal="center" vertical="center" wrapText="1"/>
      <protection/>
    </xf>
    <xf numFmtId="0" fontId="56" fillId="33" borderId="15" xfId="0" applyFont="1" applyFill="1" applyBorder="1" applyAlignment="1" applyProtection="1">
      <alignment horizontal="center" vertical="center" wrapText="1"/>
      <protection/>
    </xf>
    <xf numFmtId="1" fontId="71" fillId="33" borderId="0" xfId="0" applyNumberFormat="1" applyFont="1" applyFill="1" applyBorder="1" applyAlignment="1" applyProtection="1">
      <alignment horizontal="center" vertical="center" wrapText="1"/>
      <protection/>
    </xf>
    <xf numFmtId="0" fontId="74" fillId="34" borderId="15" xfId="0" applyFont="1" applyFill="1" applyBorder="1" applyAlignment="1" applyProtection="1">
      <alignment horizontal="right" vertical="center" wrapText="1"/>
      <protection/>
    </xf>
    <xf numFmtId="0" fontId="76" fillId="34" borderId="15" xfId="0" applyFont="1" applyFill="1" applyBorder="1" applyAlignment="1" applyProtection="1">
      <alignment horizontal="right" vertical="center" wrapText="1"/>
      <protection/>
    </xf>
    <xf numFmtId="1" fontId="33" fillId="33" borderId="0" xfId="0" applyNumberFormat="1" applyFont="1" applyFill="1" applyBorder="1" applyAlignment="1" applyProtection="1">
      <alignment horizontal="center" vertical="center" wrapText="1"/>
      <protection/>
    </xf>
    <xf numFmtId="0" fontId="74" fillId="34" borderId="53" xfId="0" applyFont="1" applyFill="1" applyBorder="1" applyAlignment="1" applyProtection="1">
      <alignment horizontal="right" vertical="center" wrapText="1"/>
      <protection/>
    </xf>
    <xf numFmtId="0" fontId="76" fillId="34" borderId="53" xfId="0" applyFont="1" applyFill="1" applyBorder="1" applyAlignment="1" applyProtection="1">
      <alignment horizontal="right" vertical="center" wrapText="1"/>
      <protection/>
    </xf>
    <xf numFmtId="0" fontId="19" fillId="33" borderId="49" xfId="0" applyFont="1" applyFill="1" applyBorder="1" applyAlignment="1" applyProtection="1">
      <alignment horizontal="center" vertical="center" wrapText="1"/>
      <protection/>
    </xf>
    <xf numFmtId="0" fontId="19" fillId="33" borderId="60" xfId="0" applyFont="1" applyFill="1" applyBorder="1" applyAlignment="1" applyProtection="1">
      <alignment horizontal="center" vertical="center" wrapText="1"/>
      <protection/>
    </xf>
  </cellXfs>
  <cellStyles count="6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rmal_Ex years releases (Annual)" xfId="58"/>
    <cellStyle name="Normal_Sayfa1" xfId="59"/>
    <cellStyle name="Normal_Sayfa1_2"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 name="Yüzde 2"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51352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2792075" y="0"/>
          <a:ext cx="20288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800100</xdr:colOff>
      <xdr:row>3</xdr:row>
      <xdr:rowOff>123825</xdr:rowOff>
    </xdr:from>
    <xdr:to>
      <xdr:col>8</xdr:col>
      <xdr:colOff>95250</xdr:colOff>
      <xdr:row>4</xdr:row>
      <xdr:rowOff>323850</xdr:rowOff>
    </xdr:to>
    <xdr:pic>
      <xdr:nvPicPr>
        <xdr:cNvPr id="3" name="Picture 13" descr="LOGO"/>
        <xdr:cNvPicPr preferRelativeResize="1">
          <a:picLocks noChangeAspect="1"/>
        </xdr:cNvPicPr>
      </xdr:nvPicPr>
      <xdr:blipFill>
        <a:blip r:embed="rId1"/>
        <a:stretch>
          <a:fillRect/>
        </a:stretch>
      </xdr:blipFill>
      <xdr:spPr>
        <a:xfrm>
          <a:off x="5076825" y="1581150"/>
          <a:ext cx="17240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0</xdr:colOff>
      <xdr:row>0</xdr:row>
      <xdr:rowOff>0</xdr:rowOff>
    </xdr:to>
    <xdr:sp fLocksText="0">
      <xdr:nvSpPr>
        <xdr:cNvPr id="1" name="Text Box 1"/>
        <xdr:cNvSpPr txBox="1">
          <a:spLocks noChangeArrowheads="1"/>
        </xdr:cNvSpPr>
      </xdr:nvSpPr>
      <xdr:spPr>
        <a:xfrm>
          <a:off x="0" y="0"/>
          <a:ext cx="11239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2" name="Text Box 2"/>
        <xdr:cNvSpPr txBox="1">
          <a:spLocks noChangeArrowheads="1"/>
        </xdr:cNvSpPr>
      </xdr:nvSpPr>
      <xdr:spPr>
        <a:xfrm>
          <a:off x="9867900" y="0"/>
          <a:ext cx="1371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17</xdr:col>
      <xdr:colOff>0</xdr:colOff>
      <xdr:row>0</xdr:row>
      <xdr:rowOff>0</xdr:rowOff>
    </xdr:to>
    <xdr:sp fLocksText="0">
      <xdr:nvSpPr>
        <xdr:cNvPr id="3" name="Text Box 5"/>
        <xdr:cNvSpPr txBox="1">
          <a:spLocks noChangeArrowheads="1"/>
        </xdr:cNvSpPr>
      </xdr:nvSpPr>
      <xdr:spPr>
        <a:xfrm>
          <a:off x="0" y="0"/>
          <a:ext cx="11239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4" name="Text Box 6"/>
        <xdr:cNvSpPr txBox="1">
          <a:spLocks noChangeArrowheads="1"/>
        </xdr:cNvSpPr>
      </xdr:nvSpPr>
      <xdr:spPr>
        <a:xfrm>
          <a:off x="9867900" y="0"/>
          <a:ext cx="1371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 name="Text Box 9"/>
        <xdr:cNvSpPr txBox="1">
          <a:spLocks noChangeArrowheads="1"/>
        </xdr:cNvSpPr>
      </xdr:nvSpPr>
      <xdr:spPr>
        <a:xfrm>
          <a:off x="0" y="0"/>
          <a:ext cx="6048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10"/>
        <xdr:cNvSpPr txBox="1">
          <a:spLocks noChangeArrowheads="1"/>
        </xdr:cNvSpPr>
      </xdr:nvSpPr>
      <xdr:spPr>
        <a:xfrm>
          <a:off x="60483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657225</xdr:colOff>
      <xdr:row>3</xdr:row>
      <xdr:rowOff>123825</xdr:rowOff>
    </xdr:from>
    <xdr:to>
      <xdr:col>10</xdr:col>
      <xdr:colOff>9525</xdr:colOff>
      <xdr:row>4</xdr:row>
      <xdr:rowOff>352425</xdr:rowOff>
    </xdr:to>
    <xdr:pic>
      <xdr:nvPicPr>
        <xdr:cNvPr id="7" name="Picture 11" descr="LOGO"/>
        <xdr:cNvPicPr preferRelativeResize="1">
          <a:picLocks noChangeAspect="1"/>
        </xdr:cNvPicPr>
      </xdr:nvPicPr>
      <xdr:blipFill>
        <a:blip r:embed="rId1"/>
        <a:stretch>
          <a:fillRect/>
        </a:stretch>
      </xdr:blipFill>
      <xdr:spPr>
        <a:xfrm>
          <a:off x="6705600" y="1028700"/>
          <a:ext cx="1666875" cy="638175"/>
        </a:xfrm>
        <a:prstGeom prst="rect">
          <a:avLst/>
        </a:prstGeom>
        <a:noFill/>
        <a:ln w="9525" cmpd="sng">
          <a:noFill/>
        </a:ln>
      </xdr:spPr>
    </xdr:pic>
    <xdr:clientData/>
  </xdr:twoCellAnchor>
  <xdr:twoCellAnchor>
    <xdr:from>
      <xdr:col>0</xdr:col>
      <xdr:colOff>0</xdr:colOff>
      <xdr:row>0</xdr:row>
      <xdr:rowOff>0</xdr:rowOff>
    </xdr:from>
    <xdr:to>
      <xdr:col>6</xdr:col>
      <xdr:colOff>0</xdr:colOff>
      <xdr:row>0</xdr:row>
      <xdr:rowOff>0</xdr:rowOff>
    </xdr:to>
    <xdr:sp fLocksText="0">
      <xdr:nvSpPr>
        <xdr:cNvPr id="8" name="Text Box 12"/>
        <xdr:cNvSpPr txBox="1">
          <a:spLocks noChangeArrowheads="1"/>
        </xdr:cNvSpPr>
      </xdr:nvSpPr>
      <xdr:spPr>
        <a:xfrm>
          <a:off x="0" y="0"/>
          <a:ext cx="6048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9" name="Text Box 13"/>
        <xdr:cNvSpPr txBox="1">
          <a:spLocks noChangeArrowheads="1"/>
        </xdr:cNvSpPr>
      </xdr:nvSpPr>
      <xdr:spPr>
        <a:xfrm>
          <a:off x="60483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0" name="Text Box 14"/>
        <xdr:cNvSpPr txBox="1">
          <a:spLocks noChangeArrowheads="1"/>
        </xdr:cNvSpPr>
      </xdr:nvSpPr>
      <xdr:spPr>
        <a:xfrm>
          <a:off x="0" y="0"/>
          <a:ext cx="6048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1" name="Text Box 15"/>
        <xdr:cNvSpPr txBox="1">
          <a:spLocks noChangeArrowheads="1"/>
        </xdr:cNvSpPr>
      </xdr:nvSpPr>
      <xdr:spPr>
        <a:xfrm>
          <a:off x="60483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fLocksText="0">
      <xdr:nvSpPr>
        <xdr:cNvPr id="1" name="Text Box 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xt Box 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666750</xdr:colOff>
      <xdr:row>3</xdr:row>
      <xdr:rowOff>247650</xdr:rowOff>
    </xdr:from>
    <xdr:to>
      <xdr:col>5</xdr:col>
      <xdr:colOff>352425</xdr:colOff>
      <xdr:row>4</xdr:row>
      <xdr:rowOff>352425</xdr:rowOff>
    </xdr:to>
    <xdr:pic>
      <xdr:nvPicPr>
        <xdr:cNvPr id="3" name="Picture 3" descr="LOGO"/>
        <xdr:cNvPicPr preferRelativeResize="1">
          <a:picLocks noChangeAspect="1"/>
        </xdr:cNvPicPr>
      </xdr:nvPicPr>
      <xdr:blipFill>
        <a:blip r:embed="rId1"/>
        <a:stretch>
          <a:fillRect/>
        </a:stretch>
      </xdr:blipFill>
      <xdr:spPr>
        <a:xfrm>
          <a:off x="5000625" y="1266825"/>
          <a:ext cx="1390650" cy="514350"/>
        </a:xfrm>
        <a:prstGeom prst="rect">
          <a:avLst/>
        </a:prstGeom>
        <a:noFill/>
        <a:ln w="9525" cmpd="sng">
          <a:noFill/>
        </a:ln>
      </xdr:spPr>
    </xdr:pic>
    <xdr:clientData/>
  </xdr:twoCellAnchor>
  <xdr:twoCellAnchor>
    <xdr:from>
      <xdr:col>0</xdr:col>
      <xdr:colOff>0</xdr:colOff>
      <xdr:row>0</xdr:row>
      <xdr:rowOff>0</xdr:rowOff>
    </xdr:from>
    <xdr:to>
      <xdr:col>7</xdr:col>
      <xdr:colOff>0</xdr:colOff>
      <xdr:row>0</xdr:row>
      <xdr:rowOff>0</xdr:rowOff>
    </xdr:to>
    <xdr:sp fLocksText="0">
      <xdr:nvSpPr>
        <xdr:cNvPr id="4" name="Text Box 4"/>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xt Box 5"/>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6" name="Text Box 6"/>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xt Box 7"/>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8" name="Text Box 8"/>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9" name="Text Box 9"/>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10" name="Text Box 1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1" name="Text Box 1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12" name="Text Box 13"/>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3" name="Text Box 14"/>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2" name="Text Box 2"/>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 name="Text Box 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61150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8" name="Text Box 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61150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6134100" y="0"/>
          <a:ext cx="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12" name="Text Box 12"/>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4" name="Text Box 1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7" name="Text Box 1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438150</xdr:colOff>
      <xdr:row>0</xdr:row>
      <xdr:rowOff>0</xdr:rowOff>
    </xdr:to>
    <xdr:sp>
      <xdr:nvSpPr>
        <xdr:cNvPr id="18" name="Text Box 19"/>
        <xdr:cNvSpPr txBox="1">
          <a:spLocks noChangeArrowheads="1"/>
        </xdr:cNvSpPr>
      </xdr:nvSpPr>
      <xdr:spPr>
        <a:xfrm>
          <a:off x="19050" y="0"/>
          <a:ext cx="61150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752475</xdr:colOff>
      <xdr:row>0</xdr:row>
      <xdr:rowOff>0</xdr:rowOff>
    </xdr:to>
    <xdr:sp>
      <xdr:nvSpPr>
        <xdr:cNvPr id="19" name="Text Box 21"/>
        <xdr:cNvSpPr txBox="1">
          <a:spLocks noChangeArrowheads="1"/>
        </xdr:cNvSpPr>
      </xdr:nvSpPr>
      <xdr:spPr>
        <a:xfrm>
          <a:off x="19050" y="0"/>
          <a:ext cx="61150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752475</xdr:colOff>
      <xdr:row>0</xdr:row>
      <xdr:rowOff>0</xdr:rowOff>
    </xdr:to>
    <xdr:sp fLocksText="0">
      <xdr:nvSpPr>
        <xdr:cNvPr id="20" name="Text Box 22"/>
        <xdr:cNvSpPr txBox="1">
          <a:spLocks noChangeArrowheads="1"/>
        </xdr:cNvSpPr>
      </xdr:nvSpPr>
      <xdr:spPr>
        <a:xfrm>
          <a:off x="613410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2" name="Text Box 2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4" name="Text Box 2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6" name="Text Box 32"/>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8" name="Text Box 36"/>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0" name="Text Box 40"/>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2" name="Text Box 4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4" name="Text Box 4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6" name="Text Box 52"/>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8" name="Text Box 56"/>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42</xdr:col>
      <xdr:colOff>104775</xdr:colOff>
      <xdr:row>0</xdr:row>
      <xdr:rowOff>0</xdr:rowOff>
    </xdr:to>
    <xdr:sp>
      <xdr:nvSpPr>
        <xdr:cNvPr id="39" name="Text Box 57"/>
        <xdr:cNvSpPr txBox="1">
          <a:spLocks noChangeArrowheads="1"/>
        </xdr:cNvSpPr>
      </xdr:nvSpPr>
      <xdr:spPr>
        <a:xfrm>
          <a:off x="19050" y="0"/>
          <a:ext cx="1476375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1" name="Text Box 60"/>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3" name="Text Box 6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5" name="Text Box 6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 Box 71"/>
        <xdr:cNvSpPr txBox="1">
          <a:spLocks noChangeArrowheads="1"/>
        </xdr:cNvSpPr>
      </xdr:nvSpPr>
      <xdr:spPr>
        <a:xfrm>
          <a:off x="28575" y="0"/>
          <a:ext cx="6105525"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400050</xdr:colOff>
      <xdr:row>0</xdr:row>
      <xdr:rowOff>0</xdr:rowOff>
    </xdr:to>
    <xdr:sp fLocksText="0">
      <xdr:nvSpPr>
        <xdr:cNvPr id="47" name="Text Box 72"/>
        <xdr:cNvSpPr txBox="1">
          <a:spLocks noChangeArrowheads="1"/>
        </xdr:cNvSpPr>
      </xdr:nvSpPr>
      <xdr:spPr>
        <a:xfrm>
          <a:off x="6134100" y="0"/>
          <a:ext cx="0"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22</xdr:col>
      <xdr:colOff>0</xdr:colOff>
      <xdr:row>0</xdr:row>
      <xdr:rowOff>0</xdr:rowOff>
    </xdr:to>
    <xdr:sp fLocksText="0">
      <xdr:nvSpPr>
        <xdr:cNvPr id="48" name="Text Box 73"/>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9" name="Text Box 74"/>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50" name="Text Box 77"/>
        <xdr:cNvSpPr txBox="1">
          <a:spLocks noChangeArrowheads="1"/>
        </xdr:cNvSpPr>
      </xdr:nvSpPr>
      <xdr:spPr>
        <a:xfrm>
          <a:off x="0" y="0"/>
          <a:ext cx="6134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51" name="Text Box 78"/>
        <xdr:cNvSpPr txBox="1">
          <a:spLocks noChangeArrowheads="1"/>
        </xdr:cNvSpPr>
      </xdr:nvSpPr>
      <xdr:spPr>
        <a:xfrm>
          <a:off x="6134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838200</xdr:colOff>
      <xdr:row>3</xdr:row>
      <xdr:rowOff>171450</xdr:rowOff>
    </xdr:from>
    <xdr:to>
      <xdr:col>7</xdr:col>
      <xdr:colOff>390525</xdr:colOff>
      <xdr:row>4</xdr:row>
      <xdr:rowOff>342900</xdr:rowOff>
    </xdr:to>
    <xdr:pic>
      <xdr:nvPicPr>
        <xdr:cNvPr id="52" name="Picture 80" descr="LOGO"/>
        <xdr:cNvPicPr preferRelativeResize="1">
          <a:picLocks noChangeAspect="1"/>
        </xdr:cNvPicPr>
      </xdr:nvPicPr>
      <xdr:blipFill>
        <a:blip r:embed="rId1"/>
        <a:stretch>
          <a:fillRect/>
        </a:stretch>
      </xdr:blipFill>
      <xdr:spPr>
        <a:xfrm>
          <a:off x="3810000" y="1209675"/>
          <a:ext cx="15716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boxoffice-rapor.php" TargetMode="External" /><Relationship Id="rId2" Type="http://schemas.openxmlformats.org/officeDocument/2006/relationships/hyperlink" Target="http://www.antraktsinem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143"/>
  <sheetViews>
    <sheetView tabSelected="1" zoomScale="85" zoomScaleNormal="85" zoomScalePageLayoutView="0" workbookViewId="0" topLeftCell="A1">
      <pane xSplit="9" ySplit="10" topLeftCell="V11" activePane="bottomRight" state="frozen"/>
      <selection pane="topLeft" activeCell="A1" sqref="A1"/>
      <selection pane="topRight" activeCell="J1" sqref="J1"/>
      <selection pane="bottomLeft" activeCell="A12" sqref="A12"/>
      <selection pane="bottomRight" activeCell="A6" sqref="A6"/>
    </sheetView>
  </sheetViews>
  <sheetFormatPr defaultColWidth="4.421875" defaultRowHeight="12.75"/>
  <cols>
    <col min="1" max="1" width="5.00390625" style="127" bestFit="1" customWidth="1"/>
    <col min="2" max="2" width="4.140625" style="128" bestFit="1" customWidth="1"/>
    <col min="3" max="3" width="5.28125" style="129" bestFit="1" customWidth="1"/>
    <col min="4" max="4" width="41.57421875" style="130" bestFit="1" customWidth="1"/>
    <col min="5" max="5" width="8.140625" style="131" customWidth="1"/>
    <col min="6" max="6" width="19.8515625" style="131" bestFit="1" customWidth="1"/>
    <col min="7" max="7" width="8.28125" style="131" customWidth="1"/>
    <col min="8" max="8" width="8.28125" style="132" customWidth="1"/>
    <col min="9" max="9" width="8.28125" style="133" customWidth="1"/>
    <col min="10" max="10" width="10.28125" style="132" bestFit="1" customWidth="1"/>
    <col min="11" max="11" width="6.7109375" style="133" bestFit="1" customWidth="1"/>
    <col min="12" max="12" width="10.28125" style="132" bestFit="1" customWidth="1"/>
    <col min="13" max="13" width="6.7109375" style="133" bestFit="1" customWidth="1"/>
    <col min="14" max="14" width="10.28125" style="134" bestFit="1" customWidth="1"/>
    <col min="15" max="15" width="6.7109375" style="135" bestFit="1" customWidth="1"/>
    <col min="16" max="16" width="11.7109375" style="138" bestFit="1" customWidth="1"/>
    <col min="17" max="17" width="7.7109375" style="136" bestFit="1" customWidth="1"/>
    <col min="18" max="18" width="10.57421875" style="136" bestFit="1" customWidth="1"/>
    <col min="19" max="19" width="7.7109375" style="138" bestFit="1" customWidth="1"/>
    <col min="20" max="20" width="10.28125" style="138" bestFit="1" customWidth="1"/>
    <col min="21" max="21" width="7.421875" style="139" bestFit="1" customWidth="1"/>
    <col min="22" max="22" width="11.7109375" style="138" bestFit="1" customWidth="1"/>
    <col min="23" max="23" width="12.00390625" style="283" customWidth="1"/>
    <col min="24" max="24" width="11.7109375" style="293" bestFit="1" customWidth="1"/>
    <col min="25" max="25" width="7.7109375" style="281" bestFit="1" customWidth="1"/>
    <col min="26" max="27" width="7.00390625" style="308" customWidth="1"/>
    <col min="28" max="28" width="9.28125" style="142" customWidth="1"/>
    <col min="29" max="29" width="9.28125" style="295" customWidth="1"/>
    <col min="30" max="30" width="12.7109375" style="295" bestFit="1" customWidth="1"/>
    <col min="31" max="31" width="9.28125" style="142" bestFit="1" customWidth="1"/>
    <col min="32" max="32" width="9.421875" style="295" bestFit="1" customWidth="1"/>
    <col min="33" max="33" width="4.7109375" style="130" bestFit="1" customWidth="1"/>
    <col min="34" max="34" width="7.28125" style="130" bestFit="1" customWidth="1"/>
    <col min="35" max="35" width="8.421875" style="130" bestFit="1" customWidth="1"/>
    <col min="36" max="38" width="6.8515625" style="130" customWidth="1"/>
    <col min="39" max="16384" width="4.421875" style="130" customWidth="1"/>
  </cols>
  <sheetData>
    <row r="1" spans="1:33" s="44" customFormat="1" ht="49.5">
      <c r="A1" s="745" t="s">
        <v>390</v>
      </c>
      <c r="B1" s="746"/>
      <c r="C1" s="746"/>
      <c r="D1" s="746"/>
      <c r="E1" s="746"/>
      <c r="F1" s="746"/>
      <c r="G1" s="746"/>
      <c r="H1" s="746"/>
      <c r="I1" s="746"/>
      <c r="J1" s="285"/>
      <c r="K1" s="275"/>
      <c r="L1" s="285"/>
      <c r="M1" s="275"/>
      <c r="N1" s="285"/>
      <c r="O1" s="275"/>
      <c r="P1" s="285"/>
      <c r="Q1" s="275"/>
      <c r="R1" s="275"/>
      <c r="S1" s="285"/>
      <c r="T1" s="285"/>
      <c r="U1" s="300"/>
      <c r="V1" s="285"/>
      <c r="W1" s="275"/>
      <c r="X1" s="739"/>
      <c r="Y1" s="740"/>
      <c r="Z1" s="740"/>
      <c r="AA1" s="740"/>
      <c r="AB1" s="741"/>
      <c r="AC1" s="739"/>
      <c r="AD1" s="740"/>
      <c r="AE1" s="740"/>
      <c r="AF1" s="740"/>
      <c r="AG1" s="742"/>
    </row>
    <row r="2" spans="1:33" s="44" customFormat="1" ht="38.25" customHeight="1">
      <c r="A2" s="747" t="s">
        <v>83</v>
      </c>
      <c r="B2" s="748"/>
      <c r="C2" s="748"/>
      <c r="D2" s="748"/>
      <c r="E2" s="748"/>
      <c r="F2" s="748"/>
      <c r="G2" s="748"/>
      <c r="H2" s="748"/>
      <c r="I2" s="748"/>
      <c r="J2" s="286"/>
      <c r="K2" s="276"/>
      <c r="L2" s="286"/>
      <c r="M2" s="276"/>
      <c r="N2" s="286"/>
      <c r="O2" s="276"/>
      <c r="P2" s="286"/>
      <c r="Q2" s="276"/>
      <c r="R2" s="276"/>
      <c r="S2" s="286"/>
      <c r="T2" s="286"/>
      <c r="U2" s="301"/>
      <c r="V2" s="286"/>
      <c r="W2" s="276"/>
      <c r="X2" s="291"/>
      <c r="Y2" s="282"/>
      <c r="Z2" s="306"/>
      <c r="AA2" s="306"/>
      <c r="AB2" s="318"/>
      <c r="AC2" s="291"/>
      <c r="AD2" s="294"/>
      <c r="AE2" s="282"/>
      <c r="AF2" s="294"/>
      <c r="AG2" s="46"/>
    </row>
    <row r="3" spans="1:33" s="44" customFormat="1" ht="27" thickBot="1">
      <c r="A3" s="749" t="s">
        <v>135</v>
      </c>
      <c r="B3" s="750"/>
      <c r="C3" s="750"/>
      <c r="D3" s="750"/>
      <c r="E3" s="750"/>
      <c r="F3" s="750"/>
      <c r="G3" s="750"/>
      <c r="H3" s="750"/>
      <c r="I3" s="750"/>
      <c r="J3" s="287"/>
      <c r="K3" s="277"/>
      <c r="L3" s="287"/>
      <c r="M3" s="277"/>
      <c r="N3" s="287"/>
      <c r="O3" s="277"/>
      <c r="P3" s="287"/>
      <c r="Q3" s="277"/>
      <c r="R3" s="277"/>
      <c r="S3" s="287"/>
      <c r="T3" s="287"/>
      <c r="U3" s="302"/>
      <c r="V3" s="287"/>
      <c r="W3" s="277"/>
      <c r="X3" s="270"/>
      <c r="Y3" s="271"/>
      <c r="Z3" s="273"/>
      <c r="AA3" s="317"/>
      <c r="AB3" s="319"/>
      <c r="AC3" s="270"/>
      <c r="AD3" s="271"/>
      <c r="AE3" s="273"/>
      <c r="AF3" s="272"/>
      <c r="AG3" s="274"/>
    </row>
    <row r="4" spans="1:33" s="44" customFormat="1" ht="33" thickBot="1">
      <c r="A4" s="751" t="s">
        <v>429</v>
      </c>
      <c r="B4" s="752"/>
      <c r="C4" s="752"/>
      <c r="D4" s="752"/>
      <c r="E4" s="752"/>
      <c r="F4" s="48"/>
      <c r="G4" s="48"/>
      <c r="H4" s="48"/>
      <c r="I4" s="48"/>
      <c r="J4" s="288"/>
      <c r="K4" s="278"/>
      <c r="L4" s="288"/>
      <c r="M4" s="278"/>
      <c r="N4" s="288"/>
      <c r="O4" s="278"/>
      <c r="P4" s="288"/>
      <c r="Q4" s="278"/>
      <c r="R4" s="278"/>
      <c r="S4" s="288"/>
      <c r="T4" s="288"/>
      <c r="U4" s="303"/>
      <c r="V4" s="288"/>
      <c r="W4" s="278"/>
      <c r="X4" s="743" t="s">
        <v>136</v>
      </c>
      <c r="Y4" s="744"/>
      <c r="Z4" s="744"/>
      <c r="AA4" s="744"/>
      <c r="AB4" s="744"/>
      <c r="AC4" s="320"/>
      <c r="AD4" s="321"/>
      <c r="AE4" s="284"/>
      <c r="AF4" s="321"/>
      <c r="AG4" s="49"/>
    </row>
    <row r="5" spans="1:33" s="44" customFormat="1" ht="33" thickBot="1">
      <c r="A5" s="737" t="s">
        <v>430</v>
      </c>
      <c r="B5" s="738"/>
      <c r="C5" s="738"/>
      <c r="D5" s="738"/>
      <c r="E5" s="738"/>
      <c r="F5" s="50"/>
      <c r="G5" s="50"/>
      <c r="H5" s="50"/>
      <c r="I5" s="50"/>
      <c r="J5" s="289"/>
      <c r="K5" s="279"/>
      <c r="L5" s="289"/>
      <c r="M5" s="279"/>
      <c r="N5" s="289"/>
      <c r="O5" s="279"/>
      <c r="P5" s="289"/>
      <c r="Q5" s="279"/>
      <c r="R5" s="279"/>
      <c r="S5" s="289"/>
      <c r="T5" s="289"/>
      <c r="U5" s="304"/>
      <c r="V5" s="289"/>
      <c r="W5" s="279"/>
      <c r="X5" s="753" t="s">
        <v>413</v>
      </c>
      <c r="Y5" s="754"/>
      <c r="Z5" s="754"/>
      <c r="AA5" s="754"/>
      <c r="AB5" s="754"/>
      <c r="AC5" s="754"/>
      <c r="AD5" s="754"/>
      <c r="AE5" s="754"/>
      <c r="AF5" s="754"/>
      <c r="AG5" s="754"/>
    </row>
    <row r="6" spans="1:33" s="53" customFormat="1" ht="15.75" thickBot="1">
      <c r="A6" s="332"/>
      <c r="B6" s="333"/>
      <c r="C6" s="333"/>
      <c r="D6" s="764" t="s">
        <v>382</v>
      </c>
      <c r="E6" s="764"/>
      <c r="F6" s="764"/>
      <c r="G6" s="764"/>
      <c r="H6" s="764" t="s">
        <v>117</v>
      </c>
      <c r="I6" s="764"/>
      <c r="J6" s="764" t="s">
        <v>384</v>
      </c>
      <c r="K6" s="764"/>
      <c r="L6" s="764"/>
      <c r="M6" s="764"/>
      <c r="N6" s="764"/>
      <c r="O6" s="764"/>
      <c r="P6" s="764"/>
      <c r="Q6" s="764"/>
      <c r="R6" s="764"/>
      <c r="S6" s="764"/>
      <c r="T6" s="764"/>
      <c r="U6" s="764"/>
      <c r="V6" s="764" t="s">
        <v>115</v>
      </c>
      <c r="W6" s="764"/>
      <c r="X6" s="764" t="s">
        <v>120</v>
      </c>
      <c r="Y6" s="764"/>
      <c r="Z6" s="764" t="s">
        <v>119</v>
      </c>
      <c r="AA6" s="764"/>
      <c r="AB6" s="764" t="s">
        <v>124</v>
      </c>
      <c r="AC6" s="764"/>
      <c r="AD6" s="764" t="s">
        <v>383</v>
      </c>
      <c r="AE6" s="764"/>
      <c r="AF6" s="764"/>
      <c r="AG6" s="771"/>
    </row>
    <row r="7" spans="1:33" s="57" customFormat="1" ht="12.75">
      <c r="A7" s="334"/>
      <c r="B7" s="335"/>
      <c r="C7" s="335"/>
      <c r="D7" s="336"/>
      <c r="E7" s="337" t="s">
        <v>87</v>
      </c>
      <c r="F7" s="336"/>
      <c r="G7" s="336" t="s">
        <v>90</v>
      </c>
      <c r="H7" s="336" t="s">
        <v>90</v>
      </c>
      <c r="I7" s="336" t="s">
        <v>92</v>
      </c>
      <c r="J7" s="765" t="s">
        <v>2</v>
      </c>
      <c r="K7" s="766"/>
      <c r="L7" s="765" t="s">
        <v>3</v>
      </c>
      <c r="M7" s="766"/>
      <c r="N7" s="765" t="s">
        <v>4</v>
      </c>
      <c r="O7" s="766"/>
      <c r="P7" s="767" t="s">
        <v>11</v>
      </c>
      <c r="Q7" s="767"/>
      <c r="R7" s="767" t="s">
        <v>102</v>
      </c>
      <c r="S7" s="767"/>
      <c r="T7" s="767" t="s">
        <v>0</v>
      </c>
      <c r="U7" s="767"/>
      <c r="V7" s="767"/>
      <c r="W7" s="767"/>
      <c r="X7" s="772"/>
      <c r="Y7" s="772"/>
      <c r="Z7" s="767" t="s">
        <v>113</v>
      </c>
      <c r="AA7" s="767"/>
      <c r="AB7" s="767" t="s">
        <v>125</v>
      </c>
      <c r="AC7" s="767"/>
      <c r="AD7" s="767"/>
      <c r="AE7" s="767"/>
      <c r="AF7" s="338" t="s">
        <v>102</v>
      </c>
      <c r="AG7" s="339"/>
    </row>
    <row r="8" spans="1:33" s="57" customFormat="1" ht="13.5" thickBot="1">
      <c r="A8" s="340"/>
      <c r="B8" s="341"/>
      <c r="C8" s="341"/>
      <c r="D8" s="342" t="s">
        <v>9</v>
      </c>
      <c r="E8" s="343" t="s">
        <v>88</v>
      </c>
      <c r="F8" s="344" t="s">
        <v>1</v>
      </c>
      <c r="G8" s="344" t="s">
        <v>89</v>
      </c>
      <c r="H8" s="344" t="s">
        <v>91</v>
      </c>
      <c r="I8" s="344" t="s">
        <v>87</v>
      </c>
      <c r="J8" s="345" t="s">
        <v>7</v>
      </c>
      <c r="K8" s="346" t="s">
        <v>6</v>
      </c>
      <c r="L8" s="345" t="s">
        <v>7</v>
      </c>
      <c r="M8" s="346" t="s">
        <v>6</v>
      </c>
      <c r="N8" s="345" t="s">
        <v>7</v>
      </c>
      <c r="O8" s="346" t="s">
        <v>6</v>
      </c>
      <c r="P8" s="345" t="s">
        <v>7</v>
      </c>
      <c r="Q8" s="346" t="s">
        <v>6</v>
      </c>
      <c r="R8" s="346" t="s">
        <v>121</v>
      </c>
      <c r="S8" s="345" t="s">
        <v>103</v>
      </c>
      <c r="T8" s="345" t="s">
        <v>7</v>
      </c>
      <c r="U8" s="347" t="s">
        <v>5</v>
      </c>
      <c r="V8" s="345" t="s">
        <v>7</v>
      </c>
      <c r="W8" s="346" t="s">
        <v>6</v>
      </c>
      <c r="X8" s="348" t="s">
        <v>7</v>
      </c>
      <c r="Y8" s="349" t="s">
        <v>6</v>
      </c>
      <c r="Z8" s="347" t="s">
        <v>6</v>
      </c>
      <c r="AA8" s="347" t="s">
        <v>6</v>
      </c>
      <c r="AB8" s="346" t="s">
        <v>6</v>
      </c>
      <c r="AC8" s="345" t="s">
        <v>103</v>
      </c>
      <c r="AD8" s="345" t="s">
        <v>7</v>
      </c>
      <c r="AE8" s="346" t="s">
        <v>6</v>
      </c>
      <c r="AF8" s="345" t="s">
        <v>103</v>
      </c>
      <c r="AG8" s="350"/>
    </row>
    <row r="9" spans="1:33" s="71" customFormat="1" ht="12.75">
      <c r="A9" s="351"/>
      <c r="B9" s="352"/>
      <c r="C9" s="352"/>
      <c r="D9" s="352"/>
      <c r="E9" s="353" t="s">
        <v>94</v>
      </c>
      <c r="F9" s="352"/>
      <c r="G9" s="352" t="s">
        <v>97</v>
      </c>
      <c r="H9" s="352" t="s">
        <v>99</v>
      </c>
      <c r="I9" s="352" t="s">
        <v>100</v>
      </c>
      <c r="J9" s="768" t="s">
        <v>104</v>
      </c>
      <c r="K9" s="769"/>
      <c r="L9" s="768" t="s">
        <v>105</v>
      </c>
      <c r="M9" s="769"/>
      <c r="N9" s="768" t="s">
        <v>106</v>
      </c>
      <c r="O9" s="769"/>
      <c r="P9" s="770" t="s">
        <v>122</v>
      </c>
      <c r="Q9" s="770"/>
      <c r="R9" s="770" t="s">
        <v>108</v>
      </c>
      <c r="S9" s="770"/>
      <c r="T9" s="770" t="s">
        <v>123</v>
      </c>
      <c r="U9" s="770"/>
      <c r="V9" s="354"/>
      <c r="W9" s="355"/>
      <c r="X9" s="356"/>
      <c r="Y9" s="357"/>
      <c r="Z9" s="770" t="s">
        <v>112</v>
      </c>
      <c r="AA9" s="770"/>
      <c r="AB9" s="770" t="s">
        <v>126</v>
      </c>
      <c r="AC9" s="770"/>
      <c r="AD9" s="354"/>
      <c r="AE9" s="355"/>
      <c r="AF9" s="358" t="s">
        <v>108</v>
      </c>
      <c r="AG9" s="359"/>
    </row>
    <row r="10" spans="1:33" s="71" customFormat="1" ht="13.5" thickBot="1">
      <c r="A10" s="360"/>
      <c r="B10" s="362"/>
      <c r="C10" s="363"/>
      <c r="D10" s="362" t="s">
        <v>93</v>
      </c>
      <c r="E10" s="364" t="s">
        <v>95</v>
      </c>
      <c r="F10" s="363" t="s">
        <v>96</v>
      </c>
      <c r="G10" s="363" t="s">
        <v>98</v>
      </c>
      <c r="H10" s="363" t="s">
        <v>98</v>
      </c>
      <c r="I10" s="363" t="s">
        <v>101</v>
      </c>
      <c r="J10" s="365" t="s">
        <v>110</v>
      </c>
      <c r="K10" s="366" t="s">
        <v>107</v>
      </c>
      <c r="L10" s="365" t="s">
        <v>110</v>
      </c>
      <c r="M10" s="366" t="s">
        <v>107</v>
      </c>
      <c r="N10" s="365" t="s">
        <v>110</v>
      </c>
      <c r="O10" s="366" t="s">
        <v>107</v>
      </c>
      <c r="P10" s="365" t="s">
        <v>110</v>
      </c>
      <c r="Q10" s="366" t="s">
        <v>107</v>
      </c>
      <c r="R10" s="366" t="s">
        <v>107</v>
      </c>
      <c r="S10" s="365" t="s">
        <v>109</v>
      </c>
      <c r="T10" s="365" t="s">
        <v>110</v>
      </c>
      <c r="U10" s="367" t="s">
        <v>111</v>
      </c>
      <c r="V10" s="365" t="s">
        <v>110</v>
      </c>
      <c r="W10" s="366" t="s">
        <v>107</v>
      </c>
      <c r="X10" s="368" t="s">
        <v>110</v>
      </c>
      <c r="Y10" s="369" t="s">
        <v>107</v>
      </c>
      <c r="Z10" s="367" t="s">
        <v>107</v>
      </c>
      <c r="AA10" s="367" t="s">
        <v>107</v>
      </c>
      <c r="AB10" s="366" t="s">
        <v>107</v>
      </c>
      <c r="AC10" s="365" t="s">
        <v>109</v>
      </c>
      <c r="AD10" s="365" t="s">
        <v>107</v>
      </c>
      <c r="AE10" s="366" t="s">
        <v>109</v>
      </c>
      <c r="AF10" s="365" t="s">
        <v>109</v>
      </c>
      <c r="AG10" s="361"/>
    </row>
    <row r="11" spans="1:33" s="83" customFormat="1" ht="9.75" customHeight="1">
      <c r="A11" s="324">
        <v>1</v>
      </c>
      <c r="B11" s="658" t="s">
        <v>85</v>
      </c>
      <c r="C11" s="659"/>
      <c r="D11" s="532" t="s">
        <v>412</v>
      </c>
      <c r="E11" s="660">
        <v>40760</v>
      </c>
      <c r="F11" s="531" t="s">
        <v>10</v>
      </c>
      <c r="G11" s="555">
        <v>184</v>
      </c>
      <c r="H11" s="532">
        <v>195</v>
      </c>
      <c r="I11" s="532">
        <v>1</v>
      </c>
      <c r="J11" s="661">
        <v>657080</v>
      </c>
      <c r="K11" s="662">
        <v>57752</v>
      </c>
      <c r="L11" s="661">
        <v>884558</v>
      </c>
      <c r="M11" s="662">
        <v>75610</v>
      </c>
      <c r="N11" s="661">
        <v>869963</v>
      </c>
      <c r="O11" s="662">
        <v>75376</v>
      </c>
      <c r="P11" s="663">
        <f aca="true" t="shared" si="0" ref="P11:Q16">SUM(J11+L11+N11)</f>
        <v>2411601</v>
      </c>
      <c r="Q11" s="664">
        <f t="shared" si="0"/>
        <v>208738</v>
      </c>
      <c r="R11" s="533">
        <f>IF(P11&lt;&gt;0,Q11/H11,"")</f>
        <v>1070.451282051282</v>
      </c>
      <c r="S11" s="534">
        <f>+P11/Q11</f>
        <v>11.55324377928312</v>
      </c>
      <c r="T11" s="535"/>
      <c r="U11" s="536"/>
      <c r="V11" s="534">
        <f aca="true" t="shared" si="1" ref="V11:V42">X11-P11</f>
        <v>1835739</v>
      </c>
      <c r="W11" s="533">
        <f aca="true" t="shared" si="2" ref="W11:W42">Y11-Q11</f>
        <v>187551</v>
      </c>
      <c r="X11" s="593">
        <v>4247340</v>
      </c>
      <c r="Y11" s="594">
        <v>396289</v>
      </c>
      <c r="Z11" s="536">
        <f aca="true" t="shared" si="3" ref="Z11:Z42">Q11*1/Y11</f>
        <v>0.5267317538463091</v>
      </c>
      <c r="AA11" s="536">
        <f aca="true" t="shared" si="4" ref="AA11:AA42">W11*1/Y11</f>
        <v>0.47326824615369084</v>
      </c>
      <c r="AB11" s="533">
        <f aca="true" t="shared" si="5" ref="AB11:AB42">Y11/H11</f>
        <v>2032.251282051282</v>
      </c>
      <c r="AC11" s="534">
        <f aca="true" t="shared" si="6" ref="AC11:AC42">X11/Y11</f>
        <v>10.717784243317377</v>
      </c>
      <c r="AD11" s="587">
        <v>4253612</v>
      </c>
      <c r="AE11" s="588">
        <v>396620</v>
      </c>
      <c r="AF11" s="626">
        <f>+AD11/AE11</f>
        <v>10.724653320558721</v>
      </c>
      <c r="AG11" s="629">
        <v>1</v>
      </c>
    </row>
    <row r="12" spans="1:33" s="83" customFormat="1" ht="9.75" customHeight="1">
      <c r="A12" s="324">
        <v>2</v>
      </c>
      <c r="B12" s="665" t="s">
        <v>85</v>
      </c>
      <c r="C12" s="633"/>
      <c r="D12" s="634" t="s">
        <v>417</v>
      </c>
      <c r="E12" s="635">
        <v>40760</v>
      </c>
      <c r="F12" s="537" t="s">
        <v>32</v>
      </c>
      <c r="G12" s="25">
        <v>101</v>
      </c>
      <c r="H12" s="25">
        <v>137</v>
      </c>
      <c r="I12" s="25">
        <v>1</v>
      </c>
      <c r="J12" s="636">
        <v>187567.5</v>
      </c>
      <c r="K12" s="637">
        <v>17968</v>
      </c>
      <c r="L12" s="636">
        <v>247969.5</v>
      </c>
      <c r="M12" s="637">
        <v>21004</v>
      </c>
      <c r="N12" s="636">
        <v>255894.5</v>
      </c>
      <c r="O12" s="637">
        <v>22370</v>
      </c>
      <c r="P12" s="631">
        <f t="shared" si="0"/>
        <v>691431.5</v>
      </c>
      <c r="Q12" s="632">
        <f t="shared" si="0"/>
        <v>61342</v>
      </c>
      <c r="R12" s="218">
        <f>IF(P12&lt;&gt;0,Q12/H12,"")</f>
        <v>447.75182481751824</v>
      </c>
      <c r="S12" s="297">
        <f>IF(P12&lt;&gt;0,P12/Q12,"")</f>
        <v>11.271746927064655</v>
      </c>
      <c r="T12" s="28"/>
      <c r="U12" s="305"/>
      <c r="V12" s="297">
        <f t="shared" si="1"/>
        <v>431955.5</v>
      </c>
      <c r="W12" s="218">
        <f t="shared" si="2"/>
        <v>46824</v>
      </c>
      <c r="X12" s="597">
        <v>1123387</v>
      </c>
      <c r="Y12" s="598">
        <v>108166</v>
      </c>
      <c r="Z12" s="305">
        <f t="shared" si="3"/>
        <v>0.5671098126953017</v>
      </c>
      <c r="AA12" s="305">
        <f t="shared" si="4"/>
        <v>0.43289018730469836</v>
      </c>
      <c r="AB12" s="218">
        <f t="shared" si="5"/>
        <v>789.5328467153284</v>
      </c>
      <c r="AC12" s="297">
        <f t="shared" si="6"/>
        <v>10.385768171144353</v>
      </c>
      <c r="AD12" s="20">
        <f>1123387</f>
        <v>1123387</v>
      </c>
      <c r="AE12" s="21">
        <f>108166</f>
        <v>108166</v>
      </c>
      <c r="AF12" s="298">
        <f>+AD12/AE12</f>
        <v>10.385768171144353</v>
      </c>
      <c r="AG12" s="629">
        <v>2</v>
      </c>
    </row>
    <row r="13" spans="1:33" s="83" customFormat="1" ht="9.75" customHeight="1">
      <c r="A13" s="324">
        <v>3</v>
      </c>
      <c r="B13" s="666"/>
      <c r="C13" s="638"/>
      <c r="D13" s="537" t="s">
        <v>385</v>
      </c>
      <c r="E13" s="639">
        <v>40739</v>
      </c>
      <c r="F13" s="537" t="s">
        <v>10</v>
      </c>
      <c r="G13" s="16">
        <v>277</v>
      </c>
      <c r="H13" s="16">
        <v>295</v>
      </c>
      <c r="I13" s="16">
        <v>4</v>
      </c>
      <c r="J13" s="17">
        <v>84879</v>
      </c>
      <c r="K13" s="423">
        <v>8045</v>
      </c>
      <c r="L13" s="17">
        <v>116305</v>
      </c>
      <c r="M13" s="423">
        <v>10856</v>
      </c>
      <c r="N13" s="17">
        <v>125469</v>
      </c>
      <c r="O13" s="423">
        <v>11952</v>
      </c>
      <c r="P13" s="631">
        <f t="shared" si="0"/>
        <v>326653</v>
      </c>
      <c r="Q13" s="632">
        <f t="shared" si="0"/>
        <v>30853</v>
      </c>
      <c r="R13" s="218">
        <f>IF(P13&lt;&gt;0,Q13/H13,"")</f>
        <v>104.5864406779661</v>
      </c>
      <c r="S13" s="297">
        <f>+P13/Q13</f>
        <v>10.58739830810618</v>
      </c>
      <c r="T13" s="28">
        <v>565308</v>
      </c>
      <c r="U13" s="305">
        <f aca="true" t="shared" si="7" ref="U13:U23">IF(T13&lt;&gt;0,-(T13-P13)/T13,"")</f>
        <v>-0.42216809243810455</v>
      </c>
      <c r="V13" s="297">
        <f t="shared" si="1"/>
        <v>272406</v>
      </c>
      <c r="W13" s="218">
        <f t="shared" si="2"/>
        <v>30140</v>
      </c>
      <c r="X13" s="603">
        <v>599059</v>
      </c>
      <c r="Y13" s="604">
        <v>60993</v>
      </c>
      <c r="Z13" s="305">
        <f t="shared" si="3"/>
        <v>0.5058449330251013</v>
      </c>
      <c r="AA13" s="305">
        <f t="shared" si="4"/>
        <v>0.49415506697489875</v>
      </c>
      <c r="AB13" s="218">
        <f t="shared" si="5"/>
        <v>206.75593220338982</v>
      </c>
      <c r="AC13" s="297">
        <f t="shared" si="6"/>
        <v>9.821766432213533</v>
      </c>
      <c r="AD13" s="184">
        <v>7331807</v>
      </c>
      <c r="AE13" s="299">
        <v>723527</v>
      </c>
      <c r="AF13" s="309">
        <f>+AD13/AE13</f>
        <v>10.133425566703108</v>
      </c>
      <c r="AG13" s="629">
        <v>3</v>
      </c>
    </row>
    <row r="14" spans="1:33" s="83" customFormat="1" ht="9.75" customHeight="1">
      <c r="A14" s="324">
        <v>4</v>
      </c>
      <c r="B14" s="667"/>
      <c r="C14" s="640"/>
      <c r="D14" s="537" t="s">
        <v>261</v>
      </c>
      <c r="E14" s="639">
        <v>40723</v>
      </c>
      <c r="F14" s="537" t="s">
        <v>23</v>
      </c>
      <c r="G14" s="25">
        <v>323</v>
      </c>
      <c r="H14" s="25">
        <v>119</v>
      </c>
      <c r="I14" s="25">
        <v>6</v>
      </c>
      <c r="J14" s="538">
        <v>26440</v>
      </c>
      <c r="K14" s="539">
        <v>2588</v>
      </c>
      <c r="L14" s="538">
        <v>42608</v>
      </c>
      <c r="M14" s="539">
        <v>3966</v>
      </c>
      <c r="N14" s="538">
        <v>56007</v>
      </c>
      <c r="O14" s="539">
        <v>5426</v>
      </c>
      <c r="P14" s="631">
        <f t="shared" si="0"/>
        <v>125055</v>
      </c>
      <c r="Q14" s="632">
        <f t="shared" si="0"/>
        <v>11980</v>
      </c>
      <c r="R14" s="218">
        <f>IF(P14&lt;&gt;0,Q14/H14,"")</f>
        <v>100.67226890756302</v>
      </c>
      <c r="S14" s="297">
        <f>+P14/Q14</f>
        <v>10.43864774624374</v>
      </c>
      <c r="T14" s="28">
        <v>269587</v>
      </c>
      <c r="U14" s="305">
        <f t="shared" si="7"/>
        <v>-0.5361237745143498</v>
      </c>
      <c r="V14" s="297">
        <f t="shared" si="1"/>
        <v>93565</v>
      </c>
      <c r="W14" s="218">
        <f t="shared" si="2"/>
        <v>10411</v>
      </c>
      <c r="X14" s="595">
        <v>218620</v>
      </c>
      <c r="Y14" s="596">
        <v>22391</v>
      </c>
      <c r="Z14" s="305">
        <f t="shared" si="3"/>
        <v>0.53503639855299</v>
      </c>
      <c r="AA14" s="305">
        <f t="shared" si="4"/>
        <v>0.46496360144700993</v>
      </c>
      <c r="AB14" s="218">
        <f t="shared" si="5"/>
        <v>188.1596638655462</v>
      </c>
      <c r="AC14" s="297">
        <f t="shared" si="6"/>
        <v>9.763744361573847</v>
      </c>
      <c r="AD14" s="22">
        <v>6598898</v>
      </c>
      <c r="AE14" s="437">
        <v>609304</v>
      </c>
      <c r="AF14" s="298">
        <f>AD14/AE14</f>
        <v>10.830222680304084</v>
      </c>
      <c r="AG14" s="629">
        <v>4</v>
      </c>
    </row>
    <row r="15" spans="1:33" s="83" customFormat="1" ht="9.75" customHeight="1">
      <c r="A15" s="324">
        <v>5</v>
      </c>
      <c r="B15" s="668"/>
      <c r="C15" s="633"/>
      <c r="D15" s="542" t="s">
        <v>404</v>
      </c>
      <c r="E15" s="639">
        <v>40753</v>
      </c>
      <c r="F15" s="537" t="s">
        <v>32</v>
      </c>
      <c r="G15" s="25">
        <v>58</v>
      </c>
      <c r="H15" s="25">
        <v>57</v>
      </c>
      <c r="I15" s="25">
        <v>2</v>
      </c>
      <c r="J15" s="636">
        <v>11236.5</v>
      </c>
      <c r="K15" s="637">
        <v>1170</v>
      </c>
      <c r="L15" s="636">
        <v>20409</v>
      </c>
      <c r="M15" s="637">
        <v>2029</v>
      </c>
      <c r="N15" s="636">
        <v>27037</v>
      </c>
      <c r="O15" s="637">
        <v>2651</v>
      </c>
      <c r="P15" s="641">
        <f t="shared" si="0"/>
        <v>58682.5</v>
      </c>
      <c r="Q15" s="642">
        <f t="shared" si="0"/>
        <v>5850</v>
      </c>
      <c r="R15" s="437">
        <f>Q15/H15</f>
        <v>102.63157894736842</v>
      </c>
      <c r="S15" s="297">
        <f>IF(P15&lt;&gt;0,P15/Q15,"")</f>
        <v>10.031196581196582</v>
      </c>
      <c r="T15" s="512">
        <v>97171.5</v>
      </c>
      <c r="U15" s="305">
        <f t="shared" si="7"/>
        <v>-0.39609350478278094</v>
      </c>
      <c r="V15" s="297">
        <f t="shared" si="1"/>
        <v>49436</v>
      </c>
      <c r="W15" s="218">
        <f t="shared" si="2"/>
        <v>5891</v>
      </c>
      <c r="X15" s="597">
        <v>108118.5</v>
      </c>
      <c r="Y15" s="598">
        <v>11741</v>
      </c>
      <c r="Z15" s="305">
        <f t="shared" si="3"/>
        <v>0.4982539817732731</v>
      </c>
      <c r="AA15" s="305">
        <f t="shared" si="4"/>
        <v>0.5017460182267268</v>
      </c>
      <c r="AB15" s="218">
        <f t="shared" si="5"/>
        <v>205.98245614035088</v>
      </c>
      <c r="AC15" s="297">
        <f t="shared" si="6"/>
        <v>9.208627885188655</v>
      </c>
      <c r="AD15" s="20">
        <f>159826+108118.5</f>
        <v>267944.5</v>
      </c>
      <c r="AE15" s="21">
        <f>16534+11741</f>
        <v>28275</v>
      </c>
      <c r="AF15" s="309">
        <f>+AD15/AE15</f>
        <v>9.476374889478338</v>
      </c>
      <c r="AG15" s="629">
        <v>5</v>
      </c>
    </row>
    <row r="16" spans="1:33" s="83" customFormat="1" ht="9.75" customHeight="1">
      <c r="A16" s="324">
        <v>6</v>
      </c>
      <c r="B16" s="667"/>
      <c r="C16" s="633"/>
      <c r="D16" s="554" t="s">
        <v>358</v>
      </c>
      <c r="E16" s="643">
        <v>40732</v>
      </c>
      <c r="F16" s="537" t="s">
        <v>23</v>
      </c>
      <c r="G16" s="25">
        <v>81</v>
      </c>
      <c r="H16" s="25">
        <v>75</v>
      </c>
      <c r="I16" s="25">
        <v>5</v>
      </c>
      <c r="J16" s="538">
        <v>12536</v>
      </c>
      <c r="K16" s="539">
        <v>1184</v>
      </c>
      <c r="L16" s="538">
        <v>23011</v>
      </c>
      <c r="M16" s="539">
        <v>2030</v>
      </c>
      <c r="N16" s="538">
        <v>24711</v>
      </c>
      <c r="O16" s="539">
        <v>2315</v>
      </c>
      <c r="P16" s="631">
        <f t="shared" si="0"/>
        <v>60258</v>
      </c>
      <c r="Q16" s="632">
        <f t="shared" si="0"/>
        <v>5529</v>
      </c>
      <c r="R16" s="218">
        <f>IF(P16&lt;&gt;0,Q16/H16,"")</f>
        <v>73.72</v>
      </c>
      <c r="S16" s="297">
        <f>+P16/Q16</f>
        <v>10.898534997287031</v>
      </c>
      <c r="T16" s="28">
        <v>114524</v>
      </c>
      <c r="U16" s="305">
        <f t="shared" si="7"/>
        <v>-0.4738395445496141</v>
      </c>
      <c r="V16" s="297">
        <f t="shared" si="1"/>
        <v>46306</v>
      </c>
      <c r="W16" s="218">
        <f t="shared" si="2"/>
        <v>5162</v>
      </c>
      <c r="X16" s="595">
        <v>106564</v>
      </c>
      <c r="Y16" s="596">
        <v>10691</v>
      </c>
      <c r="Z16" s="305">
        <f t="shared" si="3"/>
        <v>0.5171639696941353</v>
      </c>
      <c r="AA16" s="305">
        <f t="shared" si="4"/>
        <v>0.48283603030586475</v>
      </c>
      <c r="AB16" s="218">
        <f t="shared" si="5"/>
        <v>142.54666666666665</v>
      </c>
      <c r="AC16" s="297">
        <f t="shared" si="6"/>
        <v>9.967636329623048</v>
      </c>
      <c r="AD16" s="22">
        <v>1191624</v>
      </c>
      <c r="AE16" s="437">
        <v>110921</v>
      </c>
      <c r="AF16" s="590">
        <f>+AD16/AE16</f>
        <v>10.742997268326105</v>
      </c>
      <c r="AG16" s="629">
        <v>6</v>
      </c>
    </row>
    <row r="17" spans="1:33" s="83" customFormat="1" ht="9.75" customHeight="1">
      <c r="A17" s="324">
        <v>7</v>
      </c>
      <c r="B17" s="667"/>
      <c r="C17" s="633"/>
      <c r="D17" s="540" t="s">
        <v>395</v>
      </c>
      <c r="E17" s="639">
        <v>40746</v>
      </c>
      <c r="F17" s="541" t="s">
        <v>8</v>
      </c>
      <c r="G17" s="18">
        <v>26</v>
      </c>
      <c r="H17" s="18">
        <v>27</v>
      </c>
      <c r="I17" s="18">
        <v>3</v>
      </c>
      <c r="J17" s="17">
        <v>10638</v>
      </c>
      <c r="K17" s="423">
        <v>848</v>
      </c>
      <c r="L17" s="17">
        <v>16228</v>
      </c>
      <c r="M17" s="423">
        <v>1300</v>
      </c>
      <c r="N17" s="17">
        <v>21466</v>
      </c>
      <c r="O17" s="423">
        <v>1606</v>
      </c>
      <c r="P17" s="631">
        <f>+J17+L17+N17</f>
        <v>48332</v>
      </c>
      <c r="Q17" s="632">
        <f>+K17+M17+O17</f>
        <v>3754</v>
      </c>
      <c r="R17" s="218">
        <f>IF(P17&lt;&gt;0,Q17/H17,"")</f>
        <v>139.03703703703704</v>
      </c>
      <c r="S17" s="297">
        <f>IF(P17&lt;&gt;0,P17/Q17,"")</f>
        <v>12.87480021310602</v>
      </c>
      <c r="T17" s="28">
        <v>68812</v>
      </c>
      <c r="U17" s="305">
        <f t="shared" si="7"/>
        <v>-0.297622507702145</v>
      </c>
      <c r="V17" s="297">
        <f t="shared" si="1"/>
        <v>34001</v>
      </c>
      <c r="W17" s="218">
        <f t="shared" si="2"/>
        <v>3330</v>
      </c>
      <c r="X17" s="599">
        <v>82333</v>
      </c>
      <c r="Y17" s="600">
        <v>7084</v>
      </c>
      <c r="Z17" s="305">
        <f t="shared" si="3"/>
        <v>0.5299265951439864</v>
      </c>
      <c r="AA17" s="305">
        <f t="shared" si="4"/>
        <v>0.47007340485601357</v>
      </c>
      <c r="AB17" s="218">
        <f t="shared" si="5"/>
        <v>262.3703703703704</v>
      </c>
      <c r="AC17" s="297">
        <f t="shared" si="6"/>
        <v>11.622388481084133</v>
      </c>
      <c r="AD17" s="17">
        <v>340620</v>
      </c>
      <c r="AE17" s="423">
        <v>28247</v>
      </c>
      <c r="AF17" s="298">
        <f>AD17/AE17</f>
        <v>12.058625694764046</v>
      </c>
      <c r="AG17" s="629">
        <v>7</v>
      </c>
    </row>
    <row r="18" spans="1:35" s="83" customFormat="1" ht="9.75" customHeight="1">
      <c r="A18" s="324">
        <v>8</v>
      </c>
      <c r="B18" s="665" t="s">
        <v>85</v>
      </c>
      <c r="C18" s="644"/>
      <c r="D18" s="540" t="s">
        <v>419</v>
      </c>
      <c r="E18" s="639">
        <v>40760</v>
      </c>
      <c r="F18" s="541" t="s">
        <v>8</v>
      </c>
      <c r="G18" s="18">
        <v>15</v>
      </c>
      <c r="H18" s="18">
        <v>15</v>
      </c>
      <c r="I18" s="18">
        <v>1</v>
      </c>
      <c r="J18" s="17">
        <v>9750</v>
      </c>
      <c r="K18" s="423">
        <v>643</v>
      </c>
      <c r="L18" s="17">
        <v>16209</v>
      </c>
      <c r="M18" s="423">
        <v>1069</v>
      </c>
      <c r="N18" s="17">
        <v>17901</v>
      </c>
      <c r="O18" s="423">
        <v>1170</v>
      </c>
      <c r="P18" s="631">
        <f>SUM(J18+L18+N18)</f>
        <v>43860</v>
      </c>
      <c r="Q18" s="632">
        <f>SUM(K18+M18+O18)</f>
        <v>2882</v>
      </c>
      <c r="R18" s="218">
        <f>IF(P18&lt;&gt;0,Q18/H18,"")</f>
        <v>192.13333333333333</v>
      </c>
      <c r="S18" s="297">
        <f>IF(P18&lt;&gt;0,P18/Q18,"")</f>
        <v>15.218598195697432</v>
      </c>
      <c r="T18" s="28"/>
      <c r="U18" s="305">
        <f t="shared" si="7"/>
      </c>
      <c r="V18" s="297">
        <f t="shared" si="1"/>
        <v>26409</v>
      </c>
      <c r="W18" s="218">
        <f t="shared" si="2"/>
        <v>2227</v>
      </c>
      <c r="X18" s="599">
        <v>70269</v>
      </c>
      <c r="Y18" s="600">
        <v>5109</v>
      </c>
      <c r="Z18" s="305">
        <f t="shared" si="3"/>
        <v>0.5641025641025641</v>
      </c>
      <c r="AA18" s="305">
        <f t="shared" si="4"/>
        <v>0.4358974358974359</v>
      </c>
      <c r="AB18" s="218">
        <f t="shared" si="5"/>
        <v>340.6</v>
      </c>
      <c r="AC18" s="297">
        <f t="shared" si="6"/>
        <v>13.75396359365825</v>
      </c>
      <c r="AD18" s="17">
        <v>70269</v>
      </c>
      <c r="AE18" s="423">
        <v>5109</v>
      </c>
      <c r="AF18" s="309">
        <f>+AD18/AE18</f>
        <v>13.75396359365825</v>
      </c>
      <c r="AG18" s="629">
        <v>8</v>
      </c>
      <c r="AI18" s="123"/>
    </row>
    <row r="19" spans="1:33" s="83" customFormat="1" ht="9.75" customHeight="1">
      <c r="A19" s="324">
        <v>9</v>
      </c>
      <c r="B19" s="665" t="s">
        <v>85</v>
      </c>
      <c r="C19" s="633"/>
      <c r="D19" s="537" t="s">
        <v>418</v>
      </c>
      <c r="E19" s="635">
        <v>40760</v>
      </c>
      <c r="F19" s="537" t="s">
        <v>21</v>
      </c>
      <c r="G19" s="16">
        <v>218</v>
      </c>
      <c r="H19" s="16">
        <v>50</v>
      </c>
      <c r="I19" s="16">
        <v>1</v>
      </c>
      <c r="J19" s="17">
        <v>7629</v>
      </c>
      <c r="K19" s="423">
        <v>725</v>
      </c>
      <c r="L19" s="17">
        <v>13424.5</v>
      </c>
      <c r="M19" s="423">
        <v>1226</v>
      </c>
      <c r="N19" s="17">
        <v>15379</v>
      </c>
      <c r="O19" s="423">
        <v>1458</v>
      </c>
      <c r="P19" s="631">
        <f>SUM(J19+L19+N19)</f>
        <v>36432.5</v>
      </c>
      <c r="Q19" s="632">
        <f>SUM(K19+M19+O19)</f>
        <v>3409</v>
      </c>
      <c r="R19" s="437">
        <f>Q19/H19</f>
        <v>68.18</v>
      </c>
      <c r="S19" s="297">
        <f>IF(P19&lt;&gt;0,P19/Q19,"")</f>
        <v>10.68715165737753</v>
      </c>
      <c r="T19" s="28"/>
      <c r="U19" s="305">
        <f t="shared" si="7"/>
      </c>
      <c r="V19" s="297">
        <f t="shared" si="1"/>
        <v>31102.5</v>
      </c>
      <c r="W19" s="218">
        <f t="shared" si="2"/>
        <v>3491</v>
      </c>
      <c r="X19" s="605">
        <v>67535</v>
      </c>
      <c r="Y19" s="606">
        <v>6900</v>
      </c>
      <c r="Z19" s="305">
        <f t="shared" si="3"/>
        <v>0.4940579710144928</v>
      </c>
      <c r="AA19" s="305">
        <f t="shared" si="4"/>
        <v>0.5059420289855072</v>
      </c>
      <c r="AB19" s="218">
        <f t="shared" si="5"/>
        <v>138</v>
      </c>
      <c r="AC19" s="297">
        <f t="shared" si="6"/>
        <v>9.78768115942029</v>
      </c>
      <c r="AD19" s="28">
        <v>67535</v>
      </c>
      <c r="AE19" s="23">
        <v>6900</v>
      </c>
      <c r="AF19" s="298">
        <f>+AD19/AE19</f>
        <v>9.78768115942029</v>
      </c>
      <c r="AG19" s="629">
        <v>9</v>
      </c>
    </row>
    <row r="20" spans="1:33" s="83" customFormat="1" ht="9.75" customHeight="1">
      <c r="A20" s="324">
        <v>10</v>
      </c>
      <c r="B20" s="666"/>
      <c r="C20" s="645" t="s">
        <v>84</v>
      </c>
      <c r="D20" s="542" t="s">
        <v>13</v>
      </c>
      <c r="E20" s="635">
        <v>40585</v>
      </c>
      <c r="F20" s="537" t="s">
        <v>32</v>
      </c>
      <c r="G20" s="25">
        <v>58</v>
      </c>
      <c r="H20" s="25">
        <v>56</v>
      </c>
      <c r="I20" s="25">
        <v>26</v>
      </c>
      <c r="J20" s="636">
        <v>6128.5</v>
      </c>
      <c r="K20" s="637">
        <v>919</v>
      </c>
      <c r="L20" s="636">
        <v>11253.5</v>
      </c>
      <c r="M20" s="637">
        <v>1524</v>
      </c>
      <c r="N20" s="636">
        <v>14420</v>
      </c>
      <c r="O20" s="637">
        <v>1988</v>
      </c>
      <c r="P20" s="631">
        <f>+J20+L20+N20</f>
        <v>31802</v>
      </c>
      <c r="Q20" s="632">
        <f>+K20+M20+O20</f>
        <v>4431</v>
      </c>
      <c r="R20" s="539">
        <f>+Q20/H20</f>
        <v>79.125</v>
      </c>
      <c r="S20" s="538">
        <f>+P20/Q20</f>
        <v>7.177160911758068</v>
      </c>
      <c r="T20" s="28">
        <v>50185.5</v>
      </c>
      <c r="U20" s="305">
        <f t="shared" si="7"/>
        <v>-0.36631098624104574</v>
      </c>
      <c r="V20" s="297">
        <f t="shared" si="1"/>
        <v>31673</v>
      </c>
      <c r="W20" s="218">
        <f t="shared" si="2"/>
        <v>4838</v>
      </c>
      <c r="X20" s="597">
        <v>63475</v>
      </c>
      <c r="Y20" s="598">
        <v>9269</v>
      </c>
      <c r="Z20" s="305">
        <f t="shared" si="3"/>
        <v>0.47804509655842053</v>
      </c>
      <c r="AA20" s="305">
        <f t="shared" si="4"/>
        <v>0.5219549034415795</v>
      </c>
      <c r="AB20" s="218">
        <f t="shared" si="5"/>
        <v>165.51785714285714</v>
      </c>
      <c r="AC20" s="297">
        <f t="shared" si="6"/>
        <v>6.848095803215018</v>
      </c>
      <c r="AD20" s="20">
        <f>236018+209847.25+105622+138051.5+64189.5+34454+20202.5+27754+16946+8179.5+9672.5+8494+21812+25095+12109+8066+3824+4092+15394+226700+172575.5+127465+93972+96529+77366.5+63475.5</f>
        <v>1827906.25</v>
      </c>
      <c r="AE20" s="21">
        <f>25731+24506+13184+19079+9581+4996+3067+4392+3122+1175+1530+1410+3175+3587+1436+923+420+447+1629+25969+20073+15455+11876+13635+10490+9269</f>
        <v>230157</v>
      </c>
      <c r="AF20" s="309">
        <f>+AD20/AE20</f>
        <v>7.9419972019100005</v>
      </c>
      <c r="AG20" s="629">
        <v>10</v>
      </c>
    </row>
    <row r="21" spans="1:33" s="83" customFormat="1" ht="9.75" customHeight="1">
      <c r="A21" s="324">
        <v>11</v>
      </c>
      <c r="B21" s="665" t="s">
        <v>85</v>
      </c>
      <c r="C21" s="633"/>
      <c r="D21" s="548" t="s">
        <v>420</v>
      </c>
      <c r="E21" s="646">
        <v>40760</v>
      </c>
      <c r="F21" s="545" t="s">
        <v>64</v>
      </c>
      <c r="G21" s="547">
        <v>15</v>
      </c>
      <c r="H21" s="547">
        <v>15</v>
      </c>
      <c r="I21" s="547">
        <v>1</v>
      </c>
      <c r="J21" s="512">
        <v>2920</v>
      </c>
      <c r="K21" s="437">
        <v>330</v>
      </c>
      <c r="L21" s="512">
        <v>6143</v>
      </c>
      <c r="M21" s="437">
        <v>656</v>
      </c>
      <c r="N21" s="512">
        <v>8892</v>
      </c>
      <c r="O21" s="437">
        <v>954</v>
      </c>
      <c r="P21" s="631">
        <f>SUM(J21+L21+N21)</f>
        <v>17955</v>
      </c>
      <c r="Q21" s="632">
        <f>SUM(K21+M21+O21)</f>
        <v>1940</v>
      </c>
      <c r="R21" s="218">
        <f>IF(P21&lt;&gt;0,Q21/H21,"")</f>
        <v>129.33333333333334</v>
      </c>
      <c r="S21" s="297">
        <f>IF(P21&lt;&gt;0,P21/Q21,"")</f>
        <v>9.255154639175258</v>
      </c>
      <c r="T21" s="549"/>
      <c r="U21" s="305">
        <f t="shared" si="7"/>
      </c>
      <c r="V21" s="297">
        <f t="shared" si="1"/>
        <v>13925</v>
      </c>
      <c r="W21" s="218">
        <f t="shared" si="2"/>
        <v>1696</v>
      </c>
      <c r="X21" s="601">
        <v>31880</v>
      </c>
      <c r="Y21" s="602">
        <v>3636</v>
      </c>
      <c r="Z21" s="305">
        <f t="shared" si="3"/>
        <v>0.5335533553355336</v>
      </c>
      <c r="AA21" s="305">
        <f t="shared" si="4"/>
        <v>0.46644664466446645</v>
      </c>
      <c r="AB21" s="218">
        <f t="shared" si="5"/>
        <v>242.4</v>
      </c>
      <c r="AC21" s="297">
        <f t="shared" si="6"/>
        <v>8.767876787678768</v>
      </c>
      <c r="AD21" s="512">
        <v>31880</v>
      </c>
      <c r="AE21" s="437">
        <v>3636</v>
      </c>
      <c r="AF21" s="298">
        <f>AD21/AE21</f>
        <v>8.767876787678768</v>
      </c>
      <c r="AG21" s="629">
        <v>11</v>
      </c>
    </row>
    <row r="22" spans="1:35" s="83" customFormat="1" ht="9.75" customHeight="1">
      <c r="A22" s="324">
        <v>12</v>
      </c>
      <c r="B22" s="667"/>
      <c r="C22" s="633"/>
      <c r="D22" s="548" t="s">
        <v>232</v>
      </c>
      <c r="E22" s="635">
        <v>40704</v>
      </c>
      <c r="F22" s="537" t="s">
        <v>23</v>
      </c>
      <c r="G22" s="25">
        <v>144</v>
      </c>
      <c r="H22" s="25">
        <v>34</v>
      </c>
      <c r="I22" s="25">
        <v>9</v>
      </c>
      <c r="J22" s="538">
        <v>3743</v>
      </c>
      <c r="K22" s="539">
        <v>562</v>
      </c>
      <c r="L22" s="538">
        <v>5590</v>
      </c>
      <c r="M22" s="539">
        <v>816</v>
      </c>
      <c r="N22" s="538">
        <v>6039</v>
      </c>
      <c r="O22" s="539">
        <v>889</v>
      </c>
      <c r="P22" s="631">
        <f>SUM(J22+L22+N22)</f>
        <v>15372</v>
      </c>
      <c r="Q22" s="632">
        <f>SUM(K22+M22+O22)</f>
        <v>2267</v>
      </c>
      <c r="R22" s="218">
        <f>IF(P22&lt;&gt;0,Q22/H22,"")</f>
        <v>66.67647058823529</v>
      </c>
      <c r="S22" s="297">
        <f>+P22/Q22</f>
        <v>6.7807675341861495</v>
      </c>
      <c r="T22" s="28">
        <v>60219</v>
      </c>
      <c r="U22" s="305">
        <f t="shared" si="7"/>
        <v>-0.7447317291884621</v>
      </c>
      <c r="V22" s="297">
        <f t="shared" si="1"/>
        <v>13419</v>
      </c>
      <c r="W22" s="218">
        <f t="shared" si="2"/>
        <v>1906</v>
      </c>
      <c r="X22" s="595">
        <v>28791</v>
      </c>
      <c r="Y22" s="596">
        <v>4173</v>
      </c>
      <c r="Z22" s="305">
        <f t="shared" si="3"/>
        <v>0.5432542535346274</v>
      </c>
      <c r="AA22" s="305">
        <f t="shared" si="4"/>
        <v>0.45674574646537264</v>
      </c>
      <c r="AB22" s="218">
        <f t="shared" si="5"/>
        <v>122.73529411764706</v>
      </c>
      <c r="AC22" s="297">
        <f t="shared" si="6"/>
        <v>6.899352983465133</v>
      </c>
      <c r="AD22" s="22">
        <v>3632808</v>
      </c>
      <c r="AE22" s="437">
        <v>327586</v>
      </c>
      <c r="AF22" s="309">
        <f>+AD22/AE22</f>
        <v>11.089631425030374</v>
      </c>
      <c r="AG22" s="629">
        <v>12</v>
      </c>
      <c r="AI22" s="123"/>
    </row>
    <row r="23" spans="1:35" s="83" customFormat="1" ht="9.75" customHeight="1">
      <c r="A23" s="324">
        <v>13</v>
      </c>
      <c r="B23" s="669"/>
      <c r="C23" s="633"/>
      <c r="D23" s="537" t="s">
        <v>360</v>
      </c>
      <c r="E23" s="635">
        <v>40732</v>
      </c>
      <c r="F23" s="537" t="s">
        <v>21</v>
      </c>
      <c r="G23" s="16">
        <v>23</v>
      </c>
      <c r="H23" s="16">
        <v>23</v>
      </c>
      <c r="I23" s="16">
        <v>5</v>
      </c>
      <c r="J23" s="17">
        <v>2410</v>
      </c>
      <c r="K23" s="423">
        <v>336</v>
      </c>
      <c r="L23" s="17">
        <v>5084.5</v>
      </c>
      <c r="M23" s="423">
        <v>654</v>
      </c>
      <c r="N23" s="17">
        <v>6413.5</v>
      </c>
      <c r="O23" s="423">
        <v>840</v>
      </c>
      <c r="P23" s="631">
        <f>+J23+L23+N23</f>
        <v>13908</v>
      </c>
      <c r="Q23" s="632">
        <f>+K23+M23+O23</f>
        <v>1830</v>
      </c>
      <c r="R23" s="539">
        <f>+Q23/H23</f>
        <v>79.56521739130434</v>
      </c>
      <c r="S23" s="297">
        <f>+P23/Q23</f>
        <v>7.6</v>
      </c>
      <c r="T23" s="28">
        <v>14075</v>
      </c>
      <c r="U23" s="305">
        <f t="shared" si="7"/>
        <v>-0.011865008880994671</v>
      </c>
      <c r="V23" s="297">
        <f t="shared" si="1"/>
        <v>13127</v>
      </c>
      <c r="W23" s="218">
        <f t="shared" si="2"/>
        <v>1909</v>
      </c>
      <c r="X23" s="605">
        <v>27035</v>
      </c>
      <c r="Y23" s="606">
        <v>3739</v>
      </c>
      <c r="Z23" s="305">
        <f t="shared" si="3"/>
        <v>0.489435677988767</v>
      </c>
      <c r="AA23" s="305">
        <f t="shared" si="4"/>
        <v>0.5105643220112329</v>
      </c>
      <c r="AB23" s="218">
        <f t="shared" si="5"/>
        <v>162.56521739130434</v>
      </c>
      <c r="AC23" s="297">
        <f t="shared" si="6"/>
        <v>7.23054292591602</v>
      </c>
      <c r="AD23" s="28">
        <f>63653+42613.5+25162+24678+27035</f>
        <v>183141.5</v>
      </c>
      <c r="AE23" s="23">
        <f>5385+3679+2937+3272+3739</f>
        <v>19012</v>
      </c>
      <c r="AF23" s="298">
        <f>AD23/AE23</f>
        <v>9.632942352198612</v>
      </c>
      <c r="AG23" s="629">
        <v>13</v>
      </c>
      <c r="AI23" s="123"/>
    </row>
    <row r="24" spans="1:35" s="83" customFormat="1" ht="9.75" customHeight="1">
      <c r="A24" s="324">
        <v>14</v>
      </c>
      <c r="B24" s="665" t="s">
        <v>85</v>
      </c>
      <c r="C24" s="633"/>
      <c r="D24" s="647" t="s">
        <v>425</v>
      </c>
      <c r="E24" s="648">
        <v>40760</v>
      </c>
      <c r="F24" s="537" t="s">
        <v>32</v>
      </c>
      <c r="G24" s="649">
        <v>8</v>
      </c>
      <c r="H24" s="25">
        <v>8</v>
      </c>
      <c r="I24" s="649">
        <v>1</v>
      </c>
      <c r="J24" s="636">
        <v>3189</v>
      </c>
      <c r="K24" s="637">
        <v>213</v>
      </c>
      <c r="L24" s="636">
        <v>5185</v>
      </c>
      <c r="M24" s="637">
        <v>358</v>
      </c>
      <c r="N24" s="636">
        <v>5381.5</v>
      </c>
      <c r="O24" s="637">
        <v>359</v>
      </c>
      <c r="P24" s="641">
        <f aca="true" t="shared" si="8" ref="P24:Q26">SUM(J24+L24+N24)</f>
        <v>13755.5</v>
      </c>
      <c r="Q24" s="642">
        <f t="shared" si="8"/>
        <v>930</v>
      </c>
      <c r="R24" s="437">
        <f>Q24/H24</f>
        <v>116.25</v>
      </c>
      <c r="S24" s="297">
        <f>IF(P24&lt;&gt;0,P24/Q24,"")</f>
        <v>14.790860215053764</v>
      </c>
      <c r="T24" s="512"/>
      <c r="U24" s="305"/>
      <c r="V24" s="297">
        <f t="shared" si="1"/>
        <v>9460.5</v>
      </c>
      <c r="W24" s="218">
        <f t="shared" si="2"/>
        <v>773</v>
      </c>
      <c r="X24" s="597">
        <v>23216</v>
      </c>
      <c r="Y24" s="598">
        <v>1703</v>
      </c>
      <c r="Z24" s="305">
        <f t="shared" si="3"/>
        <v>0.546095126247798</v>
      </c>
      <c r="AA24" s="305">
        <f t="shared" si="4"/>
        <v>0.453904873752202</v>
      </c>
      <c r="AB24" s="218">
        <f t="shared" si="5"/>
        <v>212.875</v>
      </c>
      <c r="AC24" s="297">
        <f t="shared" si="6"/>
        <v>13.632413388138579</v>
      </c>
      <c r="AD24" s="20">
        <f>23216</f>
        <v>23216</v>
      </c>
      <c r="AE24" s="21">
        <f>1703</f>
        <v>1703</v>
      </c>
      <c r="AF24" s="298">
        <f>+AD24/AE24</f>
        <v>13.632413388138579</v>
      </c>
      <c r="AG24" s="629">
        <v>14</v>
      </c>
      <c r="AI24" s="123"/>
    </row>
    <row r="25" spans="1:33" s="83" customFormat="1" ht="9.75" customHeight="1">
      <c r="A25" s="324">
        <v>15</v>
      </c>
      <c r="B25" s="668"/>
      <c r="C25" s="633"/>
      <c r="D25" s="542" t="s">
        <v>244</v>
      </c>
      <c r="E25" s="635">
        <v>40718</v>
      </c>
      <c r="F25" s="537" t="s">
        <v>32</v>
      </c>
      <c r="G25" s="25">
        <v>42</v>
      </c>
      <c r="H25" s="25">
        <v>28</v>
      </c>
      <c r="I25" s="25">
        <v>7</v>
      </c>
      <c r="J25" s="636">
        <v>2271</v>
      </c>
      <c r="K25" s="637">
        <v>367</v>
      </c>
      <c r="L25" s="636">
        <v>2988.5</v>
      </c>
      <c r="M25" s="637">
        <v>439</v>
      </c>
      <c r="N25" s="636">
        <v>4343</v>
      </c>
      <c r="O25" s="637">
        <v>628</v>
      </c>
      <c r="P25" s="631">
        <f t="shared" si="8"/>
        <v>9602.5</v>
      </c>
      <c r="Q25" s="632">
        <f t="shared" si="8"/>
        <v>1434</v>
      </c>
      <c r="R25" s="539">
        <f>+Q25/H25</f>
        <v>51.214285714285715</v>
      </c>
      <c r="S25" s="538">
        <f>+P25/Q25</f>
        <v>6.696304044630405</v>
      </c>
      <c r="T25" s="28">
        <v>27951</v>
      </c>
      <c r="U25" s="305">
        <f aca="true" t="shared" si="9" ref="U25:U35">IF(T25&lt;&gt;0,-(T25-P25)/T25,"")</f>
        <v>-0.6564523630639333</v>
      </c>
      <c r="V25" s="297">
        <f t="shared" si="1"/>
        <v>11163.5</v>
      </c>
      <c r="W25" s="218">
        <f t="shared" si="2"/>
        <v>1811</v>
      </c>
      <c r="X25" s="597">
        <v>20766</v>
      </c>
      <c r="Y25" s="598">
        <v>3245</v>
      </c>
      <c r="Z25" s="305">
        <f t="shared" si="3"/>
        <v>0.4419106317411402</v>
      </c>
      <c r="AA25" s="305">
        <f t="shared" si="4"/>
        <v>0.5580893682588598</v>
      </c>
      <c r="AB25" s="218">
        <f t="shared" si="5"/>
        <v>115.89285714285714</v>
      </c>
      <c r="AC25" s="297">
        <f t="shared" si="6"/>
        <v>6.3993836671802775</v>
      </c>
      <c r="AD25" s="20">
        <f>206744+133125+83915.5+50898.5+53053.5+49526+20766</f>
        <v>598028.5</v>
      </c>
      <c r="AE25" s="21">
        <f>19325+12664+8208+6197+7341+6951+3245</f>
        <v>63931</v>
      </c>
      <c r="AF25" s="309">
        <f>+AD25/AE25</f>
        <v>9.354280396051994</v>
      </c>
      <c r="AG25" s="629">
        <v>15</v>
      </c>
    </row>
    <row r="26" spans="1:35" s="83" customFormat="1" ht="9.75" customHeight="1">
      <c r="A26" s="324">
        <v>16</v>
      </c>
      <c r="B26" s="668"/>
      <c r="C26" s="633"/>
      <c r="D26" s="537" t="s">
        <v>263</v>
      </c>
      <c r="E26" s="639">
        <v>40725</v>
      </c>
      <c r="F26" s="537" t="s">
        <v>64</v>
      </c>
      <c r="G26" s="547">
        <v>18</v>
      </c>
      <c r="H26" s="547">
        <v>18</v>
      </c>
      <c r="I26" s="547">
        <v>6</v>
      </c>
      <c r="J26" s="512">
        <v>2399</v>
      </c>
      <c r="K26" s="437">
        <v>288</v>
      </c>
      <c r="L26" s="512">
        <v>3148.5</v>
      </c>
      <c r="M26" s="437">
        <v>368</v>
      </c>
      <c r="N26" s="512">
        <v>4755</v>
      </c>
      <c r="O26" s="437">
        <v>532</v>
      </c>
      <c r="P26" s="631">
        <f t="shared" si="8"/>
        <v>10302.5</v>
      </c>
      <c r="Q26" s="632">
        <f t="shared" si="8"/>
        <v>1188</v>
      </c>
      <c r="R26" s="539">
        <f>+Q26/H26</f>
        <v>66</v>
      </c>
      <c r="S26" s="297">
        <f>IF(P26&lt;&gt;0,P26/Q26,"")</f>
        <v>8.672138047138047</v>
      </c>
      <c r="T26" s="28">
        <v>17357</v>
      </c>
      <c r="U26" s="305">
        <f t="shared" si="9"/>
        <v>-0.40643544391311864</v>
      </c>
      <c r="V26" s="297">
        <f t="shared" si="1"/>
        <v>10380.5</v>
      </c>
      <c r="W26" s="218">
        <f t="shared" si="2"/>
        <v>1403</v>
      </c>
      <c r="X26" s="601">
        <v>20683</v>
      </c>
      <c r="Y26" s="602">
        <v>2591</v>
      </c>
      <c r="Z26" s="305">
        <f t="shared" si="3"/>
        <v>0.4585102277113084</v>
      </c>
      <c r="AA26" s="305">
        <f t="shared" si="4"/>
        <v>0.5414897722886917</v>
      </c>
      <c r="AB26" s="218">
        <f t="shared" si="5"/>
        <v>143.94444444444446</v>
      </c>
      <c r="AC26" s="297">
        <f t="shared" si="6"/>
        <v>7.982632188344269</v>
      </c>
      <c r="AD26" s="512">
        <v>177418</v>
      </c>
      <c r="AE26" s="437">
        <v>17719</v>
      </c>
      <c r="AF26" s="309">
        <f>+AD26/AE26</f>
        <v>10.012867543315085</v>
      </c>
      <c r="AG26" s="629">
        <v>16</v>
      </c>
      <c r="AI26" s="123"/>
    </row>
    <row r="27" spans="1:34" s="83" customFormat="1" ht="9.75" customHeight="1">
      <c r="A27" s="324">
        <v>17</v>
      </c>
      <c r="B27" s="670"/>
      <c r="C27" s="644"/>
      <c r="D27" s="537" t="s">
        <v>396</v>
      </c>
      <c r="E27" s="646">
        <v>40746</v>
      </c>
      <c r="F27" s="537" t="s">
        <v>21</v>
      </c>
      <c r="G27" s="16">
        <v>23</v>
      </c>
      <c r="H27" s="16">
        <v>23</v>
      </c>
      <c r="I27" s="16">
        <v>3</v>
      </c>
      <c r="J27" s="17">
        <v>1566</v>
      </c>
      <c r="K27" s="423">
        <v>176</v>
      </c>
      <c r="L27" s="17">
        <v>3002</v>
      </c>
      <c r="M27" s="423">
        <v>338</v>
      </c>
      <c r="N27" s="17">
        <v>4746</v>
      </c>
      <c r="O27" s="423">
        <v>534</v>
      </c>
      <c r="P27" s="650">
        <f>J27+L27+N27</f>
        <v>9314</v>
      </c>
      <c r="Q27" s="651">
        <f>K27+M27+O27</f>
        <v>1048</v>
      </c>
      <c r="R27" s="218">
        <f>Q27/H27</f>
        <v>45.56521739130435</v>
      </c>
      <c r="S27" s="297">
        <f>P27/Q27</f>
        <v>8.88740458015267</v>
      </c>
      <c r="T27" s="538">
        <v>16567.5</v>
      </c>
      <c r="U27" s="305">
        <f t="shared" si="9"/>
        <v>-0.4378149992455108</v>
      </c>
      <c r="V27" s="297">
        <f t="shared" si="1"/>
        <v>8383.5</v>
      </c>
      <c r="W27" s="218">
        <f t="shared" si="2"/>
        <v>1060</v>
      </c>
      <c r="X27" s="605">
        <v>17697.5</v>
      </c>
      <c r="Y27" s="606">
        <v>2108</v>
      </c>
      <c r="Z27" s="305">
        <f t="shared" si="3"/>
        <v>0.4971537001897533</v>
      </c>
      <c r="AA27" s="305">
        <f t="shared" si="4"/>
        <v>0.5028462998102466</v>
      </c>
      <c r="AB27" s="218">
        <f t="shared" si="5"/>
        <v>91.65217391304348</v>
      </c>
      <c r="AC27" s="297">
        <f t="shared" si="6"/>
        <v>8.395398481973434</v>
      </c>
      <c r="AD27" s="28">
        <f>47685+27229.5+17697.5</f>
        <v>92612</v>
      </c>
      <c r="AE27" s="23">
        <f>4321+2419+2108</f>
        <v>8848</v>
      </c>
      <c r="AF27" s="298">
        <f>AD27/AE27</f>
        <v>10.466998191681736</v>
      </c>
      <c r="AG27" s="629">
        <v>17</v>
      </c>
      <c r="AH27" s="123"/>
    </row>
    <row r="28" spans="1:33" s="83" customFormat="1" ht="9.75" customHeight="1">
      <c r="A28" s="324">
        <v>18</v>
      </c>
      <c r="B28" s="671"/>
      <c r="C28" s="645" t="s">
        <v>84</v>
      </c>
      <c r="D28" s="652">
        <v>40</v>
      </c>
      <c r="E28" s="646">
        <v>40739</v>
      </c>
      <c r="F28" s="537" t="s">
        <v>32</v>
      </c>
      <c r="G28" s="25">
        <v>17</v>
      </c>
      <c r="H28" s="25">
        <v>38</v>
      </c>
      <c r="I28" s="25">
        <v>4</v>
      </c>
      <c r="J28" s="636">
        <v>1585</v>
      </c>
      <c r="K28" s="637">
        <v>207</v>
      </c>
      <c r="L28" s="636">
        <v>2897</v>
      </c>
      <c r="M28" s="637">
        <v>365</v>
      </c>
      <c r="N28" s="636">
        <v>4218</v>
      </c>
      <c r="O28" s="637">
        <v>543</v>
      </c>
      <c r="P28" s="641">
        <f>SUM(J28+L28+N28)</f>
        <v>8700</v>
      </c>
      <c r="Q28" s="642">
        <f>SUM(K28+M28+O28)</f>
        <v>1115</v>
      </c>
      <c r="R28" s="544">
        <f>IF(P28&lt;&gt;0,Q28/H28,"")</f>
        <v>29.342105263157894</v>
      </c>
      <c r="S28" s="297">
        <f>IF(P28&lt;&gt;0,P28/Q28,"")</f>
        <v>7.802690582959642</v>
      </c>
      <c r="T28" s="512">
        <v>24245.5</v>
      </c>
      <c r="U28" s="305">
        <f t="shared" si="9"/>
        <v>-0.6411705264894516</v>
      </c>
      <c r="V28" s="297">
        <f t="shared" si="1"/>
        <v>8446.5</v>
      </c>
      <c r="W28" s="218">
        <f t="shared" si="2"/>
        <v>1232</v>
      </c>
      <c r="X28" s="597">
        <v>17146.5</v>
      </c>
      <c r="Y28" s="598">
        <v>2347</v>
      </c>
      <c r="Z28" s="305">
        <f t="shared" si="3"/>
        <v>0.47507456327226244</v>
      </c>
      <c r="AA28" s="305">
        <f t="shared" si="4"/>
        <v>0.5249254367277375</v>
      </c>
      <c r="AB28" s="218">
        <f t="shared" si="5"/>
        <v>61.76315789473684</v>
      </c>
      <c r="AC28" s="297">
        <f t="shared" si="6"/>
        <v>7.305709416276097</v>
      </c>
      <c r="AD28" s="20">
        <f>100961+78170+39198.5+17146.5</f>
        <v>235476</v>
      </c>
      <c r="AE28" s="21">
        <f>10897+8433+4553+2347</f>
        <v>26230</v>
      </c>
      <c r="AF28" s="298">
        <f>AD28/AE28</f>
        <v>8.977354174609227</v>
      </c>
      <c r="AG28" s="629">
        <v>18</v>
      </c>
    </row>
    <row r="29" spans="1:33" s="83" customFormat="1" ht="9.75" customHeight="1">
      <c r="A29" s="324">
        <v>19</v>
      </c>
      <c r="B29" s="670"/>
      <c r="C29" s="633"/>
      <c r="D29" s="540" t="s">
        <v>406</v>
      </c>
      <c r="E29" s="635">
        <v>40753</v>
      </c>
      <c r="F29" s="540" t="s">
        <v>74</v>
      </c>
      <c r="G29" s="540">
        <v>10</v>
      </c>
      <c r="H29" s="577">
        <v>10</v>
      </c>
      <c r="I29" s="577">
        <v>2</v>
      </c>
      <c r="J29" s="512">
        <v>1745</v>
      </c>
      <c r="K29" s="437">
        <v>212</v>
      </c>
      <c r="L29" s="512">
        <v>2775</v>
      </c>
      <c r="M29" s="437">
        <v>347</v>
      </c>
      <c r="N29" s="512">
        <v>4810</v>
      </c>
      <c r="O29" s="437">
        <v>554</v>
      </c>
      <c r="P29" s="631">
        <f>+J29+L29+N29</f>
        <v>9330</v>
      </c>
      <c r="Q29" s="632">
        <f>+K29+M29+O29</f>
        <v>1113</v>
      </c>
      <c r="R29" s="218">
        <f>IF(P29&lt;&gt;0,Q29/H29,"")</f>
        <v>111.3</v>
      </c>
      <c r="S29" s="297">
        <f>IF(P29&lt;&gt;0,P29/Q29,"")</f>
        <v>8.382749326145552</v>
      </c>
      <c r="T29" s="28">
        <v>20970</v>
      </c>
      <c r="U29" s="305">
        <f t="shared" si="9"/>
        <v>-0.5550786838340487</v>
      </c>
      <c r="V29" s="297">
        <f t="shared" si="1"/>
        <v>5889</v>
      </c>
      <c r="W29" s="218">
        <f t="shared" si="2"/>
        <v>786</v>
      </c>
      <c r="X29" s="595">
        <v>15219</v>
      </c>
      <c r="Y29" s="596">
        <v>1899</v>
      </c>
      <c r="Z29" s="305">
        <f t="shared" si="3"/>
        <v>0.5860979462875198</v>
      </c>
      <c r="AA29" s="305">
        <f t="shared" si="4"/>
        <v>0.41390205371248023</v>
      </c>
      <c r="AB29" s="218">
        <f t="shared" si="5"/>
        <v>189.9</v>
      </c>
      <c r="AC29" s="297">
        <f t="shared" si="6"/>
        <v>8.014218009478673</v>
      </c>
      <c r="AD29" s="22">
        <v>46724</v>
      </c>
      <c r="AE29" s="23">
        <v>5392</v>
      </c>
      <c r="AF29" s="309">
        <f>+AD29/AE29</f>
        <v>8.665430267062314</v>
      </c>
      <c r="AG29" s="629">
        <v>19</v>
      </c>
    </row>
    <row r="30" spans="1:33" s="83" customFormat="1" ht="9.75" customHeight="1">
      <c r="A30" s="324">
        <v>20</v>
      </c>
      <c r="B30" s="672"/>
      <c r="C30" s="633"/>
      <c r="D30" s="537" t="s">
        <v>387</v>
      </c>
      <c r="E30" s="646">
        <v>40739</v>
      </c>
      <c r="F30" s="537" t="s">
        <v>64</v>
      </c>
      <c r="G30" s="540">
        <v>15</v>
      </c>
      <c r="H30" s="547">
        <v>14</v>
      </c>
      <c r="I30" s="547">
        <v>4</v>
      </c>
      <c r="J30" s="512">
        <v>1806</v>
      </c>
      <c r="K30" s="437">
        <v>208</v>
      </c>
      <c r="L30" s="512">
        <v>2840.5</v>
      </c>
      <c r="M30" s="437">
        <v>307</v>
      </c>
      <c r="N30" s="512">
        <v>3425</v>
      </c>
      <c r="O30" s="437">
        <v>357</v>
      </c>
      <c r="P30" s="641">
        <f>SUM(J30+L30+N30)</f>
        <v>8071.5</v>
      </c>
      <c r="Q30" s="642">
        <f>SUM(K30+M30+O30)</f>
        <v>872</v>
      </c>
      <c r="R30" s="437">
        <f>Q30/H30</f>
        <v>62.285714285714285</v>
      </c>
      <c r="S30" s="297">
        <f>+P30/Q30</f>
        <v>9.256307339449542</v>
      </c>
      <c r="T30" s="512">
        <v>15785</v>
      </c>
      <c r="U30" s="305">
        <f t="shared" si="9"/>
        <v>-0.48866012036743744</v>
      </c>
      <c r="V30" s="297">
        <f t="shared" si="1"/>
        <v>7024.5</v>
      </c>
      <c r="W30" s="218">
        <f t="shared" si="2"/>
        <v>848</v>
      </c>
      <c r="X30" s="601">
        <v>15096</v>
      </c>
      <c r="Y30" s="602">
        <v>1720</v>
      </c>
      <c r="Z30" s="305">
        <f t="shared" si="3"/>
        <v>0.5069767441860465</v>
      </c>
      <c r="AA30" s="305">
        <f t="shared" si="4"/>
        <v>0.4930232558139535</v>
      </c>
      <c r="AB30" s="218">
        <f t="shared" si="5"/>
        <v>122.85714285714286</v>
      </c>
      <c r="AC30" s="297">
        <f t="shared" si="6"/>
        <v>8.776744186046512</v>
      </c>
      <c r="AD30" s="512">
        <v>84776.5</v>
      </c>
      <c r="AE30" s="437">
        <v>8418</v>
      </c>
      <c r="AF30" s="309">
        <f>+AD30/AE30</f>
        <v>10.070860061772393</v>
      </c>
      <c r="AG30" s="629">
        <v>20</v>
      </c>
    </row>
    <row r="31" spans="1:33" s="83" customFormat="1" ht="9.75" customHeight="1">
      <c r="A31" s="324">
        <v>21</v>
      </c>
      <c r="B31" s="673"/>
      <c r="C31" s="633"/>
      <c r="D31" s="542" t="s">
        <v>245</v>
      </c>
      <c r="E31" s="635">
        <v>40718</v>
      </c>
      <c r="F31" s="537" t="s">
        <v>32</v>
      </c>
      <c r="G31" s="25">
        <v>25</v>
      </c>
      <c r="H31" s="25">
        <v>22</v>
      </c>
      <c r="I31" s="25">
        <v>7</v>
      </c>
      <c r="J31" s="636">
        <v>1290</v>
      </c>
      <c r="K31" s="637">
        <v>157</v>
      </c>
      <c r="L31" s="636">
        <v>3426.5</v>
      </c>
      <c r="M31" s="637">
        <v>429</v>
      </c>
      <c r="N31" s="636">
        <v>4297</v>
      </c>
      <c r="O31" s="637">
        <v>543</v>
      </c>
      <c r="P31" s="631">
        <f>+J31+L31+N31</f>
        <v>9013.5</v>
      </c>
      <c r="Q31" s="632">
        <f>+K31+M31+O31</f>
        <v>1129</v>
      </c>
      <c r="R31" s="539">
        <f>+Q31/H31</f>
        <v>51.31818181818182</v>
      </c>
      <c r="S31" s="297">
        <f>+P31/Q31</f>
        <v>7.983613817537644</v>
      </c>
      <c r="T31" s="28">
        <v>19660</v>
      </c>
      <c r="U31" s="305">
        <f t="shared" si="9"/>
        <v>-0.5415310274669379</v>
      </c>
      <c r="V31" s="297">
        <f t="shared" si="1"/>
        <v>6033.5</v>
      </c>
      <c r="W31" s="218">
        <f t="shared" si="2"/>
        <v>939</v>
      </c>
      <c r="X31" s="597">
        <v>15047</v>
      </c>
      <c r="Y31" s="598">
        <v>2068</v>
      </c>
      <c r="Z31" s="305">
        <f t="shared" si="3"/>
        <v>0.5459381044487428</v>
      </c>
      <c r="AA31" s="305">
        <f t="shared" si="4"/>
        <v>0.45406189555125726</v>
      </c>
      <c r="AB31" s="218">
        <f t="shared" si="5"/>
        <v>94</v>
      </c>
      <c r="AC31" s="297">
        <f t="shared" si="6"/>
        <v>7.276112185686654</v>
      </c>
      <c r="AD31" s="20">
        <f>57373+29138.5+18608.5+18274+18081+33158.5+15047</f>
        <v>189680.5</v>
      </c>
      <c r="AE31" s="21">
        <f>5353+2775+2460+2094+2184+3706+2068</f>
        <v>20640</v>
      </c>
      <c r="AF31" s="591">
        <f>AD31/AE31</f>
        <v>9.189946705426356</v>
      </c>
      <c r="AG31" s="629">
        <v>21</v>
      </c>
    </row>
    <row r="32" spans="1:33" s="83" customFormat="1" ht="9.75" customHeight="1">
      <c r="A32" s="324">
        <v>22</v>
      </c>
      <c r="B32" s="668"/>
      <c r="C32" s="645" t="s">
        <v>84</v>
      </c>
      <c r="D32" s="546" t="s">
        <v>24</v>
      </c>
      <c r="E32" s="653">
        <v>40550</v>
      </c>
      <c r="F32" s="537" t="s">
        <v>23</v>
      </c>
      <c r="G32" s="25">
        <v>356</v>
      </c>
      <c r="H32" s="25">
        <v>2</v>
      </c>
      <c r="I32" s="25">
        <v>31</v>
      </c>
      <c r="J32" s="538">
        <v>1365</v>
      </c>
      <c r="K32" s="539">
        <v>395</v>
      </c>
      <c r="L32" s="538">
        <v>1365</v>
      </c>
      <c r="M32" s="539">
        <v>395</v>
      </c>
      <c r="N32" s="538">
        <v>1365</v>
      </c>
      <c r="O32" s="539">
        <v>395</v>
      </c>
      <c r="P32" s="631">
        <f>SUM(J32+L32+N32)</f>
        <v>4095</v>
      </c>
      <c r="Q32" s="632">
        <f>SUM(K32+M32+O32)</f>
        <v>1185</v>
      </c>
      <c r="R32" s="218">
        <f>IF(P32&lt;&gt;0,Q32/H32,"")</f>
        <v>592.5</v>
      </c>
      <c r="S32" s="297">
        <f>+P32/Q32</f>
        <v>3.4556962025316458</v>
      </c>
      <c r="T32" s="28">
        <v>957</v>
      </c>
      <c r="U32" s="305">
        <f t="shared" si="9"/>
        <v>3.2789968652037618</v>
      </c>
      <c r="V32" s="297">
        <f t="shared" si="1"/>
        <v>10829</v>
      </c>
      <c r="W32" s="218">
        <f t="shared" si="2"/>
        <v>3330</v>
      </c>
      <c r="X32" s="595">
        <v>14924</v>
      </c>
      <c r="Y32" s="596">
        <v>4515</v>
      </c>
      <c r="Z32" s="305">
        <f t="shared" si="3"/>
        <v>0.26245847176079734</v>
      </c>
      <c r="AA32" s="305">
        <f t="shared" si="4"/>
        <v>0.7375415282392026</v>
      </c>
      <c r="AB32" s="218">
        <f t="shared" si="5"/>
        <v>2257.5</v>
      </c>
      <c r="AC32" s="297">
        <f t="shared" si="6"/>
        <v>3.3054263565891473</v>
      </c>
      <c r="AD32" s="22">
        <v>36644880</v>
      </c>
      <c r="AE32" s="437">
        <v>3952651</v>
      </c>
      <c r="AF32" s="309">
        <f>+AD32/AE32</f>
        <v>9.270962703259155</v>
      </c>
      <c r="AG32" s="629">
        <v>22</v>
      </c>
    </row>
    <row r="33" spans="1:33" s="83" customFormat="1" ht="9.75" customHeight="1">
      <c r="A33" s="324">
        <v>23</v>
      </c>
      <c r="B33" s="674"/>
      <c r="C33" s="633"/>
      <c r="D33" s="537" t="s">
        <v>359</v>
      </c>
      <c r="E33" s="653">
        <v>40697</v>
      </c>
      <c r="F33" s="537" t="s">
        <v>10</v>
      </c>
      <c r="G33" s="16">
        <v>101</v>
      </c>
      <c r="H33" s="16">
        <v>13</v>
      </c>
      <c r="I33" s="16">
        <v>10</v>
      </c>
      <c r="J33" s="17">
        <v>2786</v>
      </c>
      <c r="K33" s="423">
        <v>241</v>
      </c>
      <c r="L33" s="17">
        <v>3155</v>
      </c>
      <c r="M33" s="423">
        <v>276</v>
      </c>
      <c r="N33" s="17">
        <v>2799</v>
      </c>
      <c r="O33" s="423">
        <v>232</v>
      </c>
      <c r="P33" s="631">
        <f>+J33+L33+N33</f>
        <v>8740</v>
      </c>
      <c r="Q33" s="632">
        <f>+K33+M33+O33</f>
        <v>749</v>
      </c>
      <c r="R33" s="218">
        <f>IF(P33&lt;&gt;0,Q33/H33,"")</f>
        <v>57.61538461538461</v>
      </c>
      <c r="S33" s="297">
        <f>IF(P33&lt;&gt;0,P33/Q33,"")</f>
        <v>11.668891855807743</v>
      </c>
      <c r="T33" s="28">
        <v>15873</v>
      </c>
      <c r="U33" s="305">
        <f t="shared" si="9"/>
        <v>-0.4493794493794494</v>
      </c>
      <c r="V33" s="297">
        <f t="shared" si="1"/>
        <v>5690</v>
      </c>
      <c r="W33" s="218">
        <f t="shared" si="2"/>
        <v>611</v>
      </c>
      <c r="X33" s="603">
        <v>14430</v>
      </c>
      <c r="Y33" s="604">
        <v>1360</v>
      </c>
      <c r="Z33" s="305">
        <f t="shared" si="3"/>
        <v>0.5507352941176471</v>
      </c>
      <c r="AA33" s="305">
        <f t="shared" si="4"/>
        <v>0.44926470588235295</v>
      </c>
      <c r="AB33" s="218">
        <f t="shared" si="5"/>
        <v>104.61538461538461</v>
      </c>
      <c r="AC33" s="297">
        <f t="shared" si="6"/>
        <v>10.610294117647058</v>
      </c>
      <c r="AD33" s="184">
        <v>3341253</v>
      </c>
      <c r="AE33" s="299">
        <v>314227</v>
      </c>
      <c r="AF33" s="298">
        <f>AD33/AE33</f>
        <v>10.633246029144535</v>
      </c>
      <c r="AG33" s="629">
        <v>23</v>
      </c>
    </row>
    <row r="34" spans="1:33" s="83" customFormat="1" ht="9.75" customHeight="1">
      <c r="A34" s="324">
        <v>24</v>
      </c>
      <c r="B34" s="668"/>
      <c r="C34" s="633"/>
      <c r="D34" s="634" t="s">
        <v>229</v>
      </c>
      <c r="E34" s="643">
        <v>40704</v>
      </c>
      <c r="F34" s="537" t="s">
        <v>32</v>
      </c>
      <c r="G34" s="25">
        <v>25</v>
      </c>
      <c r="H34" s="25">
        <v>15</v>
      </c>
      <c r="I34" s="25">
        <v>9</v>
      </c>
      <c r="J34" s="636">
        <v>1554.5</v>
      </c>
      <c r="K34" s="637">
        <v>180</v>
      </c>
      <c r="L34" s="636">
        <v>2492</v>
      </c>
      <c r="M34" s="637">
        <v>267</v>
      </c>
      <c r="N34" s="636">
        <v>3341</v>
      </c>
      <c r="O34" s="637">
        <v>395</v>
      </c>
      <c r="P34" s="631">
        <f>+J34+L34+N34</f>
        <v>7387.5</v>
      </c>
      <c r="Q34" s="632">
        <f>+K34+M34+O34</f>
        <v>842</v>
      </c>
      <c r="R34" s="218">
        <f>IF(P34&lt;&gt;0,Q34/H34,"")</f>
        <v>56.13333333333333</v>
      </c>
      <c r="S34" s="297">
        <f>IF(P34&lt;&gt;0,P34/Q34,"")</f>
        <v>8.77375296912114</v>
      </c>
      <c r="T34" s="28">
        <v>16053.5</v>
      </c>
      <c r="U34" s="305">
        <f t="shared" si="9"/>
        <v>-0.5398199769520665</v>
      </c>
      <c r="V34" s="297">
        <f t="shared" si="1"/>
        <v>6703.5</v>
      </c>
      <c r="W34" s="218">
        <f t="shared" si="2"/>
        <v>937</v>
      </c>
      <c r="X34" s="597">
        <v>14091</v>
      </c>
      <c r="Y34" s="598">
        <v>1779</v>
      </c>
      <c r="Z34" s="305">
        <f t="shared" si="3"/>
        <v>0.47329960652051717</v>
      </c>
      <c r="AA34" s="305">
        <f t="shared" si="4"/>
        <v>0.5267003934794828</v>
      </c>
      <c r="AB34" s="218">
        <f t="shared" si="5"/>
        <v>118.6</v>
      </c>
      <c r="AC34" s="297">
        <f t="shared" si="6"/>
        <v>7.920741989881956</v>
      </c>
      <c r="AD34" s="20">
        <f>1507.5+116073+64240.5+36865+26116.5+23857.5+27298.75+30562+27213.5+14091</f>
        <v>367825.25</v>
      </c>
      <c r="AE34" s="21">
        <f>73+10003+5758+3705+3172+2912+3100+4082+3485+1779</f>
        <v>38069</v>
      </c>
      <c r="AF34" s="298">
        <f>AD34/AE34</f>
        <v>9.662067561533005</v>
      </c>
      <c r="AG34" s="629">
        <v>24</v>
      </c>
    </row>
    <row r="35" spans="1:33" s="83" customFormat="1" ht="9.75" customHeight="1">
      <c r="A35" s="324">
        <v>25</v>
      </c>
      <c r="B35" s="671"/>
      <c r="C35" s="633"/>
      <c r="D35" s="546" t="s">
        <v>67</v>
      </c>
      <c r="E35" s="639">
        <v>40682</v>
      </c>
      <c r="F35" s="537" t="s">
        <v>23</v>
      </c>
      <c r="G35" s="25">
        <v>115</v>
      </c>
      <c r="H35" s="25">
        <v>19</v>
      </c>
      <c r="I35" s="25">
        <v>13</v>
      </c>
      <c r="J35" s="538">
        <v>1700</v>
      </c>
      <c r="K35" s="539">
        <v>195</v>
      </c>
      <c r="L35" s="538">
        <v>2309</v>
      </c>
      <c r="M35" s="539">
        <v>263</v>
      </c>
      <c r="N35" s="538">
        <v>2769</v>
      </c>
      <c r="O35" s="539">
        <v>321</v>
      </c>
      <c r="P35" s="631">
        <f>SUM(J35+L35+N35)</f>
        <v>6778</v>
      </c>
      <c r="Q35" s="632">
        <f>SUM(K35+M35+O35)</f>
        <v>779</v>
      </c>
      <c r="R35" s="218">
        <f>IF(P35&lt;&gt;0,Q35/H35,"")</f>
        <v>41</v>
      </c>
      <c r="S35" s="297">
        <f>+P35/Q35</f>
        <v>8.700898587933247</v>
      </c>
      <c r="T35" s="28">
        <v>15084</v>
      </c>
      <c r="U35" s="305">
        <f t="shared" si="9"/>
        <v>-0.5506496950411032</v>
      </c>
      <c r="V35" s="297">
        <f t="shared" si="1"/>
        <v>7037</v>
      </c>
      <c r="W35" s="218">
        <f t="shared" si="2"/>
        <v>940</v>
      </c>
      <c r="X35" s="595">
        <v>13815</v>
      </c>
      <c r="Y35" s="596">
        <v>1719</v>
      </c>
      <c r="Z35" s="305">
        <f t="shared" si="3"/>
        <v>0.45317044793484584</v>
      </c>
      <c r="AA35" s="305">
        <f t="shared" si="4"/>
        <v>0.5468295520651542</v>
      </c>
      <c r="AB35" s="218">
        <f t="shared" si="5"/>
        <v>90.47368421052632</v>
      </c>
      <c r="AC35" s="297">
        <f t="shared" si="6"/>
        <v>8.036649214659686</v>
      </c>
      <c r="AD35" s="22">
        <v>13086987</v>
      </c>
      <c r="AE35" s="437">
        <v>1161618</v>
      </c>
      <c r="AF35" s="309">
        <f>+AD35/AE35</f>
        <v>11.266170978755495</v>
      </c>
      <c r="AG35" s="629">
        <v>25</v>
      </c>
    </row>
    <row r="36" spans="1:33" s="83" customFormat="1" ht="9.75" customHeight="1">
      <c r="A36" s="324">
        <v>26</v>
      </c>
      <c r="B36" s="675"/>
      <c r="C36" s="654"/>
      <c r="D36" s="537" t="s">
        <v>428</v>
      </c>
      <c r="E36" s="635">
        <v>40767</v>
      </c>
      <c r="F36" s="537" t="s">
        <v>10</v>
      </c>
      <c r="G36" s="537">
        <v>56</v>
      </c>
      <c r="H36" s="537">
        <v>2</v>
      </c>
      <c r="I36" s="537">
        <v>0</v>
      </c>
      <c r="J36" s="549">
        <v>0</v>
      </c>
      <c r="K36" s="168">
        <v>0</v>
      </c>
      <c r="L36" s="549">
        <v>0</v>
      </c>
      <c r="M36" s="168">
        <v>0</v>
      </c>
      <c r="N36" s="549">
        <v>0</v>
      </c>
      <c r="O36" s="168">
        <v>0</v>
      </c>
      <c r="P36" s="631">
        <f>+J36+L36+N36</f>
        <v>0</v>
      </c>
      <c r="Q36" s="632">
        <f>+K36+M36+O36</f>
        <v>0</v>
      </c>
      <c r="R36" s="218"/>
      <c r="S36" s="297"/>
      <c r="T36" s="549"/>
      <c r="U36" s="305"/>
      <c r="V36" s="297">
        <f t="shared" si="1"/>
        <v>12780</v>
      </c>
      <c r="W36" s="218">
        <f t="shared" si="2"/>
        <v>1705</v>
      </c>
      <c r="X36" s="603">
        <v>12780</v>
      </c>
      <c r="Y36" s="604">
        <v>1705</v>
      </c>
      <c r="Z36" s="305">
        <f t="shared" si="3"/>
        <v>0</v>
      </c>
      <c r="AA36" s="305">
        <f t="shared" si="4"/>
        <v>1</v>
      </c>
      <c r="AB36" s="218">
        <f t="shared" si="5"/>
        <v>852.5</v>
      </c>
      <c r="AC36" s="297">
        <f t="shared" si="6"/>
        <v>7.495601173020527</v>
      </c>
      <c r="AD36" s="184">
        <v>12780</v>
      </c>
      <c r="AE36" s="299">
        <v>1705</v>
      </c>
      <c r="AF36" s="298">
        <f>AD36/AE36</f>
        <v>7.495601173020527</v>
      </c>
      <c r="AG36" s="629">
        <v>26</v>
      </c>
    </row>
    <row r="37" spans="1:33" s="83" customFormat="1" ht="9.75" customHeight="1">
      <c r="A37" s="324">
        <v>27</v>
      </c>
      <c r="B37" s="673"/>
      <c r="C37" s="638"/>
      <c r="D37" s="542" t="s">
        <v>386</v>
      </c>
      <c r="E37" s="646">
        <v>40739</v>
      </c>
      <c r="F37" s="537" t="s">
        <v>32</v>
      </c>
      <c r="G37" s="25">
        <v>156</v>
      </c>
      <c r="H37" s="25">
        <v>14</v>
      </c>
      <c r="I37" s="25">
        <v>4</v>
      </c>
      <c r="J37" s="636">
        <v>1217.5</v>
      </c>
      <c r="K37" s="637">
        <v>136</v>
      </c>
      <c r="L37" s="636">
        <v>2339.5</v>
      </c>
      <c r="M37" s="637">
        <v>230</v>
      </c>
      <c r="N37" s="636">
        <v>2611</v>
      </c>
      <c r="O37" s="637">
        <v>265</v>
      </c>
      <c r="P37" s="631">
        <f>SUM(J37+L37+N37)</f>
        <v>6168</v>
      </c>
      <c r="Q37" s="632">
        <f>SUM(K37+M37+O37)</f>
        <v>631</v>
      </c>
      <c r="R37" s="218">
        <f>IF(P37&lt;&gt;0,Q37/H37,"")</f>
        <v>45.07142857142857</v>
      </c>
      <c r="S37" s="297">
        <f>+P37/Q37</f>
        <v>9.774960380348652</v>
      </c>
      <c r="T37" s="28">
        <v>18476.5</v>
      </c>
      <c r="U37" s="305">
        <f aca="true" t="shared" si="10" ref="U37:U45">IF(T37&lt;&gt;0,-(T37-P37)/T37,"")</f>
        <v>-0.6661705409574324</v>
      </c>
      <c r="V37" s="297">
        <f t="shared" si="1"/>
        <v>6557.5</v>
      </c>
      <c r="W37" s="218">
        <f t="shared" si="2"/>
        <v>802</v>
      </c>
      <c r="X37" s="597">
        <v>12725.5</v>
      </c>
      <c r="Y37" s="598">
        <v>1433</v>
      </c>
      <c r="Z37" s="305">
        <f t="shared" si="3"/>
        <v>0.44033496161898117</v>
      </c>
      <c r="AA37" s="305">
        <f t="shared" si="4"/>
        <v>0.5596650383810189</v>
      </c>
      <c r="AB37" s="218">
        <f t="shared" si="5"/>
        <v>102.35714285714286</v>
      </c>
      <c r="AC37" s="297">
        <f t="shared" si="6"/>
        <v>8.880321004884857</v>
      </c>
      <c r="AD37" s="20">
        <f>42541+25929.5+29063+12725.5</f>
        <v>110259</v>
      </c>
      <c r="AE37" s="21">
        <f>3864+2719+2642+1433</f>
        <v>10658</v>
      </c>
      <c r="AF37" s="309">
        <f>+AD37/AE37</f>
        <v>10.345186714205292</v>
      </c>
      <c r="AG37" s="629">
        <v>27</v>
      </c>
    </row>
    <row r="38" spans="1:33" s="83" customFormat="1" ht="9.75" customHeight="1">
      <c r="A38" s="324">
        <v>28</v>
      </c>
      <c r="B38" s="673"/>
      <c r="C38" s="633"/>
      <c r="D38" s="25" t="s">
        <v>405</v>
      </c>
      <c r="E38" s="653">
        <v>40753</v>
      </c>
      <c r="F38" s="537" t="s">
        <v>32</v>
      </c>
      <c r="G38" s="25">
        <v>13</v>
      </c>
      <c r="H38" s="25">
        <v>13</v>
      </c>
      <c r="I38" s="25">
        <v>2</v>
      </c>
      <c r="J38" s="636">
        <v>1549</v>
      </c>
      <c r="K38" s="637">
        <v>143</v>
      </c>
      <c r="L38" s="636">
        <v>2993.5</v>
      </c>
      <c r="M38" s="637">
        <v>265</v>
      </c>
      <c r="N38" s="636">
        <v>2674.5</v>
      </c>
      <c r="O38" s="637">
        <v>249</v>
      </c>
      <c r="P38" s="641">
        <f>SUM(J38+L38+N38)</f>
        <v>7217</v>
      </c>
      <c r="Q38" s="642">
        <f>SUM(K38+M38+O38)</f>
        <v>657</v>
      </c>
      <c r="R38" s="544">
        <f>IF(P38&lt;&gt;0,Q38/H38,"")</f>
        <v>50.53846153846154</v>
      </c>
      <c r="S38" s="297">
        <f>IF(P38&lt;&gt;0,P38/Q38,"")</f>
        <v>10.984779299847792</v>
      </c>
      <c r="T38" s="512">
        <v>24577.5</v>
      </c>
      <c r="U38" s="305">
        <f t="shared" si="10"/>
        <v>-0.7063574407486523</v>
      </c>
      <c r="V38" s="297">
        <f t="shared" si="1"/>
        <v>5210</v>
      </c>
      <c r="W38" s="218">
        <f t="shared" si="2"/>
        <v>577</v>
      </c>
      <c r="X38" s="597">
        <v>12427</v>
      </c>
      <c r="Y38" s="598">
        <v>1234</v>
      </c>
      <c r="Z38" s="305">
        <f t="shared" si="3"/>
        <v>0.5324149108589952</v>
      </c>
      <c r="AA38" s="305">
        <f t="shared" si="4"/>
        <v>0.4675850891410049</v>
      </c>
      <c r="AB38" s="218">
        <f t="shared" si="5"/>
        <v>94.92307692307692</v>
      </c>
      <c r="AC38" s="297">
        <f t="shared" si="6"/>
        <v>10.070502431118314</v>
      </c>
      <c r="AD38" s="20">
        <f>37355+12427</f>
        <v>49782</v>
      </c>
      <c r="AE38" s="21">
        <f>3112+1234</f>
        <v>4346</v>
      </c>
      <c r="AF38" s="309">
        <f>+AD38/AE38</f>
        <v>11.454670961803957</v>
      </c>
      <c r="AG38" s="629">
        <v>28</v>
      </c>
    </row>
    <row r="39" spans="1:35" s="83" customFormat="1" ht="9.75" customHeight="1">
      <c r="A39" s="324">
        <v>29</v>
      </c>
      <c r="B39" s="674"/>
      <c r="C39" s="633"/>
      <c r="D39" s="547" t="s">
        <v>361</v>
      </c>
      <c r="E39" s="653">
        <v>40732</v>
      </c>
      <c r="F39" s="548" t="s">
        <v>64</v>
      </c>
      <c r="G39" s="547">
        <v>15</v>
      </c>
      <c r="H39" s="547">
        <v>15</v>
      </c>
      <c r="I39" s="547">
        <v>5</v>
      </c>
      <c r="J39" s="512">
        <v>1435</v>
      </c>
      <c r="K39" s="437">
        <v>205</v>
      </c>
      <c r="L39" s="512">
        <v>2026</v>
      </c>
      <c r="M39" s="437">
        <v>310</v>
      </c>
      <c r="N39" s="512">
        <v>2558</v>
      </c>
      <c r="O39" s="437">
        <v>380</v>
      </c>
      <c r="P39" s="631">
        <f>+J39+L39+N39</f>
        <v>6019</v>
      </c>
      <c r="Q39" s="632">
        <f>+K39+M39+O39</f>
        <v>895</v>
      </c>
      <c r="R39" s="539">
        <f>+Q39/H39</f>
        <v>59.666666666666664</v>
      </c>
      <c r="S39" s="297">
        <f>IF(P39&lt;&gt;0,P39/Q39,"")</f>
        <v>6.72513966480447</v>
      </c>
      <c r="T39" s="28">
        <v>12221.5</v>
      </c>
      <c r="U39" s="305">
        <f t="shared" si="10"/>
        <v>-0.5075072617927423</v>
      </c>
      <c r="V39" s="297">
        <f t="shared" si="1"/>
        <v>6097</v>
      </c>
      <c r="W39" s="218">
        <f t="shared" si="2"/>
        <v>963</v>
      </c>
      <c r="X39" s="601">
        <v>12116</v>
      </c>
      <c r="Y39" s="602">
        <v>1858</v>
      </c>
      <c r="Z39" s="305">
        <f t="shared" si="3"/>
        <v>0.48170075349838537</v>
      </c>
      <c r="AA39" s="305">
        <f t="shared" si="4"/>
        <v>0.5182992465016146</v>
      </c>
      <c r="AB39" s="218">
        <f t="shared" si="5"/>
        <v>123.86666666666666</v>
      </c>
      <c r="AC39" s="297">
        <f t="shared" si="6"/>
        <v>6.520990312163617</v>
      </c>
      <c r="AD39" s="512">
        <v>105102.5</v>
      </c>
      <c r="AE39" s="437">
        <v>12071</v>
      </c>
      <c r="AF39" s="298">
        <f>AD39/AE39</f>
        <v>8.707025101482893</v>
      </c>
      <c r="AG39" s="629">
        <v>29</v>
      </c>
      <c r="AI39" s="123"/>
    </row>
    <row r="40" spans="1:35" s="83" customFormat="1" ht="9.75" customHeight="1">
      <c r="A40" s="324">
        <v>30</v>
      </c>
      <c r="B40" s="666"/>
      <c r="C40" s="644"/>
      <c r="D40" s="542" t="s">
        <v>264</v>
      </c>
      <c r="E40" s="635">
        <v>40725</v>
      </c>
      <c r="F40" s="537" t="s">
        <v>32</v>
      </c>
      <c r="G40" s="25">
        <v>6</v>
      </c>
      <c r="H40" s="25">
        <v>6</v>
      </c>
      <c r="I40" s="25">
        <v>6</v>
      </c>
      <c r="J40" s="636">
        <v>1472</v>
      </c>
      <c r="K40" s="637">
        <v>163</v>
      </c>
      <c r="L40" s="636">
        <v>2421</v>
      </c>
      <c r="M40" s="637">
        <v>244</v>
      </c>
      <c r="N40" s="636">
        <v>2655</v>
      </c>
      <c r="O40" s="637">
        <v>271</v>
      </c>
      <c r="P40" s="631">
        <f aca="true" t="shared" si="11" ref="P40:P57">SUM(J40+L40+N40)</f>
        <v>6548</v>
      </c>
      <c r="Q40" s="632">
        <f aca="true" t="shared" si="12" ref="Q40:Q57">SUM(K40+M40+O40)</f>
        <v>678</v>
      </c>
      <c r="R40" s="218">
        <f>IF(P40&lt;&gt;0,Q40/H40,"")</f>
        <v>113</v>
      </c>
      <c r="S40" s="297">
        <f>IF(P40&lt;&gt;0,P40/Q40,"")</f>
        <v>9.657817109144542</v>
      </c>
      <c r="T40" s="28">
        <v>5773</v>
      </c>
      <c r="U40" s="305">
        <f t="shared" si="10"/>
        <v>0.13424562619088862</v>
      </c>
      <c r="V40" s="297">
        <f t="shared" si="1"/>
        <v>5144</v>
      </c>
      <c r="W40" s="218">
        <f t="shared" si="2"/>
        <v>634</v>
      </c>
      <c r="X40" s="597">
        <v>11692</v>
      </c>
      <c r="Y40" s="598">
        <v>1312</v>
      </c>
      <c r="Z40" s="305">
        <f t="shared" si="3"/>
        <v>0.5167682926829268</v>
      </c>
      <c r="AA40" s="305">
        <f t="shared" si="4"/>
        <v>0.48323170731707316</v>
      </c>
      <c r="AB40" s="218">
        <f t="shared" si="5"/>
        <v>218.66666666666666</v>
      </c>
      <c r="AC40" s="297">
        <f t="shared" si="6"/>
        <v>8.911585365853659</v>
      </c>
      <c r="AD40" s="20">
        <f>16465+9500+5645+13030+10398+11692</f>
        <v>66730</v>
      </c>
      <c r="AE40" s="21">
        <f>1904+1204+844+1431+1183+1312</f>
        <v>7878</v>
      </c>
      <c r="AF40" s="309">
        <f>+AD40/AE40</f>
        <v>8.47042396547347</v>
      </c>
      <c r="AG40" s="629">
        <v>30</v>
      </c>
      <c r="AI40" s="123"/>
    </row>
    <row r="41" spans="1:35" s="83" customFormat="1" ht="9.75" customHeight="1">
      <c r="A41" s="324">
        <v>31</v>
      </c>
      <c r="B41" s="674"/>
      <c r="C41" s="633"/>
      <c r="D41" s="546" t="s">
        <v>224</v>
      </c>
      <c r="E41" s="653">
        <v>40697</v>
      </c>
      <c r="F41" s="537" t="s">
        <v>23</v>
      </c>
      <c r="G41" s="25">
        <v>20</v>
      </c>
      <c r="H41" s="25">
        <v>14</v>
      </c>
      <c r="I41" s="25">
        <v>10</v>
      </c>
      <c r="J41" s="538">
        <v>1334</v>
      </c>
      <c r="K41" s="539">
        <v>153</v>
      </c>
      <c r="L41" s="538">
        <v>1873</v>
      </c>
      <c r="M41" s="539">
        <v>240</v>
      </c>
      <c r="N41" s="538">
        <v>1964</v>
      </c>
      <c r="O41" s="539">
        <v>264</v>
      </c>
      <c r="P41" s="631">
        <f t="shared" si="11"/>
        <v>5171</v>
      </c>
      <c r="Q41" s="632">
        <f t="shared" si="12"/>
        <v>657</v>
      </c>
      <c r="R41" s="218">
        <f>IF(P41&lt;&gt;0,Q41/H41,"")</f>
        <v>46.92857142857143</v>
      </c>
      <c r="S41" s="297">
        <f>+P41/Q41</f>
        <v>7.87062404870624</v>
      </c>
      <c r="T41" s="28">
        <v>10230</v>
      </c>
      <c r="U41" s="305">
        <f t="shared" si="10"/>
        <v>-0.49452590420332354</v>
      </c>
      <c r="V41" s="297">
        <f t="shared" si="1"/>
        <v>6386</v>
      </c>
      <c r="W41" s="218">
        <f t="shared" si="2"/>
        <v>892</v>
      </c>
      <c r="X41" s="595">
        <v>11557</v>
      </c>
      <c r="Y41" s="596">
        <v>1549</v>
      </c>
      <c r="Z41" s="305">
        <f t="shared" si="3"/>
        <v>0.42414460942543575</v>
      </c>
      <c r="AA41" s="305">
        <f t="shared" si="4"/>
        <v>0.5758553905745643</v>
      </c>
      <c r="AB41" s="218">
        <f t="shared" si="5"/>
        <v>110.64285714285714</v>
      </c>
      <c r="AC41" s="297">
        <f t="shared" si="6"/>
        <v>7.460942543576501</v>
      </c>
      <c r="AD41" s="22">
        <v>383086</v>
      </c>
      <c r="AE41" s="437">
        <v>39711</v>
      </c>
      <c r="AF41" s="309">
        <f>+AD41/AE41</f>
        <v>9.64684848026995</v>
      </c>
      <c r="AG41" s="629">
        <v>31</v>
      </c>
      <c r="AI41" s="123"/>
    </row>
    <row r="42" spans="1:35" s="83" customFormat="1" ht="9.75" customHeight="1">
      <c r="A42" s="324">
        <v>32</v>
      </c>
      <c r="B42" s="666"/>
      <c r="C42" s="633"/>
      <c r="D42" s="546" t="s">
        <v>237</v>
      </c>
      <c r="E42" s="653">
        <v>40711</v>
      </c>
      <c r="F42" s="537" t="s">
        <v>23</v>
      </c>
      <c r="G42" s="25">
        <v>151</v>
      </c>
      <c r="H42" s="25">
        <v>12</v>
      </c>
      <c r="I42" s="25">
        <v>8</v>
      </c>
      <c r="J42" s="538">
        <v>1185</v>
      </c>
      <c r="K42" s="539">
        <v>241</v>
      </c>
      <c r="L42" s="538">
        <v>1269</v>
      </c>
      <c r="M42" s="539">
        <v>258</v>
      </c>
      <c r="N42" s="538">
        <v>2082</v>
      </c>
      <c r="O42" s="539">
        <v>385</v>
      </c>
      <c r="P42" s="631">
        <f t="shared" si="11"/>
        <v>4536</v>
      </c>
      <c r="Q42" s="632">
        <f t="shared" si="12"/>
        <v>884</v>
      </c>
      <c r="R42" s="218">
        <f>IF(P42&lt;&gt;0,Q42/H42,"")</f>
        <v>73.66666666666667</v>
      </c>
      <c r="S42" s="297">
        <f>+P42/Q42</f>
        <v>5.131221719457014</v>
      </c>
      <c r="T42" s="28">
        <v>9483</v>
      </c>
      <c r="U42" s="305">
        <f t="shared" si="10"/>
        <v>-0.5216703574818096</v>
      </c>
      <c r="V42" s="297">
        <f t="shared" si="1"/>
        <v>5524</v>
      </c>
      <c r="W42" s="218">
        <f t="shared" si="2"/>
        <v>1308</v>
      </c>
      <c r="X42" s="595">
        <v>10060</v>
      </c>
      <c r="Y42" s="596">
        <v>2192</v>
      </c>
      <c r="Z42" s="305">
        <f t="shared" si="3"/>
        <v>0.4032846715328467</v>
      </c>
      <c r="AA42" s="305">
        <f t="shared" si="4"/>
        <v>0.5967153284671532</v>
      </c>
      <c r="AB42" s="218">
        <f t="shared" si="5"/>
        <v>182.66666666666666</v>
      </c>
      <c r="AC42" s="297">
        <f t="shared" si="6"/>
        <v>4.589416058394161</v>
      </c>
      <c r="AD42" s="22">
        <v>1942737</v>
      </c>
      <c r="AE42" s="437">
        <v>216896</v>
      </c>
      <c r="AF42" s="298">
        <f>AD42/AE42</f>
        <v>8.95699782384184</v>
      </c>
      <c r="AG42" s="629">
        <v>32</v>
      </c>
      <c r="AI42" s="123"/>
    </row>
    <row r="43" spans="1:35" s="83" customFormat="1" ht="9.75" customHeight="1">
      <c r="A43" s="324">
        <v>33</v>
      </c>
      <c r="B43" s="671"/>
      <c r="C43" s="638"/>
      <c r="D43" s="542" t="s">
        <v>62</v>
      </c>
      <c r="E43" s="635">
        <v>40669</v>
      </c>
      <c r="F43" s="537" t="s">
        <v>32</v>
      </c>
      <c r="G43" s="25">
        <v>58</v>
      </c>
      <c r="H43" s="25">
        <v>8</v>
      </c>
      <c r="I43" s="25">
        <v>14</v>
      </c>
      <c r="J43" s="636">
        <v>881</v>
      </c>
      <c r="K43" s="637">
        <v>106</v>
      </c>
      <c r="L43" s="636">
        <v>1797</v>
      </c>
      <c r="M43" s="637">
        <v>189</v>
      </c>
      <c r="N43" s="636">
        <v>3181</v>
      </c>
      <c r="O43" s="637">
        <v>334</v>
      </c>
      <c r="P43" s="641">
        <f t="shared" si="11"/>
        <v>5859</v>
      </c>
      <c r="Q43" s="642">
        <f t="shared" si="12"/>
        <v>629</v>
      </c>
      <c r="R43" s="437">
        <f>Q43/H43</f>
        <v>78.625</v>
      </c>
      <c r="S43" s="297">
        <f>+P43/Q43</f>
        <v>9.314785373608903</v>
      </c>
      <c r="T43" s="512">
        <v>6811.5</v>
      </c>
      <c r="U43" s="305">
        <f t="shared" si="10"/>
        <v>-0.1398370402994935</v>
      </c>
      <c r="V43" s="297">
        <f aca="true" t="shared" si="13" ref="V43:V74">X43-P43</f>
        <v>4122</v>
      </c>
      <c r="W43" s="218">
        <f aca="true" t="shared" si="14" ref="W43:W74">Y43-Q43</f>
        <v>565</v>
      </c>
      <c r="X43" s="597">
        <v>9981</v>
      </c>
      <c r="Y43" s="598">
        <v>1194</v>
      </c>
      <c r="Z43" s="305">
        <f aca="true" t="shared" si="15" ref="Z43:Z74">Q43*1/Y43</f>
        <v>0.5268006700167505</v>
      </c>
      <c r="AA43" s="305">
        <f aca="true" t="shared" si="16" ref="AA43:AA74">W43*1/Y43</f>
        <v>0.4731993299832496</v>
      </c>
      <c r="AB43" s="218">
        <f aca="true" t="shared" si="17" ref="AB43:AB74">Y43/H43</f>
        <v>149.25</v>
      </c>
      <c r="AC43" s="297">
        <f aca="true" t="shared" si="18" ref="AC43:AC74">X43/Y43</f>
        <v>8.359296482412061</v>
      </c>
      <c r="AD43" s="20">
        <f>283662.5+204713+63694+61522.5+37976+46923.5+23377.5+15917+7067.5+2523.5+6128.5+15179.5+11086.5+9981</f>
        <v>789752.5</v>
      </c>
      <c r="AE43" s="21">
        <f>29595+21640+7444+8447+5671+7156+3524+2414+1006+405+822+1862+1355+1194</f>
        <v>92535</v>
      </c>
      <c r="AF43" s="309">
        <f>+AD43/AE43</f>
        <v>8.534635543307937</v>
      </c>
      <c r="AG43" s="629">
        <v>33</v>
      </c>
      <c r="AI43" s="123"/>
    </row>
    <row r="44" spans="1:35" s="83" customFormat="1" ht="9.75" customHeight="1">
      <c r="A44" s="324">
        <v>34</v>
      </c>
      <c r="B44" s="670"/>
      <c r="C44" s="633"/>
      <c r="D44" s="547" t="s">
        <v>226</v>
      </c>
      <c r="E44" s="653">
        <v>40697</v>
      </c>
      <c r="F44" s="548" t="s">
        <v>64</v>
      </c>
      <c r="G44" s="547">
        <v>15</v>
      </c>
      <c r="H44" s="547">
        <v>15</v>
      </c>
      <c r="I44" s="547">
        <v>10</v>
      </c>
      <c r="J44" s="512">
        <v>867</v>
      </c>
      <c r="K44" s="437">
        <v>126</v>
      </c>
      <c r="L44" s="512">
        <v>1402.5</v>
      </c>
      <c r="M44" s="437">
        <v>196</v>
      </c>
      <c r="N44" s="512">
        <v>2070</v>
      </c>
      <c r="O44" s="437">
        <v>286</v>
      </c>
      <c r="P44" s="631">
        <f t="shared" si="11"/>
        <v>4339.5</v>
      </c>
      <c r="Q44" s="632">
        <f t="shared" si="12"/>
        <v>608</v>
      </c>
      <c r="R44" s="218">
        <f>IF(P44&lt;&gt;0,Q44/H44,"")</f>
        <v>40.53333333333333</v>
      </c>
      <c r="S44" s="297">
        <f>IF(P44&lt;&gt;0,P44/Q44,"")</f>
        <v>7.137335526315789</v>
      </c>
      <c r="T44" s="28">
        <v>7316</v>
      </c>
      <c r="U44" s="305">
        <f t="shared" si="10"/>
        <v>-0.40684800437397484</v>
      </c>
      <c r="V44" s="297">
        <f t="shared" si="13"/>
        <v>4793</v>
      </c>
      <c r="W44" s="218">
        <f t="shared" si="14"/>
        <v>735</v>
      </c>
      <c r="X44" s="601">
        <v>9132.5</v>
      </c>
      <c r="Y44" s="602">
        <v>1343</v>
      </c>
      <c r="Z44" s="305">
        <f t="shared" si="15"/>
        <v>0.4527177959791511</v>
      </c>
      <c r="AA44" s="305">
        <f t="shared" si="16"/>
        <v>0.5472822040208488</v>
      </c>
      <c r="AB44" s="218">
        <f t="shared" si="17"/>
        <v>89.53333333333333</v>
      </c>
      <c r="AC44" s="297">
        <f t="shared" si="18"/>
        <v>6.800074460163812</v>
      </c>
      <c r="AD44" s="512">
        <v>194548</v>
      </c>
      <c r="AE44" s="437">
        <v>24804</v>
      </c>
      <c r="AF44" s="298">
        <f>AD44/AE44</f>
        <v>7.8434123528463155</v>
      </c>
      <c r="AG44" s="629">
        <v>34</v>
      </c>
      <c r="AI44" s="123"/>
    </row>
    <row r="45" spans="1:35" s="83" customFormat="1" ht="9.75" customHeight="1">
      <c r="A45" s="324">
        <v>35</v>
      </c>
      <c r="B45" s="666"/>
      <c r="C45" s="645" t="s">
        <v>84</v>
      </c>
      <c r="D45" s="546" t="s">
        <v>22</v>
      </c>
      <c r="E45" s="635">
        <v>40578</v>
      </c>
      <c r="F45" s="537" t="s">
        <v>23</v>
      </c>
      <c r="G45" s="25">
        <v>224</v>
      </c>
      <c r="H45" s="25">
        <v>4</v>
      </c>
      <c r="I45" s="25">
        <v>27</v>
      </c>
      <c r="J45" s="538">
        <v>441</v>
      </c>
      <c r="K45" s="539">
        <v>140</v>
      </c>
      <c r="L45" s="538">
        <v>453</v>
      </c>
      <c r="M45" s="539">
        <v>140</v>
      </c>
      <c r="N45" s="538">
        <v>419</v>
      </c>
      <c r="O45" s="539">
        <v>135</v>
      </c>
      <c r="P45" s="641">
        <f t="shared" si="11"/>
        <v>1313</v>
      </c>
      <c r="Q45" s="642">
        <f t="shared" si="12"/>
        <v>415</v>
      </c>
      <c r="R45" s="437">
        <f>Q45/H45</f>
        <v>103.75</v>
      </c>
      <c r="S45" s="297">
        <f>IF(P45&lt;&gt;0,P45/Q45,"")</f>
        <v>3.163855421686747</v>
      </c>
      <c r="T45" s="512">
        <v>1997</v>
      </c>
      <c r="U45" s="305">
        <f t="shared" si="10"/>
        <v>-0.342513770655984</v>
      </c>
      <c r="V45" s="297">
        <f t="shared" si="13"/>
        <v>7809</v>
      </c>
      <c r="W45" s="218">
        <f t="shared" si="14"/>
        <v>2651</v>
      </c>
      <c r="X45" s="595">
        <v>9122</v>
      </c>
      <c r="Y45" s="596">
        <v>3066</v>
      </c>
      <c r="Z45" s="305">
        <f t="shared" si="15"/>
        <v>0.13535551206784083</v>
      </c>
      <c r="AA45" s="305">
        <f t="shared" si="16"/>
        <v>0.8646444879321592</v>
      </c>
      <c r="AB45" s="218">
        <f t="shared" si="17"/>
        <v>766.5</v>
      </c>
      <c r="AC45" s="297">
        <f t="shared" si="18"/>
        <v>2.975212002609263</v>
      </c>
      <c r="AD45" s="22">
        <v>21881639</v>
      </c>
      <c r="AE45" s="437">
        <v>2410719</v>
      </c>
      <c r="AF45" s="298">
        <f>+AD45/AE45</f>
        <v>9.076810279422862</v>
      </c>
      <c r="AG45" s="629">
        <v>35</v>
      </c>
      <c r="AI45" s="123"/>
    </row>
    <row r="46" spans="1:35" s="83" customFormat="1" ht="9.75" customHeight="1">
      <c r="A46" s="324">
        <v>36</v>
      </c>
      <c r="B46" s="670"/>
      <c r="C46" s="645" t="s">
        <v>84</v>
      </c>
      <c r="D46" s="16" t="s">
        <v>20</v>
      </c>
      <c r="E46" s="694">
        <v>40620</v>
      </c>
      <c r="F46" s="537" t="s">
        <v>21</v>
      </c>
      <c r="G46" s="695">
        <v>218</v>
      </c>
      <c r="H46" s="695">
        <v>2</v>
      </c>
      <c r="I46" s="695">
        <v>21</v>
      </c>
      <c r="J46" s="655">
        <v>0</v>
      </c>
      <c r="K46" s="655">
        <v>0</v>
      </c>
      <c r="L46" s="17">
        <v>0</v>
      </c>
      <c r="M46" s="423">
        <v>0</v>
      </c>
      <c r="N46" s="17">
        <v>0</v>
      </c>
      <c r="O46" s="423">
        <v>0</v>
      </c>
      <c r="P46" s="641">
        <f t="shared" si="11"/>
        <v>0</v>
      </c>
      <c r="Q46" s="642">
        <f t="shared" si="12"/>
        <v>0</v>
      </c>
      <c r="R46" s="437"/>
      <c r="S46" s="297"/>
      <c r="T46" s="512"/>
      <c r="U46" s="305"/>
      <c r="V46" s="297">
        <f t="shared" si="13"/>
        <v>7722</v>
      </c>
      <c r="W46" s="218">
        <f t="shared" si="14"/>
        <v>1386</v>
      </c>
      <c r="X46" s="605">
        <v>7722</v>
      </c>
      <c r="Y46" s="606">
        <v>1386</v>
      </c>
      <c r="Z46" s="305">
        <f t="shared" si="15"/>
        <v>0</v>
      </c>
      <c r="AA46" s="305">
        <f t="shared" si="16"/>
        <v>1</v>
      </c>
      <c r="AB46" s="218">
        <f t="shared" si="17"/>
        <v>693</v>
      </c>
      <c r="AC46" s="297">
        <f t="shared" si="18"/>
        <v>5.571428571428571</v>
      </c>
      <c r="AD46" s="28">
        <f>868723.5+629960.75+471670+272432+164061+97109.5+34971.5+29195+10591.5+4973+1214+25859.5+8228+5222+126+1321+161+8414+5940+170+7722</f>
        <v>2648065.25</v>
      </c>
      <c r="AE46" s="23">
        <f>93361+70981+54177+33865+22657+14644+6278+5343+1965+923+199+3609+1160+736+18+257+23+1598+1188+23+1386</f>
        <v>314391</v>
      </c>
      <c r="AF46" s="309">
        <f>+AD46/AE46</f>
        <v>8.42284050752089</v>
      </c>
      <c r="AG46" s="629">
        <v>36</v>
      </c>
      <c r="AI46" s="123"/>
    </row>
    <row r="47" spans="1:35" s="83" customFormat="1" ht="9.75" customHeight="1">
      <c r="A47" s="324">
        <v>37</v>
      </c>
      <c r="B47" s="667"/>
      <c r="C47" s="633"/>
      <c r="D47" s="547" t="s">
        <v>239</v>
      </c>
      <c r="E47" s="653">
        <v>40711</v>
      </c>
      <c r="F47" s="548" t="s">
        <v>64</v>
      </c>
      <c r="G47" s="547">
        <v>10</v>
      </c>
      <c r="H47" s="547">
        <v>9</v>
      </c>
      <c r="I47" s="547">
        <v>8</v>
      </c>
      <c r="J47" s="512">
        <v>713.5</v>
      </c>
      <c r="K47" s="437">
        <v>86</v>
      </c>
      <c r="L47" s="512">
        <v>1161.5</v>
      </c>
      <c r="M47" s="437">
        <v>144</v>
      </c>
      <c r="N47" s="512">
        <v>1579</v>
      </c>
      <c r="O47" s="437">
        <v>197</v>
      </c>
      <c r="P47" s="631">
        <f t="shared" si="11"/>
        <v>3454</v>
      </c>
      <c r="Q47" s="632">
        <f t="shared" si="12"/>
        <v>427</v>
      </c>
      <c r="R47" s="218">
        <f>IF(P47&lt;&gt;0,Q47/H47,"")</f>
        <v>47.44444444444444</v>
      </c>
      <c r="S47" s="297">
        <f>+P47/Q47</f>
        <v>8.088992974238876</v>
      </c>
      <c r="T47" s="28">
        <v>4228.5</v>
      </c>
      <c r="U47" s="305">
        <f>IF(T47&lt;&gt;0,-(T47-P47)/T47,"")</f>
        <v>-0.1831618777344212</v>
      </c>
      <c r="V47" s="297">
        <f t="shared" si="13"/>
        <v>4080</v>
      </c>
      <c r="W47" s="218">
        <f t="shared" si="14"/>
        <v>564</v>
      </c>
      <c r="X47" s="601">
        <v>7534</v>
      </c>
      <c r="Y47" s="602">
        <v>991</v>
      </c>
      <c r="Z47" s="305">
        <f t="shared" si="15"/>
        <v>0.4308779011099899</v>
      </c>
      <c r="AA47" s="305">
        <f t="shared" si="16"/>
        <v>0.5691220988900101</v>
      </c>
      <c r="AB47" s="218">
        <f t="shared" si="17"/>
        <v>110.11111111111111</v>
      </c>
      <c r="AC47" s="297">
        <f t="shared" si="18"/>
        <v>7.60242179616549</v>
      </c>
      <c r="AD47" s="512">
        <v>91223</v>
      </c>
      <c r="AE47" s="437">
        <v>9788</v>
      </c>
      <c r="AF47" s="298">
        <f>AD47/AE47</f>
        <v>9.319881487535758</v>
      </c>
      <c r="AG47" s="629">
        <v>37</v>
      </c>
      <c r="AI47" s="123"/>
    </row>
    <row r="48" spans="1:33" s="83" customFormat="1" ht="9.75" customHeight="1">
      <c r="A48" s="324">
        <v>38</v>
      </c>
      <c r="B48" s="667"/>
      <c r="C48" s="633"/>
      <c r="D48" s="540" t="s">
        <v>262</v>
      </c>
      <c r="E48" s="635">
        <v>40725</v>
      </c>
      <c r="F48" s="540" t="s">
        <v>74</v>
      </c>
      <c r="G48" s="540">
        <v>32</v>
      </c>
      <c r="H48" s="577">
        <v>15</v>
      </c>
      <c r="I48" s="577">
        <v>6</v>
      </c>
      <c r="J48" s="512">
        <v>700</v>
      </c>
      <c r="K48" s="437">
        <v>93</v>
      </c>
      <c r="L48" s="512">
        <v>790</v>
      </c>
      <c r="M48" s="437">
        <v>103</v>
      </c>
      <c r="N48" s="512">
        <v>987</v>
      </c>
      <c r="O48" s="437">
        <v>126</v>
      </c>
      <c r="P48" s="641">
        <f t="shared" si="11"/>
        <v>2477</v>
      </c>
      <c r="Q48" s="642">
        <f t="shared" si="12"/>
        <v>322</v>
      </c>
      <c r="R48" s="437">
        <f>Q48/H48</f>
        <v>21.466666666666665</v>
      </c>
      <c r="S48" s="297">
        <f>IF(P48&lt;&gt;0,P48/Q48,"")</f>
        <v>7.692546583850931</v>
      </c>
      <c r="T48" s="512">
        <v>9043</v>
      </c>
      <c r="U48" s="305">
        <f>IF(T48&lt;&gt;0,-(T48-P48)/T48,"")</f>
        <v>-0.7260864757270817</v>
      </c>
      <c r="V48" s="297">
        <f t="shared" si="13"/>
        <v>4924</v>
      </c>
      <c r="W48" s="218">
        <f t="shared" si="14"/>
        <v>754</v>
      </c>
      <c r="X48" s="599">
        <v>7401</v>
      </c>
      <c r="Y48" s="600">
        <v>1076</v>
      </c>
      <c r="Z48" s="305">
        <f t="shared" si="15"/>
        <v>0.2992565055762082</v>
      </c>
      <c r="AA48" s="305">
        <f t="shared" si="16"/>
        <v>0.7007434944237918</v>
      </c>
      <c r="AB48" s="218">
        <f t="shared" si="17"/>
        <v>71.73333333333333</v>
      </c>
      <c r="AC48" s="297">
        <f t="shared" si="18"/>
        <v>6.878252788104089</v>
      </c>
      <c r="AD48" s="17">
        <v>175887</v>
      </c>
      <c r="AE48" s="423">
        <v>20226</v>
      </c>
      <c r="AF48" s="298">
        <f>AD48/AE48</f>
        <v>8.696084247997627</v>
      </c>
      <c r="AG48" s="629">
        <v>38</v>
      </c>
    </row>
    <row r="49" spans="1:33" s="83" customFormat="1" ht="9.75" customHeight="1">
      <c r="A49" s="324">
        <v>39</v>
      </c>
      <c r="B49" s="673"/>
      <c r="C49" s="633"/>
      <c r="D49" s="647" t="s">
        <v>52</v>
      </c>
      <c r="E49" s="648">
        <v>40662</v>
      </c>
      <c r="F49" s="537" t="s">
        <v>32</v>
      </c>
      <c r="G49" s="649">
        <v>19</v>
      </c>
      <c r="H49" s="25">
        <v>5</v>
      </c>
      <c r="I49" s="649">
        <v>15</v>
      </c>
      <c r="J49" s="636">
        <v>0</v>
      </c>
      <c r="K49" s="637">
        <v>0</v>
      </c>
      <c r="L49" s="636">
        <v>0</v>
      </c>
      <c r="M49" s="637">
        <v>0</v>
      </c>
      <c r="N49" s="636">
        <v>0</v>
      </c>
      <c r="O49" s="637">
        <v>0</v>
      </c>
      <c r="P49" s="656">
        <f t="shared" si="11"/>
        <v>0</v>
      </c>
      <c r="Q49" s="657">
        <f t="shared" si="12"/>
        <v>0</v>
      </c>
      <c r="R49" s="437"/>
      <c r="S49" s="297"/>
      <c r="T49" s="551"/>
      <c r="U49" s="305"/>
      <c r="V49" s="297">
        <f t="shared" si="13"/>
        <v>6303.5</v>
      </c>
      <c r="W49" s="218">
        <f t="shared" si="14"/>
        <v>748</v>
      </c>
      <c r="X49" s="597">
        <v>6303.5</v>
      </c>
      <c r="Y49" s="598">
        <v>748</v>
      </c>
      <c r="Z49" s="305">
        <f t="shared" si="15"/>
        <v>0</v>
      </c>
      <c r="AA49" s="305">
        <f t="shared" si="16"/>
        <v>1</v>
      </c>
      <c r="AB49" s="218">
        <f t="shared" si="17"/>
        <v>149.6</v>
      </c>
      <c r="AC49" s="297">
        <f t="shared" si="18"/>
        <v>8.427139037433156</v>
      </c>
      <c r="AD49" s="20">
        <f>101742.25+50164.5+51750+9401+13450.5+18562.5+28682+16047.5+15912+8384+5213+12043+3980+9461+6303.5</f>
        <v>351096.75</v>
      </c>
      <c r="AE49" s="21">
        <f>8064+3844+5093+985+1765+2797+3793+2133+2232+1161+795+1735+578+1201+748</f>
        <v>36924</v>
      </c>
      <c r="AF49" s="298">
        <f>+AD49/AE49</f>
        <v>9.508632596685082</v>
      </c>
      <c r="AG49" s="629">
        <v>39</v>
      </c>
    </row>
    <row r="50" spans="1:33" s="83" customFormat="1" ht="9.75" customHeight="1">
      <c r="A50" s="324">
        <v>40</v>
      </c>
      <c r="B50" s="670"/>
      <c r="C50" s="645" t="s">
        <v>84</v>
      </c>
      <c r="D50" s="546" t="s">
        <v>139</v>
      </c>
      <c r="E50" s="635">
        <v>40515</v>
      </c>
      <c r="F50" s="537" t="s">
        <v>10</v>
      </c>
      <c r="G50" s="540">
        <v>337</v>
      </c>
      <c r="H50" s="16">
        <v>1</v>
      </c>
      <c r="I50" s="16">
        <v>28</v>
      </c>
      <c r="J50" s="17">
        <v>960</v>
      </c>
      <c r="K50" s="423">
        <v>240</v>
      </c>
      <c r="L50" s="17">
        <v>1880</v>
      </c>
      <c r="M50" s="423">
        <v>470</v>
      </c>
      <c r="N50" s="17">
        <v>1920</v>
      </c>
      <c r="O50" s="423">
        <v>480</v>
      </c>
      <c r="P50" s="650">
        <f t="shared" si="11"/>
        <v>4760</v>
      </c>
      <c r="Q50" s="651">
        <f t="shared" si="12"/>
        <v>1190</v>
      </c>
      <c r="R50" s="218">
        <f aca="true" t="shared" si="19" ref="R50:R56">IF(P50&lt;&gt;0,Q50/H50,"")</f>
        <v>1190</v>
      </c>
      <c r="S50" s="297">
        <f>IF(P50&lt;&gt;0,P50/Q50,"")</f>
        <v>4</v>
      </c>
      <c r="T50" s="538">
        <v>3572</v>
      </c>
      <c r="U50" s="305">
        <f aca="true" t="shared" si="20" ref="U50:U56">IF(T50&lt;&gt;0,-(T50-P50)/T50,"")</f>
        <v>0.3325867861142217</v>
      </c>
      <c r="V50" s="297">
        <f t="shared" si="13"/>
        <v>0</v>
      </c>
      <c r="W50" s="218">
        <f t="shared" si="14"/>
        <v>0</v>
      </c>
      <c r="X50" s="603">
        <v>4760</v>
      </c>
      <c r="Y50" s="604">
        <v>1190</v>
      </c>
      <c r="Z50" s="305">
        <f t="shared" si="15"/>
        <v>1</v>
      </c>
      <c r="AA50" s="305">
        <f t="shared" si="16"/>
        <v>0</v>
      </c>
      <c r="AB50" s="218">
        <f t="shared" si="17"/>
        <v>1190</v>
      </c>
      <c r="AC50" s="297">
        <f t="shared" si="18"/>
        <v>4</v>
      </c>
      <c r="AD50" s="184">
        <f>19694229+4760</f>
        <v>19698989</v>
      </c>
      <c r="AE50" s="299">
        <f>2109644+1190</f>
        <v>2110834</v>
      </c>
      <c r="AF50" s="309">
        <f>+AD50/AE50</f>
        <v>9.332325043087234</v>
      </c>
      <c r="AG50" s="629">
        <v>40</v>
      </c>
    </row>
    <row r="51" spans="1:33" s="83" customFormat="1" ht="9.75" customHeight="1">
      <c r="A51" s="324">
        <v>41</v>
      </c>
      <c r="B51" s="673"/>
      <c r="C51" s="633"/>
      <c r="D51" s="542" t="s">
        <v>397</v>
      </c>
      <c r="E51" s="646">
        <v>40746</v>
      </c>
      <c r="F51" s="537" t="s">
        <v>32</v>
      </c>
      <c r="G51" s="25">
        <v>8</v>
      </c>
      <c r="H51" s="25">
        <v>7</v>
      </c>
      <c r="I51" s="25">
        <v>3</v>
      </c>
      <c r="J51" s="636">
        <v>533</v>
      </c>
      <c r="K51" s="637">
        <v>51</v>
      </c>
      <c r="L51" s="636">
        <v>941.5</v>
      </c>
      <c r="M51" s="637">
        <v>81</v>
      </c>
      <c r="N51" s="636">
        <v>911.5</v>
      </c>
      <c r="O51" s="637">
        <v>80</v>
      </c>
      <c r="P51" s="656">
        <f t="shared" si="11"/>
        <v>2386</v>
      </c>
      <c r="Q51" s="657">
        <f t="shared" si="12"/>
        <v>212</v>
      </c>
      <c r="R51" s="218">
        <f t="shared" si="19"/>
        <v>30.285714285714285</v>
      </c>
      <c r="S51" s="297">
        <f>IF(P51&lt;&gt;0,P51/Q51,"")</f>
        <v>11.254716981132075</v>
      </c>
      <c r="T51" s="551">
        <v>16715</v>
      </c>
      <c r="U51" s="305">
        <f t="shared" si="20"/>
        <v>-0.857253963505833</v>
      </c>
      <c r="V51" s="297">
        <f t="shared" si="13"/>
        <v>1664</v>
      </c>
      <c r="W51" s="218">
        <f t="shared" si="14"/>
        <v>165</v>
      </c>
      <c r="X51" s="597">
        <v>4050</v>
      </c>
      <c r="Y51" s="598">
        <v>377</v>
      </c>
      <c r="Z51" s="305">
        <f t="shared" si="15"/>
        <v>0.5623342175066313</v>
      </c>
      <c r="AA51" s="305">
        <f t="shared" si="16"/>
        <v>0.4376657824933687</v>
      </c>
      <c r="AB51" s="218">
        <f t="shared" si="17"/>
        <v>53.857142857142854</v>
      </c>
      <c r="AC51" s="297">
        <f t="shared" si="18"/>
        <v>10.742705570291777</v>
      </c>
      <c r="AD51" s="20">
        <f>34995.5+29767+4050</f>
        <v>68812.5</v>
      </c>
      <c r="AE51" s="21">
        <f>2476+2114+377</f>
        <v>4967</v>
      </c>
      <c r="AF51" s="590">
        <f>+AD51/AE51</f>
        <v>13.853935977451178</v>
      </c>
      <c r="AG51" s="629">
        <v>41</v>
      </c>
    </row>
    <row r="52" spans="1:33" s="83" customFormat="1" ht="9.75" customHeight="1">
      <c r="A52" s="324">
        <v>42</v>
      </c>
      <c r="B52" s="666"/>
      <c r="C52" s="640"/>
      <c r="D52" s="537" t="s">
        <v>252</v>
      </c>
      <c r="E52" s="635">
        <v>40718</v>
      </c>
      <c r="F52" s="537" t="s">
        <v>140</v>
      </c>
      <c r="G52" s="25">
        <v>4</v>
      </c>
      <c r="H52" s="25">
        <v>4</v>
      </c>
      <c r="I52" s="25">
        <v>7</v>
      </c>
      <c r="J52" s="552">
        <v>299</v>
      </c>
      <c r="K52" s="553">
        <v>38</v>
      </c>
      <c r="L52" s="552">
        <v>797</v>
      </c>
      <c r="M52" s="553">
        <v>93</v>
      </c>
      <c r="N52" s="552">
        <v>1004</v>
      </c>
      <c r="O52" s="553">
        <v>111</v>
      </c>
      <c r="P52" s="650">
        <f t="shared" si="11"/>
        <v>2100</v>
      </c>
      <c r="Q52" s="651">
        <f t="shared" si="12"/>
        <v>242</v>
      </c>
      <c r="R52" s="218">
        <f t="shared" si="19"/>
        <v>60.5</v>
      </c>
      <c r="S52" s="297">
        <f>IF(P52&lt;&gt;0,P52/Q52,"")</f>
        <v>8.677685950413224</v>
      </c>
      <c r="T52" s="538">
        <v>949</v>
      </c>
      <c r="U52" s="305">
        <f t="shared" si="20"/>
        <v>1.2128556375131718</v>
      </c>
      <c r="V52" s="297">
        <f t="shared" si="13"/>
        <v>1940</v>
      </c>
      <c r="W52" s="218">
        <f t="shared" si="14"/>
        <v>243</v>
      </c>
      <c r="X52" s="688">
        <v>4040</v>
      </c>
      <c r="Y52" s="689">
        <v>485</v>
      </c>
      <c r="Z52" s="305">
        <f t="shared" si="15"/>
        <v>0.49896907216494846</v>
      </c>
      <c r="AA52" s="305">
        <f t="shared" si="16"/>
        <v>0.5010309278350515</v>
      </c>
      <c r="AB52" s="218">
        <f t="shared" si="17"/>
        <v>121.25</v>
      </c>
      <c r="AC52" s="297">
        <f t="shared" si="18"/>
        <v>8.329896907216495</v>
      </c>
      <c r="AD52" s="552">
        <v>40123</v>
      </c>
      <c r="AE52" s="553">
        <v>3622</v>
      </c>
      <c r="AF52" s="298">
        <f>AD52/AE52</f>
        <v>11.077581446714522</v>
      </c>
      <c r="AG52" s="629">
        <v>42</v>
      </c>
    </row>
    <row r="53" spans="1:33" s="83" customFormat="1" ht="9.75" customHeight="1">
      <c r="A53" s="324">
        <v>43</v>
      </c>
      <c r="B53" s="668"/>
      <c r="C53" s="644"/>
      <c r="D53" s="548" t="s">
        <v>388</v>
      </c>
      <c r="E53" s="646">
        <v>40739</v>
      </c>
      <c r="F53" s="548" t="s">
        <v>64</v>
      </c>
      <c r="G53" s="547">
        <v>3</v>
      </c>
      <c r="H53" s="547">
        <v>3</v>
      </c>
      <c r="I53" s="547">
        <v>4</v>
      </c>
      <c r="J53" s="512">
        <v>407</v>
      </c>
      <c r="K53" s="437">
        <v>36</v>
      </c>
      <c r="L53" s="512">
        <v>834</v>
      </c>
      <c r="M53" s="437">
        <v>68</v>
      </c>
      <c r="N53" s="512">
        <v>927.5</v>
      </c>
      <c r="O53" s="437">
        <v>77</v>
      </c>
      <c r="P53" s="631">
        <f t="shared" si="11"/>
        <v>2168.5</v>
      </c>
      <c r="Q53" s="632">
        <f t="shared" si="12"/>
        <v>181</v>
      </c>
      <c r="R53" s="218">
        <f t="shared" si="19"/>
        <v>60.333333333333336</v>
      </c>
      <c r="S53" s="297">
        <f>IF(P53&lt;&gt;0,P53/Q53,"")</f>
        <v>11.980662983425415</v>
      </c>
      <c r="T53" s="549">
        <v>1902</v>
      </c>
      <c r="U53" s="305">
        <f t="shared" si="20"/>
        <v>0.14011566771819137</v>
      </c>
      <c r="V53" s="297">
        <f t="shared" si="13"/>
        <v>1819.5</v>
      </c>
      <c r="W53" s="218">
        <f t="shared" si="14"/>
        <v>188</v>
      </c>
      <c r="X53" s="601">
        <v>3988</v>
      </c>
      <c r="Y53" s="602">
        <v>369</v>
      </c>
      <c r="Z53" s="305">
        <f t="shared" si="15"/>
        <v>0.4905149051490515</v>
      </c>
      <c r="AA53" s="305">
        <f t="shared" si="16"/>
        <v>0.5094850948509485</v>
      </c>
      <c r="AB53" s="218">
        <f t="shared" si="17"/>
        <v>123</v>
      </c>
      <c r="AC53" s="297">
        <f t="shared" si="18"/>
        <v>10.807588075880759</v>
      </c>
      <c r="AD53" s="512">
        <v>24124.5</v>
      </c>
      <c r="AE53" s="437">
        <v>2326</v>
      </c>
      <c r="AF53" s="298">
        <f>+AD53/AE53</f>
        <v>10.371668099742047</v>
      </c>
      <c r="AG53" s="629">
        <v>43</v>
      </c>
    </row>
    <row r="54" spans="1:33" s="83" customFormat="1" ht="9.75" customHeight="1">
      <c r="A54" s="324">
        <v>44</v>
      </c>
      <c r="B54" s="670"/>
      <c r="C54" s="633"/>
      <c r="D54" s="548" t="s">
        <v>266</v>
      </c>
      <c r="E54" s="635">
        <v>40725</v>
      </c>
      <c r="F54" s="548" t="s">
        <v>64</v>
      </c>
      <c r="G54" s="547">
        <v>3</v>
      </c>
      <c r="H54" s="547">
        <v>3</v>
      </c>
      <c r="I54" s="547">
        <v>6</v>
      </c>
      <c r="J54" s="512">
        <v>349</v>
      </c>
      <c r="K54" s="437">
        <v>36</v>
      </c>
      <c r="L54" s="512">
        <v>777</v>
      </c>
      <c r="M54" s="437">
        <v>70</v>
      </c>
      <c r="N54" s="512">
        <v>952</v>
      </c>
      <c r="O54" s="437">
        <v>86</v>
      </c>
      <c r="P54" s="631">
        <f t="shared" si="11"/>
        <v>2078</v>
      </c>
      <c r="Q54" s="632">
        <f t="shared" si="12"/>
        <v>192</v>
      </c>
      <c r="R54" s="218">
        <f t="shared" si="19"/>
        <v>64</v>
      </c>
      <c r="S54" s="297">
        <f>+P54/Q54</f>
        <v>10.822916666666666</v>
      </c>
      <c r="T54" s="549">
        <v>2620.5</v>
      </c>
      <c r="U54" s="305">
        <f t="shared" si="20"/>
        <v>-0.20702156077084527</v>
      </c>
      <c r="V54" s="297">
        <f t="shared" si="13"/>
        <v>1426</v>
      </c>
      <c r="W54" s="218">
        <f t="shared" si="14"/>
        <v>153</v>
      </c>
      <c r="X54" s="601">
        <v>3504</v>
      </c>
      <c r="Y54" s="602">
        <v>345</v>
      </c>
      <c r="Z54" s="305">
        <f t="shared" si="15"/>
        <v>0.5565217391304348</v>
      </c>
      <c r="AA54" s="305">
        <f t="shared" si="16"/>
        <v>0.4434782608695652</v>
      </c>
      <c r="AB54" s="218">
        <f t="shared" si="17"/>
        <v>115</v>
      </c>
      <c r="AC54" s="297">
        <f t="shared" si="18"/>
        <v>10.156521739130435</v>
      </c>
      <c r="AD54" s="512">
        <v>34424</v>
      </c>
      <c r="AE54" s="437">
        <v>3608</v>
      </c>
      <c r="AF54" s="298">
        <f>AD54/AE54</f>
        <v>9.541019955654102</v>
      </c>
      <c r="AG54" s="629">
        <v>44</v>
      </c>
    </row>
    <row r="55" spans="1:33" s="83" customFormat="1" ht="9.75" customHeight="1">
      <c r="A55" s="324">
        <v>45</v>
      </c>
      <c r="B55" s="666"/>
      <c r="C55" s="644"/>
      <c r="D55" s="652">
        <v>3</v>
      </c>
      <c r="E55" s="646">
        <v>40746</v>
      </c>
      <c r="F55" s="537" t="s">
        <v>32</v>
      </c>
      <c r="G55" s="25">
        <v>5</v>
      </c>
      <c r="H55" s="25">
        <v>4</v>
      </c>
      <c r="I55" s="25">
        <v>3</v>
      </c>
      <c r="J55" s="636">
        <v>433</v>
      </c>
      <c r="K55" s="637">
        <v>39</v>
      </c>
      <c r="L55" s="636">
        <v>696.5</v>
      </c>
      <c r="M55" s="637">
        <v>67</v>
      </c>
      <c r="N55" s="636">
        <v>740</v>
      </c>
      <c r="O55" s="637">
        <v>67</v>
      </c>
      <c r="P55" s="631">
        <f t="shared" si="11"/>
        <v>1869.5</v>
      </c>
      <c r="Q55" s="632">
        <f t="shared" si="12"/>
        <v>173</v>
      </c>
      <c r="R55" s="218">
        <f t="shared" si="19"/>
        <v>43.25</v>
      </c>
      <c r="S55" s="297">
        <f>IF(P55&lt;&gt;0,P55/Q55,"")</f>
        <v>10.806358381502891</v>
      </c>
      <c r="T55" s="549">
        <v>6665.5</v>
      </c>
      <c r="U55" s="305">
        <f t="shared" si="20"/>
        <v>-0.7195259170354812</v>
      </c>
      <c r="V55" s="297">
        <f t="shared" si="13"/>
        <v>1584</v>
      </c>
      <c r="W55" s="218">
        <f t="shared" si="14"/>
        <v>163</v>
      </c>
      <c r="X55" s="597">
        <v>3453.5</v>
      </c>
      <c r="Y55" s="598">
        <v>336</v>
      </c>
      <c r="Z55" s="305">
        <f t="shared" si="15"/>
        <v>0.5148809523809523</v>
      </c>
      <c r="AA55" s="305">
        <f t="shared" si="16"/>
        <v>0.4851190476190476</v>
      </c>
      <c r="AB55" s="218">
        <f t="shared" si="17"/>
        <v>84</v>
      </c>
      <c r="AC55" s="297">
        <f t="shared" si="18"/>
        <v>10.27827380952381</v>
      </c>
      <c r="AD55" s="20">
        <f>15287.5+10909.5+3453.5</f>
        <v>29650.5</v>
      </c>
      <c r="AE55" s="21">
        <f>1370+1093+336</f>
        <v>2799</v>
      </c>
      <c r="AF55" s="309">
        <f>+AD55/AE55</f>
        <v>10.593247588424438</v>
      </c>
      <c r="AG55" s="629">
        <v>45</v>
      </c>
    </row>
    <row r="56" spans="1:33" s="83" customFormat="1" ht="9.75" customHeight="1">
      <c r="A56" s="324">
        <v>46</v>
      </c>
      <c r="B56" s="676"/>
      <c r="C56" s="630"/>
      <c r="D56" s="546" t="s">
        <v>401</v>
      </c>
      <c r="E56" s="635">
        <v>40662</v>
      </c>
      <c r="F56" s="537" t="s">
        <v>23</v>
      </c>
      <c r="G56" s="25">
        <v>241</v>
      </c>
      <c r="H56" s="25">
        <v>1</v>
      </c>
      <c r="I56" s="25">
        <v>14</v>
      </c>
      <c r="J56" s="538">
        <v>1204</v>
      </c>
      <c r="K56" s="539">
        <v>350</v>
      </c>
      <c r="L56" s="538">
        <v>0</v>
      </c>
      <c r="M56" s="539">
        <v>0</v>
      </c>
      <c r="N56" s="538">
        <v>0</v>
      </c>
      <c r="O56" s="539">
        <v>0</v>
      </c>
      <c r="P56" s="631">
        <f t="shared" si="11"/>
        <v>1204</v>
      </c>
      <c r="Q56" s="632">
        <f t="shared" si="12"/>
        <v>350</v>
      </c>
      <c r="R56" s="218">
        <f t="shared" si="19"/>
        <v>350</v>
      </c>
      <c r="S56" s="297">
        <f>IF(P56&lt;&gt;0,P56/Q56,"")</f>
        <v>3.44</v>
      </c>
      <c r="T56" s="28"/>
      <c r="U56" s="305">
        <f t="shared" si="20"/>
      </c>
      <c r="V56" s="297">
        <f t="shared" si="13"/>
        <v>1750</v>
      </c>
      <c r="W56" s="218">
        <f t="shared" si="14"/>
        <v>525</v>
      </c>
      <c r="X56" s="595">
        <v>2954</v>
      </c>
      <c r="Y56" s="596">
        <v>875</v>
      </c>
      <c r="Z56" s="305">
        <f t="shared" si="15"/>
        <v>0.4</v>
      </c>
      <c r="AA56" s="305">
        <f t="shared" si="16"/>
        <v>0.6</v>
      </c>
      <c r="AB56" s="218">
        <f t="shared" si="17"/>
        <v>875</v>
      </c>
      <c r="AC56" s="297">
        <f t="shared" si="18"/>
        <v>3.376</v>
      </c>
      <c r="AD56" s="22">
        <v>3640745</v>
      </c>
      <c r="AE56" s="437">
        <v>319460</v>
      </c>
      <c r="AF56" s="298">
        <f>+AD56/AE56</f>
        <v>11.396559819695737</v>
      </c>
      <c r="AG56" s="629">
        <v>46</v>
      </c>
    </row>
    <row r="57" spans="1:33" s="83" customFormat="1" ht="9.75" customHeight="1">
      <c r="A57" s="324">
        <v>47</v>
      </c>
      <c r="B57" s="673"/>
      <c r="C57" s="633"/>
      <c r="D57" s="647" t="s">
        <v>211</v>
      </c>
      <c r="E57" s="648">
        <v>40662</v>
      </c>
      <c r="F57" s="537" t="s">
        <v>32</v>
      </c>
      <c r="G57" s="649">
        <v>10</v>
      </c>
      <c r="H57" s="25">
        <v>4</v>
      </c>
      <c r="I57" s="649">
        <v>14</v>
      </c>
      <c r="J57" s="636">
        <v>0</v>
      </c>
      <c r="K57" s="637">
        <v>0</v>
      </c>
      <c r="L57" s="636">
        <v>0</v>
      </c>
      <c r="M57" s="637">
        <v>0</v>
      </c>
      <c r="N57" s="636">
        <v>0</v>
      </c>
      <c r="O57" s="637">
        <v>0</v>
      </c>
      <c r="P57" s="656">
        <f t="shared" si="11"/>
        <v>0</v>
      </c>
      <c r="Q57" s="657">
        <f t="shared" si="12"/>
        <v>0</v>
      </c>
      <c r="R57" s="550"/>
      <c r="S57" s="297"/>
      <c r="T57" s="551"/>
      <c r="U57" s="305"/>
      <c r="V57" s="297">
        <f t="shared" si="13"/>
        <v>2833</v>
      </c>
      <c r="W57" s="218">
        <f t="shared" si="14"/>
        <v>355</v>
      </c>
      <c r="X57" s="597">
        <v>2833</v>
      </c>
      <c r="Y57" s="598">
        <v>355</v>
      </c>
      <c r="Z57" s="305">
        <f t="shared" si="15"/>
        <v>0</v>
      </c>
      <c r="AA57" s="305">
        <f t="shared" si="16"/>
        <v>1</v>
      </c>
      <c r="AB57" s="218">
        <f t="shared" si="17"/>
        <v>88.75</v>
      </c>
      <c r="AC57" s="297">
        <f t="shared" si="18"/>
        <v>7.980281690140845</v>
      </c>
      <c r="AD57" s="20">
        <f>12741+4425+5437.5+2837.5+1398+7610.5+2745+1373+5773+1526+509+395+2116+2833</f>
        <v>51719.5</v>
      </c>
      <c r="AE57" s="21">
        <f>1277+498+629+407+231+902+351+177+635+249+80+61+242+355</f>
        <v>6094</v>
      </c>
      <c r="AF57" s="298">
        <f>AD57/AE57</f>
        <v>8.486954381358714</v>
      </c>
      <c r="AG57" s="629">
        <v>47</v>
      </c>
    </row>
    <row r="58" spans="1:35" s="83" customFormat="1" ht="9.75" customHeight="1">
      <c r="A58" s="324">
        <v>48</v>
      </c>
      <c r="B58" s="674"/>
      <c r="C58" s="633"/>
      <c r="D58" s="540" t="s">
        <v>362</v>
      </c>
      <c r="E58" s="635">
        <v>40732</v>
      </c>
      <c r="F58" s="541" t="s">
        <v>8</v>
      </c>
      <c r="G58" s="18">
        <v>1</v>
      </c>
      <c r="H58" s="18">
        <v>1</v>
      </c>
      <c r="I58" s="18">
        <v>5</v>
      </c>
      <c r="J58" s="17">
        <v>419</v>
      </c>
      <c r="K58" s="423">
        <v>30</v>
      </c>
      <c r="L58" s="17">
        <v>609</v>
      </c>
      <c r="M58" s="423">
        <v>43</v>
      </c>
      <c r="N58" s="17">
        <v>834</v>
      </c>
      <c r="O58" s="423">
        <v>60</v>
      </c>
      <c r="P58" s="631">
        <f>+J58+L58+N58</f>
        <v>1862</v>
      </c>
      <c r="Q58" s="632">
        <f>+K58+M58+O58</f>
        <v>133</v>
      </c>
      <c r="R58" s="218">
        <f>IF(P58&lt;&gt;0,Q58/H58,"")</f>
        <v>133</v>
      </c>
      <c r="S58" s="297">
        <f>IF(P58&lt;&gt;0,P58/Q58,"")</f>
        <v>14</v>
      </c>
      <c r="T58" s="28">
        <v>2340</v>
      </c>
      <c r="U58" s="305">
        <f>IF(T58&lt;&gt;0,-(T58-P58)/T58,"")</f>
        <v>-0.20427350427350427</v>
      </c>
      <c r="V58" s="297">
        <f t="shared" si="13"/>
        <v>963</v>
      </c>
      <c r="W58" s="218">
        <f t="shared" si="14"/>
        <v>85</v>
      </c>
      <c r="X58" s="599">
        <v>2825</v>
      </c>
      <c r="Y58" s="600">
        <v>218</v>
      </c>
      <c r="Z58" s="305">
        <f t="shared" si="15"/>
        <v>0.6100917431192661</v>
      </c>
      <c r="AA58" s="305">
        <f t="shared" si="16"/>
        <v>0.38990825688073394</v>
      </c>
      <c r="AB58" s="218">
        <f t="shared" si="17"/>
        <v>218</v>
      </c>
      <c r="AC58" s="297">
        <f t="shared" si="18"/>
        <v>12.958715596330276</v>
      </c>
      <c r="AD58" s="17">
        <v>15628</v>
      </c>
      <c r="AE58" s="423">
        <v>1126</v>
      </c>
      <c r="AF58" s="298">
        <f>AD58/AE58</f>
        <v>13.879218472468917</v>
      </c>
      <c r="AG58" s="629">
        <v>48</v>
      </c>
      <c r="AI58" s="123"/>
    </row>
    <row r="59" spans="1:33" s="83" customFormat="1" ht="9.75" customHeight="1">
      <c r="A59" s="324">
        <v>49</v>
      </c>
      <c r="B59" s="673"/>
      <c r="C59" s="633"/>
      <c r="D59" s="542" t="s">
        <v>75</v>
      </c>
      <c r="E59" s="635">
        <v>40683</v>
      </c>
      <c r="F59" s="537" t="s">
        <v>32</v>
      </c>
      <c r="G59" s="25">
        <v>6</v>
      </c>
      <c r="H59" s="25">
        <v>4</v>
      </c>
      <c r="I59" s="25">
        <v>12</v>
      </c>
      <c r="J59" s="636">
        <v>122</v>
      </c>
      <c r="K59" s="637">
        <v>18</v>
      </c>
      <c r="L59" s="636">
        <v>434</v>
      </c>
      <c r="M59" s="637">
        <v>54</v>
      </c>
      <c r="N59" s="636">
        <v>556</v>
      </c>
      <c r="O59" s="637">
        <v>69</v>
      </c>
      <c r="P59" s="656">
        <f aca="true" t="shared" si="21" ref="P59:Q61">SUM(J59+L59+N59)</f>
        <v>1112</v>
      </c>
      <c r="Q59" s="657">
        <f t="shared" si="21"/>
        <v>141</v>
      </c>
      <c r="R59" s="544">
        <f>IF(P59&lt;&gt;0,Q59/H59,"")</f>
        <v>35.25</v>
      </c>
      <c r="S59" s="297">
        <f>IF(P59&lt;&gt;0,P59/Q59,"")</f>
        <v>7.886524822695035</v>
      </c>
      <c r="T59" s="551">
        <v>1276</v>
      </c>
      <c r="U59" s="305">
        <f>IF(T59&lt;&gt;0,-(T59-P59)/T59,"")</f>
        <v>-0.12852664576802508</v>
      </c>
      <c r="V59" s="297">
        <f t="shared" si="13"/>
        <v>1543.5</v>
      </c>
      <c r="W59" s="218">
        <f t="shared" si="14"/>
        <v>205</v>
      </c>
      <c r="X59" s="597">
        <v>2655.5</v>
      </c>
      <c r="Y59" s="598">
        <v>346</v>
      </c>
      <c r="Z59" s="305">
        <f t="shared" si="15"/>
        <v>0.407514450867052</v>
      </c>
      <c r="AA59" s="305">
        <f t="shared" si="16"/>
        <v>0.5924855491329479</v>
      </c>
      <c r="AB59" s="218">
        <f t="shared" si="17"/>
        <v>86.5</v>
      </c>
      <c r="AC59" s="297">
        <f t="shared" si="18"/>
        <v>7.67485549132948</v>
      </c>
      <c r="AD59" s="20">
        <f>16905.5+10044+3710+2342+9911.5+7248+6024+1678+1960+374+2139+2655.5</f>
        <v>64991.5</v>
      </c>
      <c r="AE59" s="21">
        <f>1241+811+837+224+905+1125+738+283+277+57+267+346</f>
        <v>7111</v>
      </c>
      <c r="AF59" s="298">
        <f>AD59/AE59</f>
        <v>9.139572493320209</v>
      </c>
      <c r="AG59" s="629">
        <v>49</v>
      </c>
    </row>
    <row r="60" spans="1:33" s="83" customFormat="1" ht="9.75" customHeight="1">
      <c r="A60" s="324">
        <v>50</v>
      </c>
      <c r="B60" s="673"/>
      <c r="C60" s="633"/>
      <c r="D60" s="647" t="s">
        <v>132</v>
      </c>
      <c r="E60" s="648">
        <v>40613</v>
      </c>
      <c r="F60" s="537" t="s">
        <v>32</v>
      </c>
      <c r="G60" s="649">
        <v>22</v>
      </c>
      <c r="H60" s="25">
        <v>3</v>
      </c>
      <c r="I60" s="649">
        <v>17</v>
      </c>
      <c r="J60" s="636">
        <v>0</v>
      </c>
      <c r="K60" s="637">
        <v>0</v>
      </c>
      <c r="L60" s="636">
        <v>0</v>
      </c>
      <c r="M60" s="637">
        <v>0</v>
      </c>
      <c r="N60" s="636">
        <v>0</v>
      </c>
      <c r="O60" s="637">
        <v>0</v>
      </c>
      <c r="P60" s="656">
        <f t="shared" si="21"/>
        <v>0</v>
      </c>
      <c r="Q60" s="657">
        <f t="shared" si="21"/>
        <v>0</v>
      </c>
      <c r="R60" s="655"/>
      <c r="S60" s="297"/>
      <c r="T60" s="551"/>
      <c r="U60" s="305"/>
      <c r="V60" s="297">
        <f t="shared" si="13"/>
        <v>2626.5</v>
      </c>
      <c r="W60" s="218">
        <f t="shared" si="14"/>
        <v>299</v>
      </c>
      <c r="X60" s="597">
        <v>2626.5</v>
      </c>
      <c r="Y60" s="598">
        <v>299</v>
      </c>
      <c r="Z60" s="305">
        <f t="shared" si="15"/>
        <v>0</v>
      </c>
      <c r="AA60" s="305">
        <f t="shared" si="16"/>
        <v>1</v>
      </c>
      <c r="AB60" s="218">
        <f t="shared" si="17"/>
        <v>99.66666666666667</v>
      </c>
      <c r="AC60" s="297">
        <f t="shared" si="18"/>
        <v>8.784280936454849</v>
      </c>
      <c r="AD60" s="20">
        <f>116753+45641.5+1507+3664+4533+723.5+456.5+2184+2545+520.5+610+1419+1872+2025.5+1249+6798+2626.5</f>
        <v>195128</v>
      </c>
      <c r="AE60" s="21">
        <f>8727+3759+162+393+667+140+67+296+333+73+92+210+173+255+140+905+299</f>
        <v>16691</v>
      </c>
      <c r="AF60" s="298">
        <f>+AD60/AE60</f>
        <v>11.690611706907914</v>
      </c>
      <c r="AG60" s="629">
        <v>50</v>
      </c>
    </row>
    <row r="61" spans="1:33" s="83" customFormat="1" ht="9.75" customHeight="1">
      <c r="A61" s="324">
        <v>51</v>
      </c>
      <c r="B61" s="668"/>
      <c r="C61" s="633"/>
      <c r="D61" s="542" t="s">
        <v>45</v>
      </c>
      <c r="E61" s="635">
        <v>40655</v>
      </c>
      <c r="F61" s="537" t="s">
        <v>32</v>
      </c>
      <c r="G61" s="25">
        <v>15</v>
      </c>
      <c r="H61" s="25">
        <v>5</v>
      </c>
      <c r="I61" s="25">
        <v>16</v>
      </c>
      <c r="J61" s="636">
        <v>178</v>
      </c>
      <c r="K61" s="637">
        <v>20</v>
      </c>
      <c r="L61" s="636">
        <v>574</v>
      </c>
      <c r="M61" s="637">
        <v>82</v>
      </c>
      <c r="N61" s="636">
        <v>516</v>
      </c>
      <c r="O61" s="637">
        <v>76</v>
      </c>
      <c r="P61" s="631">
        <f t="shared" si="21"/>
        <v>1268</v>
      </c>
      <c r="Q61" s="632">
        <f t="shared" si="21"/>
        <v>178</v>
      </c>
      <c r="R61" s="218">
        <f>IF(P61&lt;&gt;0,Q61/H61,"")</f>
        <v>35.6</v>
      </c>
      <c r="S61" s="297">
        <f>IF(P61&lt;&gt;0,P61/Q61,"")</f>
        <v>7.123595505617978</v>
      </c>
      <c r="T61" s="28">
        <v>3156</v>
      </c>
      <c r="U61" s="305">
        <f>IF(T61&lt;&gt;0,-(T61-P61)/T61,"")</f>
        <v>-0.5982256020278834</v>
      </c>
      <c r="V61" s="297">
        <f t="shared" si="13"/>
        <v>1309</v>
      </c>
      <c r="W61" s="218">
        <f t="shared" si="14"/>
        <v>192</v>
      </c>
      <c r="X61" s="597">
        <v>2577</v>
      </c>
      <c r="Y61" s="598">
        <v>370</v>
      </c>
      <c r="Z61" s="305">
        <f t="shared" si="15"/>
        <v>0.4810810810810811</v>
      </c>
      <c r="AA61" s="305">
        <f t="shared" si="16"/>
        <v>0.518918918918919</v>
      </c>
      <c r="AB61" s="218">
        <f t="shared" si="17"/>
        <v>74</v>
      </c>
      <c r="AC61" s="297">
        <f t="shared" si="18"/>
        <v>6.964864864864865</v>
      </c>
      <c r="AD61" s="20">
        <f>41594+16674.5+20041.5+21789.5+6150+7886+17173.5+27384+16704.5+16122.5+8157+5086+2378+11487+5687.5+2577</f>
        <v>226892.5</v>
      </c>
      <c r="AE61" s="21">
        <f>4913+2342+2355+2524+869+1326+2610+3337+2297+2315+1175+747+414+1699+885+370</f>
        <v>30178</v>
      </c>
      <c r="AF61" s="298">
        <f>AD61/AE61</f>
        <v>7.518473722579363</v>
      </c>
      <c r="AG61" s="629">
        <v>51</v>
      </c>
    </row>
    <row r="62" spans="1:33" s="83" customFormat="1" ht="9.75" customHeight="1">
      <c r="A62" s="324">
        <v>52</v>
      </c>
      <c r="B62" s="673"/>
      <c r="C62" s="633"/>
      <c r="D62" s="548" t="s">
        <v>408</v>
      </c>
      <c r="E62" s="646">
        <v>40753</v>
      </c>
      <c r="F62" s="548" t="s">
        <v>64</v>
      </c>
      <c r="G62" s="547">
        <v>3</v>
      </c>
      <c r="H62" s="547">
        <v>3</v>
      </c>
      <c r="I62" s="547">
        <v>2</v>
      </c>
      <c r="J62" s="512">
        <v>434</v>
      </c>
      <c r="K62" s="437">
        <v>51</v>
      </c>
      <c r="L62" s="512">
        <v>630</v>
      </c>
      <c r="M62" s="437">
        <v>68</v>
      </c>
      <c r="N62" s="512">
        <v>633</v>
      </c>
      <c r="O62" s="437">
        <v>73</v>
      </c>
      <c r="P62" s="631">
        <f>+J62+L62+N62</f>
        <v>1697</v>
      </c>
      <c r="Q62" s="632">
        <f>+K62+M62+O62</f>
        <v>192</v>
      </c>
      <c r="R62" s="539">
        <f>+Q62/H62</f>
        <v>64</v>
      </c>
      <c r="S62" s="297">
        <f>IF(P62&lt;&gt;0,P62/Q62,"")</f>
        <v>8.838541666666666</v>
      </c>
      <c r="T62" s="549">
        <v>5380.5</v>
      </c>
      <c r="U62" s="305">
        <f>IF(T62&lt;&gt;0,-(T62-P62)/T62,"")</f>
        <v>-0.6846018028064307</v>
      </c>
      <c r="V62" s="297">
        <f t="shared" si="13"/>
        <v>880</v>
      </c>
      <c r="W62" s="218">
        <f t="shared" si="14"/>
        <v>108</v>
      </c>
      <c r="X62" s="601">
        <v>2577</v>
      </c>
      <c r="Y62" s="602">
        <v>300</v>
      </c>
      <c r="Z62" s="305">
        <f t="shared" si="15"/>
        <v>0.64</v>
      </c>
      <c r="AA62" s="305">
        <f t="shared" si="16"/>
        <v>0.36</v>
      </c>
      <c r="AB62" s="218">
        <f t="shared" si="17"/>
        <v>100</v>
      </c>
      <c r="AC62" s="297">
        <f t="shared" si="18"/>
        <v>8.59</v>
      </c>
      <c r="AD62" s="512">
        <v>11586.5</v>
      </c>
      <c r="AE62" s="437">
        <v>960</v>
      </c>
      <c r="AF62" s="309">
        <f>+AD62/AE62</f>
        <v>12.069270833333333</v>
      </c>
      <c r="AG62" s="629">
        <v>52</v>
      </c>
    </row>
    <row r="63" spans="1:33" s="83" customFormat="1" ht="9.75" customHeight="1">
      <c r="A63" s="324">
        <v>53</v>
      </c>
      <c r="B63" s="667"/>
      <c r="C63" s="633"/>
      <c r="D63" s="548" t="s">
        <v>398</v>
      </c>
      <c r="E63" s="646">
        <v>40746</v>
      </c>
      <c r="F63" s="548" t="s">
        <v>64</v>
      </c>
      <c r="G63" s="547">
        <v>35</v>
      </c>
      <c r="H63" s="547">
        <v>3</v>
      </c>
      <c r="I63" s="547">
        <v>3</v>
      </c>
      <c r="J63" s="512">
        <v>158.5</v>
      </c>
      <c r="K63" s="437">
        <v>13</v>
      </c>
      <c r="L63" s="512">
        <v>628</v>
      </c>
      <c r="M63" s="437">
        <v>52</v>
      </c>
      <c r="N63" s="512">
        <v>579</v>
      </c>
      <c r="O63" s="437">
        <v>49</v>
      </c>
      <c r="P63" s="631">
        <f aca="true" t="shared" si="22" ref="P63:Q67">SUM(J63+L63+N63)</f>
        <v>1365.5</v>
      </c>
      <c r="Q63" s="632">
        <f t="shared" si="22"/>
        <v>114</v>
      </c>
      <c r="R63" s="550">
        <f>Q63/H63</f>
        <v>38</v>
      </c>
      <c r="S63" s="297">
        <f>+P63/Q63</f>
        <v>11.978070175438596</v>
      </c>
      <c r="T63" s="28">
        <v>1652.5</v>
      </c>
      <c r="U63" s="305">
        <f>IF(T63&lt;&gt;0,-(T63-P63)/T63,"")</f>
        <v>-0.17367624810892587</v>
      </c>
      <c r="V63" s="297">
        <f t="shared" si="13"/>
        <v>1189</v>
      </c>
      <c r="W63" s="218">
        <f t="shared" si="14"/>
        <v>121</v>
      </c>
      <c r="X63" s="601">
        <v>2554.5</v>
      </c>
      <c r="Y63" s="602">
        <v>235</v>
      </c>
      <c r="Z63" s="305">
        <f t="shared" si="15"/>
        <v>0.4851063829787234</v>
      </c>
      <c r="AA63" s="305">
        <f t="shared" si="16"/>
        <v>0.5148936170212766</v>
      </c>
      <c r="AB63" s="218">
        <f t="shared" si="17"/>
        <v>78.33333333333333</v>
      </c>
      <c r="AC63" s="297">
        <f t="shared" si="18"/>
        <v>10.870212765957447</v>
      </c>
      <c r="AD63" s="512">
        <v>10977</v>
      </c>
      <c r="AE63" s="437">
        <v>954</v>
      </c>
      <c r="AF63" s="298">
        <f>AD63/AE63</f>
        <v>11.5062893081761</v>
      </c>
      <c r="AG63" s="629">
        <v>53</v>
      </c>
    </row>
    <row r="64" spans="1:33" s="83" customFormat="1" ht="9.75" customHeight="1">
      <c r="A64" s="324">
        <v>54</v>
      </c>
      <c r="B64" s="673"/>
      <c r="C64" s="633"/>
      <c r="D64" s="634" t="s">
        <v>223</v>
      </c>
      <c r="E64" s="653">
        <v>40697</v>
      </c>
      <c r="F64" s="537" t="s">
        <v>32</v>
      </c>
      <c r="G64" s="25">
        <v>71</v>
      </c>
      <c r="H64" s="25">
        <v>11</v>
      </c>
      <c r="I64" s="25">
        <v>10</v>
      </c>
      <c r="J64" s="636">
        <v>421</v>
      </c>
      <c r="K64" s="637">
        <v>81</v>
      </c>
      <c r="L64" s="636">
        <v>338</v>
      </c>
      <c r="M64" s="637">
        <v>54</v>
      </c>
      <c r="N64" s="636">
        <v>488</v>
      </c>
      <c r="O64" s="637">
        <v>71</v>
      </c>
      <c r="P64" s="631">
        <f t="shared" si="22"/>
        <v>1247</v>
      </c>
      <c r="Q64" s="632">
        <f t="shared" si="22"/>
        <v>206</v>
      </c>
      <c r="R64" s="218">
        <f>IF(P64&lt;&gt;0,Q64/H64,"")</f>
        <v>18.727272727272727</v>
      </c>
      <c r="S64" s="297">
        <f>IF(P64&lt;&gt;0,P64/Q64,"")</f>
        <v>6.053398058252427</v>
      </c>
      <c r="T64" s="28">
        <v>3301</v>
      </c>
      <c r="U64" s="305">
        <f>IF(T64&lt;&gt;0,-(T64-P64)/T64,"")</f>
        <v>-0.6222356861557103</v>
      </c>
      <c r="V64" s="297">
        <f t="shared" si="13"/>
        <v>1043</v>
      </c>
      <c r="W64" s="218">
        <f t="shared" si="14"/>
        <v>193</v>
      </c>
      <c r="X64" s="597">
        <v>2290</v>
      </c>
      <c r="Y64" s="598">
        <v>399</v>
      </c>
      <c r="Z64" s="305">
        <f t="shared" si="15"/>
        <v>0.5162907268170426</v>
      </c>
      <c r="AA64" s="305">
        <f t="shared" si="16"/>
        <v>0.48370927318295737</v>
      </c>
      <c r="AB64" s="218">
        <f t="shared" si="17"/>
        <v>36.27272727272727</v>
      </c>
      <c r="AC64" s="297">
        <f t="shared" si="18"/>
        <v>5.739348370927318</v>
      </c>
      <c r="AD64" s="20">
        <f>204018.5+92011.75+38624.5+27400+22817+12697.5+8373+8455.5+6781+2290</f>
        <v>423468.75</v>
      </c>
      <c r="AE64" s="21">
        <f>20915+10991+4900+3855+3433+1986+1329+1415+1032+399</f>
        <v>50255</v>
      </c>
      <c r="AF64" s="309">
        <f>+AD64/AE64</f>
        <v>8.426400358173316</v>
      </c>
      <c r="AG64" s="629">
        <v>54</v>
      </c>
    </row>
    <row r="65" spans="1:33" s="83" customFormat="1" ht="9.75" customHeight="1">
      <c r="A65" s="324">
        <v>55</v>
      </c>
      <c r="B65" s="673"/>
      <c r="C65" s="633"/>
      <c r="D65" s="647" t="s">
        <v>130</v>
      </c>
      <c r="E65" s="648">
        <v>40606</v>
      </c>
      <c r="F65" s="537" t="s">
        <v>32</v>
      </c>
      <c r="G65" s="649">
        <v>6</v>
      </c>
      <c r="H65" s="25">
        <v>3</v>
      </c>
      <c r="I65" s="649">
        <v>19</v>
      </c>
      <c r="J65" s="636">
        <v>0</v>
      </c>
      <c r="K65" s="637">
        <v>0</v>
      </c>
      <c r="L65" s="636">
        <v>0</v>
      </c>
      <c r="M65" s="637">
        <v>0</v>
      </c>
      <c r="N65" s="636">
        <v>0</v>
      </c>
      <c r="O65" s="637">
        <v>0</v>
      </c>
      <c r="P65" s="656">
        <f t="shared" si="22"/>
        <v>0</v>
      </c>
      <c r="Q65" s="657">
        <f t="shared" si="22"/>
        <v>0</v>
      </c>
      <c r="R65" s="550"/>
      <c r="S65" s="297"/>
      <c r="T65" s="551"/>
      <c r="U65" s="305"/>
      <c r="V65" s="297">
        <f t="shared" si="13"/>
        <v>2177</v>
      </c>
      <c r="W65" s="218">
        <f t="shared" si="14"/>
        <v>326</v>
      </c>
      <c r="X65" s="597">
        <v>2177</v>
      </c>
      <c r="Y65" s="598">
        <v>326</v>
      </c>
      <c r="Z65" s="305">
        <f t="shared" si="15"/>
        <v>0</v>
      </c>
      <c r="AA65" s="305">
        <f t="shared" si="16"/>
        <v>1</v>
      </c>
      <c r="AB65" s="218">
        <f t="shared" si="17"/>
        <v>108.66666666666667</v>
      </c>
      <c r="AC65" s="297">
        <f t="shared" si="18"/>
        <v>6.677914110429448</v>
      </c>
      <c r="AD65" s="20">
        <f>23509.5+4775.5+1638+419+8818.5+506+3133+2970+2646+2538+107+2062+2879.5+1195+1956+1584+3301+2206+2177</f>
        <v>68421</v>
      </c>
      <c r="AE65" s="21">
        <f>1642+339+312+83+823+52+341+742+437+351+14+315+704+136+274+191+392+306+326</f>
        <v>7780</v>
      </c>
      <c r="AF65" s="298">
        <f>+AD65/AE65</f>
        <v>8.794473007712082</v>
      </c>
      <c r="AG65" s="629">
        <v>55</v>
      </c>
    </row>
    <row r="66" spans="1:33" s="83" customFormat="1" ht="9.75" customHeight="1">
      <c r="A66" s="324">
        <v>56</v>
      </c>
      <c r="B66" s="671"/>
      <c r="C66" s="644"/>
      <c r="D66" s="542" t="s">
        <v>65</v>
      </c>
      <c r="E66" s="635">
        <v>40676</v>
      </c>
      <c r="F66" s="537" t="s">
        <v>32</v>
      </c>
      <c r="G66" s="25">
        <v>10</v>
      </c>
      <c r="H66" s="25">
        <v>7</v>
      </c>
      <c r="I66" s="25">
        <v>13</v>
      </c>
      <c r="J66" s="636">
        <v>157</v>
      </c>
      <c r="K66" s="637">
        <v>26</v>
      </c>
      <c r="L66" s="636">
        <v>431</v>
      </c>
      <c r="M66" s="637">
        <v>67</v>
      </c>
      <c r="N66" s="636">
        <v>370</v>
      </c>
      <c r="O66" s="637">
        <v>61</v>
      </c>
      <c r="P66" s="631">
        <f t="shared" si="22"/>
        <v>958</v>
      </c>
      <c r="Q66" s="632">
        <f t="shared" si="22"/>
        <v>154</v>
      </c>
      <c r="R66" s="218">
        <f>IF(P66&lt;&gt;0,Q66/H66,"")</f>
        <v>22</v>
      </c>
      <c r="S66" s="297">
        <f>IF(P66&lt;&gt;0,P66/Q66,"")</f>
        <v>6.220779220779221</v>
      </c>
      <c r="T66" s="28">
        <v>3204.5</v>
      </c>
      <c r="U66" s="305">
        <f>IF(T66&lt;&gt;0,-(T66-P66)/T66,"")</f>
        <v>-0.7010454048993603</v>
      </c>
      <c r="V66" s="297">
        <f t="shared" si="13"/>
        <v>1214</v>
      </c>
      <c r="W66" s="218">
        <f t="shared" si="14"/>
        <v>225</v>
      </c>
      <c r="X66" s="597">
        <v>2172</v>
      </c>
      <c r="Y66" s="598">
        <v>379</v>
      </c>
      <c r="Z66" s="305">
        <f t="shared" si="15"/>
        <v>0.40633245382585753</v>
      </c>
      <c r="AA66" s="305">
        <f t="shared" si="16"/>
        <v>0.5936675461741425</v>
      </c>
      <c r="AB66" s="218">
        <f t="shared" si="17"/>
        <v>54.142857142857146</v>
      </c>
      <c r="AC66" s="297">
        <f t="shared" si="18"/>
        <v>5.730870712401056</v>
      </c>
      <c r="AD66" s="20">
        <f>25538+8567.5+9964.5+12234+14938.5+9476+11986.5+8134.5+5758+8917.5+7919+5060.5+2172</f>
        <v>130666.5</v>
      </c>
      <c r="AE66" s="21">
        <f>2653+1137+1115+1743+2142+1338+1216+1069+896+1180+1242+698+379</f>
        <v>16808</v>
      </c>
      <c r="AF66" s="298">
        <f>AD66/AE66</f>
        <v>7.7740659209900045</v>
      </c>
      <c r="AG66" s="629">
        <v>56</v>
      </c>
    </row>
    <row r="67" spans="1:33" s="83" customFormat="1" ht="9.75" customHeight="1">
      <c r="A67" s="324">
        <v>57</v>
      </c>
      <c r="B67" s="673"/>
      <c r="C67" s="633"/>
      <c r="D67" s="548" t="s">
        <v>219</v>
      </c>
      <c r="E67" s="646">
        <v>40690</v>
      </c>
      <c r="F67" s="548" t="s">
        <v>64</v>
      </c>
      <c r="G67" s="547">
        <v>17</v>
      </c>
      <c r="H67" s="547">
        <v>5</v>
      </c>
      <c r="I67" s="547">
        <v>11</v>
      </c>
      <c r="J67" s="512">
        <v>295</v>
      </c>
      <c r="K67" s="437">
        <v>42</v>
      </c>
      <c r="L67" s="512">
        <v>427</v>
      </c>
      <c r="M67" s="437">
        <v>52</v>
      </c>
      <c r="N67" s="512">
        <v>278</v>
      </c>
      <c r="O67" s="437">
        <v>34</v>
      </c>
      <c r="P67" s="631">
        <f t="shared" si="22"/>
        <v>1000</v>
      </c>
      <c r="Q67" s="632">
        <f t="shared" si="22"/>
        <v>128</v>
      </c>
      <c r="R67" s="539">
        <f>+Q67/H67</f>
        <v>25.6</v>
      </c>
      <c r="S67" s="297">
        <f>IF(P67&lt;&gt;0,P67/Q67,"")</f>
        <v>7.8125</v>
      </c>
      <c r="T67" s="28">
        <v>1633</v>
      </c>
      <c r="U67" s="305">
        <f>IF(T67&lt;&gt;0,-(T67-P67)/T67,"")</f>
        <v>-0.387630128597673</v>
      </c>
      <c r="V67" s="297">
        <f t="shared" si="13"/>
        <v>1148</v>
      </c>
      <c r="W67" s="218">
        <f t="shared" si="14"/>
        <v>177</v>
      </c>
      <c r="X67" s="601">
        <v>2148</v>
      </c>
      <c r="Y67" s="602">
        <v>305</v>
      </c>
      <c r="Z67" s="305">
        <f t="shared" si="15"/>
        <v>0.419672131147541</v>
      </c>
      <c r="AA67" s="305">
        <f t="shared" si="16"/>
        <v>0.580327868852459</v>
      </c>
      <c r="AB67" s="218">
        <f t="shared" si="17"/>
        <v>61</v>
      </c>
      <c r="AC67" s="297">
        <f t="shared" si="18"/>
        <v>7.0426229508196725</v>
      </c>
      <c r="AD67" s="512">
        <v>86387.5</v>
      </c>
      <c r="AE67" s="437">
        <v>10707</v>
      </c>
      <c r="AF67" s="309">
        <f>+AD67/AE67</f>
        <v>8.06831979079107</v>
      </c>
      <c r="AG67" s="629">
        <v>57</v>
      </c>
    </row>
    <row r="68" spans="1:33" s="83" customFormat="1" ht="9.75" customHeight="1">
      <c r="A68" s="324">
        <v>58</v>
      </c>
      <c r="B68" s="673"/>
      <c r="C68" s="633"/>
      <c r="D68" s="540" t="s">
        <v>73</v>
      </c>
      <c r="E68" s="639">
        <v>40683</v>
      </c>
      <c r="F68" s="540" t="s">
        <v>74</v>
      </c>
      <c r="G68" s="540">
        <v>10</v>
      </c>
      <c r="H68" s="577">
        <v>7</v>
      </c>
      <c r="I68" s="577">
        <v>12</v>
      </c>
      <c r="J68" s="512">
        <v>320</v>
      </c>
      <c r="K68" s="437">
        <v>46</v>
      </c>
      <c r="L68" s="512">
        <v>376</v>
      </c>
      <c r="M68" s="437">
        <v>54</v>
      </c>
      <c r="N68" s="512">
        <v>669</v>
      </c>
      <c r="O68" s="437">
        <v>95</v>
      </c>
      <c r="P68" s="631">
        <f>+J68+L68+N68</f>
        <v>1365</v>
      </c>
      <c r="Q68" s="632">
        <f>+K68+M68+O68</f>
        <v>195</v>
      </c>
      <c r="R68" s="218">
        <f>IF(P68&lt;&gt;0,Q68/H68,"")</f>
        <v>27.857142857142858</v>
      </c>
      <c r="S68" s="297">
        <f>IF(P68&lt;&gt;0,P68/Q68,"")</f>
        <v>7</v>
      </c>
      <c r="T68" s="28">
        <v>5689</v>
      </c>
      <c r="U68" s="305">
        <f>IF(T68&lt;&gt;0,-(T68-P68)/T68,"")</f>
        <v>-0.7600632800140622</v>
      </c>
      <c r="V68" s="297">
        <f t="shared" si="13"/>
        <v>717</v>
      </c>
      <c r="W68" s="218">
        <f t="shared" si="14"/>
        <v>121</v>
      </c>
      <c r="X68" s="599">
        <v>2082</v>
      </c>
      <c r="Y68" s="600">
        <v>316</v>
      </c>
      <c r="Z68" s="305">
        <f t="shared" si="15"/>
        <v>0.6170886075949367</v>
      </c>
      <c r="AA68" s="305">
        <f t="shared" si="16"/>
        <v>0.3829113924050633</v>
      </c>
      <c r="AB68" s="218">
        <f t="shared" si="17"/>
        <v>45.142857142857146</v>
      </c>
      <c r="AC68" s="297">
        <f t="shared" si="18"/>
        <v>6.5886075949367084</v>
      </c>
      <c r="AD68" s="17">
        <v>103579</v>
      </c>
      <c r="AE68" s="423">
        <v>12626</v>
      </c>
      <c r="AF68" s="298">
        <f>AD68/AE68</f>
        <v>8.203627435450658</v>
      </c>
      <c r="AG68" s="629">
        <v>58</v>
      </c>
    </row>
    <row r="69" spans="1:33" s="83" customFormat="1" ht="9.75" customHeight="1">
      <c r="A69" s="324">
        <v>59</v>
      </c>
      <c r="B69" s="667"/>
      <c r="C69" s="633"/>
      <c r="D69" s="548" t="s">
        <v>72</v>
      </c>
      <c r="E69" s="646">
        <v>40683</v>
      </c>
      <c r="F69" s="548" t="s">
        <v>64</v>
      </c>
      <c r="G69" s="547">
        <v>15</v>
      </c>
      <c r="H69" s="547">
        <v>5</v>
      </c>
      <c r="I69" s="547">
        <v>12</v>
      </c>
      <c r="J69" s="512">
        <v>234</v>
      </c>
      <c r="K69" s="437">
        <v>34</v>
      </c>
      <c r="L69" s="512">
        <v>434</v>
      </c>
      <c r="M69" s="437">
        <v>63</v>
      </c>
      <c r="N69" s="512">
        <v>382</v>
      </c>
      <c r="O69" s="437">
        <v>66</v>
      </c>
      <c r="P69" s="631">
        <f aca="true" t="shared" si="23" ref="P69:Q74">SUM(J69+L69+N69)</f>
        <v>1050</v>
      </c>
      <c r="Q69" s="632">
        <f t="shared" si="23"/>
        <v>163</v>
      </c>
      <c r="R69" s="218">
        <f>IF(P69&lt;&gt;0,Q69/H69,"")</f>
        <v>32.6</v>
      </c>
      <c r="S69" s="297">
        <f>+P69/Q69</f>
        <v>6.441717791411043</v>
      </c>
      <c r="T69" s="28">
        <v>1880</v>
      </c>
      <c r="U69" s="305">
        <f>IF(T69&lt;&gt;0,-(T69-P69)/T69,"")</f>
        <v>-0.44148936170212766</v>
      </c>
      <c r="V69" s="297">
        <f t="shared" si="13"/>
        <v>921</v>
      </c>
      <c r="W69" s="218">
        <f t="shared" si="14"/>
        <v>144</v>
      </c>
      <c r="X69" s="601">
        <v>1971</v>
      </c>
      <c r="Y69" s="602">
        <v>307</v>
      </c>
      <c r="Z69" s="305">
        <f t="shared" si="15"/>
        <v>0.5309446254071661</v>
      </c>
      <c r="AA69" s="305">
        <f t="shared" si="16"/>
        <v>0.46905537459283386</v>
      </c>
      <c r="AB69" s="218">
        <f t="shared" si="17"/>
        <v>61.4</v>
      </c>
      <c r="AC69" s="297">
        <f t="shared" si="18"/>
        <v>6.420195439739413</v>
      </c>
      <c r="AD69" s="512">
        <v>77786.25</v>
      </c>
      <c r="AE69" s="437">
        <v>7307</v>
      </c>
      <c r="AF69" s="309">
        <f>+AD69/AE69</f>
        <v>10.645442726153004</v>
      </c>
      <c r="AG69" s="629">
        <v>59</v>
      </c>
    </row>
    <row r="70" spans="1:33" s="83" customFormat="1" ht="9.75" customHeight="1">
      <c r="A70" s="324">
        <v>60</v>
      </c>
      <c r="B70" s="673"/>
      <c r="C70" s="633"/>
      <c r="D70" s="647" t="s">
        <v>235</v>
      </c>
      <c r="E70" s="648">
        <v>40704</v>
      </c>
      <c r="F70" s="537" t="s">
        <v>32</v>
      </c>
      <c r="G70" s="649">
        <v>5</v>
      </c>
      <c r="H70" s="25">
        <v>1</v>
      </c>
      <c r="I70" s="649">
        <v>9</v>
      </c>
      <c r="J70" s="636">
        <v>0</v>
      </c>
      <c r="K70" s="637">
        <v>0</v>
      </c>
      <c r="L70" s="636">
        <v>0</v>
      </c>
      <c r="M70" s="637">
        <v>0</v>
      </c>
      <c r="N70" s="636">
        <v>0</v>
      </c>
      <c r="O70" s="637">
        <v>0</v>
      </c>
      <c r="P70" s="656">
        <f t="shared" si="23"/>
        <v>0</v>
      </c>
      <c r="Q70" s="657">
        <f t="shared" si="23"/>
        <v>0</v>
      </c>
      <c r="R70" s="550"/>
      <c r="S70" s="297"/>
      <c r="T70" s="551"/>
      <c r="U70" s="305"/>
      <c r="V70" s="297">
        <f t="shared" si="13"/>
        <v>1934</v>
      </c>
      <c r="W70" s="218">
        <f t="shared" si="14"/>
        <v>185</v>
      </c>
      <c r="X70" s="597">
        <v>1934</v>
      </c>
      <c r="Y70" s="598">
        <v>185</v>
      </c>
      <c r="Z70" s="305">
        <f t="shared" si="15"/>
        <v>0</v>
      </c>
      <c r="AA70" s="305">
        <f t="shared" si="16"/>
        <v>1</v>
      </c>
      <c r="AB70" s="218">
        <f t="shared" si="17"/>
        <v>185</v>
      </c>
      <c r="AC70" s="297">
        <f t="shared" si="18"/>
        <v>10.454054054054055</v>
      </c>
      <c r="AD70" s="20">
        <f>20401.5+5027+2422+1135.5+4917+1138.5+597+1238.5+1934</f>
        <v>38811</v>
      </c>
      <c r="AE70" s="21">
        <f>1380+485+214+81+460+135+75+159+185</f>
        <v>3174</v>
      </c>
      <c r="AF70" s="298">
        <f>AD70/AE70</f>
        <v>12.227788279773156</v>
      </c>
      <c r="AG70" s="629">
        <v>60</v>
      </c>
    </row>
    <row r="71" spans="1:33" s="83" customFormat="1" ht="9.75" customHeight="1">
      <c r="A71" s="324">
        <v>61</v>
      </c>
      <c r="B71" s="673"/>
      <c r="C71" s="645" t="s">
        <v>84</v>
      </c>
      <c r="D71" s="647" t="s">
        <v>19</v>
      </c>
      <c r="E71" s="648">
        <v>40620</v>
      </c>
      <c r="F71" s="537" t="s">
        <v>32</v>
      </c>
      <c r="G71" s="649">
        <v>18</v>
      </c>
      <c r="H71" s="25">
        <v>2</v>
      </c>
      <c r="I71" s="649">
        <v>11</v>
      </c>
      <c r="J71" s="636">
        <v>0</v>
      </c>
      <c r="K71" s="637">
        <v>0</v>
      </c>
      <c r="L71" s="636">
        <v>0</v>
      </c>
      <c r="M71" s="637">
        <v>0</v>
      </c>
      <c r="N71" s="636">
        <v>0</v>
      </c>
      <c r="O71" s="637">
        <v>0</v>
      </c>
      <c r="P71" s="656">
        <f t="shared" si="23"/>
        <v>0</v>
      </c>
      <c r="Q71" s="657">
        <f t="shared" si="23"/>
        <v>0</v>
      </c>
      <c r="R71" s="550"/>
      <c r="S71" s="297"/>
      <c r="T71" s="551"/>
      <c r="U71" s="305"/>
      <c r="V71" s="297">
        <f t="shared" si="13"/>
        <v>1886</v>
      </c>
      <c r="W71" s="218">
        <f t="shared" si="14"/>
        <v>456</v>
      </c>
      <c r="X71" s="597">
        <v>1886</v>
      </c>
      <c r="Y71" s="598">
        <v>456</v>
      </c>
      <c r="Z71" s="305">
        <f t="shared" si="15"/>
        <v>0</v>
      </c>
      <c r="AA71" s="305">
        <f t="shared" si="16"/>
        <v>1</v>
      </c>
      <c r="AB71" s="218">
        <f t="shared" si="17"/>
        <v>228</v>
      </c>
      <c r="AC71" s="297">
        <f t="shared" si="18"/>
        <v>4.135964912280702</v>
      </c>
      <c r="AD71" s="20">
        <f>39453.5+44225+30459.5+23462+13989+8982.5+6844+2370+4120+2588+1886</f>
        <v>178379.5</v>
      </c>
      <c r="AE71" s="21">
        <f>5345+6302+4080+3427+1964+1106+1298+366+730+571+456</f>
        <v>25645</v>
      </c>
      <c r="AF71" s="298">
        <f>+AD71/AE71</f>
        <v>6.95572236303373</v>
      </c>
      <c r="AG71" s="629">
        <v>61</v>
      </c>
    </row>
    <row r="72" spans="1:33" s="83" customFormat="1" ht="9.75" customHeight="1">
      <c r="A72" s="324">
        <v>62</v>
      </c>
      <c r="B72" s="673"/>
      <c r="C72" s="633"/>
      <c r="D72" s="634" t="s">
        <v>222</v>
      </c>
      <c r="E72" s="643">
        <v>40697</v>
      </c>
      <c r="F72" s="537" t="s">
        <v>32</v>
      </c>
      <c r="G72" s="25">
        <v>111</v>
      </c>
      <c r="H72" s="25">
        <v>8</v>
      </c>
      <c r="I72" s="25">
        <v>10</v>
      </c>
      <c r="J72" s="636">
        <v>247</v>
      </c>
      <c r="K72" s="637">
        <v>37</v>
      </c>
      <c r="L72" s="636">
        <v>205</v>
      </c>
      <c r="M72" s="637">
        <v>28</v>
      </c>
      <c r="N72" s="636">
        <v>381</v>
      </c>
      <c r="O72" s="637">
        <v>52</v>
      </c>
      <c r="P72" s="631">
        <f t="shared" si="23"/>
        <v>833</v>
      </c>
      <c r="Q72" s="632">
        <f t="shared" si="23"/>
        <v>117</v>
      </c>
      <c r="R72" s="218">
        <f>IF(P72&lt;&gt;0,Q72/H72,"")</f>
        <v>14.625</v>
      </c>
      <c r="S72" s="297">
        <f>IF(P72&lt;&gt;0,P72/Q72,"")</f>
        <v>7.119658119658119</v>
      </c>
      <c r="T72" s="28">
        <v>2573.5</v>
      </c>
      <c r="U72" s="305">
        <f>IF(T72&lt;&gt;0,-(T72-P72)/T72,"")</f>
        <v>-0.676316300757723</v>
      </c>
      <c r="V72" s="297">
        <f t="shared" si="13"/>
        <v>1046</v>
      </c>
      <c r="W72" s="218">
        <f t="shared" si="14"/>
        <v>192</v>
      </c>
      <c r="X72" s="597">
        <v>1879</v>
      </c>
      <c r="Y72" s="598">
        <v>309</v>
      </c>
      <c r="Z72" s="305">
        <f t="shared" si="15"/>
        <v>0.3786407766990291</v>
      </c>
      <c r="AA72" s="305">
        <f t="shared" si="16"/>
        <v>0.6213592233009708</v>
      </c>
      <c r="AB72" s="218">
        <f t="shared" si="17"/>
        <v>38.625</v>
      </c>
      <c r="AC72" s="297">
        <f t="shared" si="18"/>
        <v>6.080906148867314</v>
      </c>
      <c r="AD72" s="20">
        <f>1292+812789+521835.5+296398.75+210726.75+106359.5+46956.5+15908+8715+4517.5+1879</f>
        <v>2027377.5</v>
      </c>
      <c r="AE72" s="21">
        <f>124+79271+51753+30277+22107+12041+6459+2442+1421+653+309</f>
        <v>206857</v>
      </c>
      <c r="AF72" s="309">
        <f>+AD72/AE72</f>
        <v>9.80086484866357</v>
      </c>
      <c r="AG72" s="629">
        <v>62</v>
      </c>
    </row>
    <row r="73" spans="1:33" s="83" customFormat="1" ht="9.75" customHeight="1">
      <c r="A73" s="324">
        <v>63</v>
      </c>
      <c r="B73" s="666"/>
      <c r="C73" s="633"/>
      <c r="D73" s="546" t="s">
        <v>217</v>
      </c>
      <c r="E73" s="635">
        <v>40606</v>
      </c>
      <c r="F73" s="537" t="s">
        <v>23</v>
      </c>
      <c r="G73" s="25">
        <v>35</v>
      </c>
      <c r="H73" s="25">
        <v>1</v>
      </c>
      <c r="I73" s="25">
        <v>10</v>
      </c>
      <c r="J73" s="538">
        <v>61</v>
      </c>
      <c r="K73" s="539">
        <v>7</v>
      </c>
      <c r="L73" s="538">
        <v>77</v>
      </c>
      <c r="M73" s="539">
        <v>9</v>
      </c>
      <c r="N73" s="538">
        <v>53</v>
      </c>
      <c r="O73" s="539">
        <v>7</v>
      </c>
      <c r="P73" s="631">
        <f t="shared" si="23"/>
        <v>191</v>
      </c>
      <c r="Q73" s="632">
        <f t="shared" si="23"/>
        <v>23</v>
      </c>
      <c r="R73" s="218">
        <f>IF(P73&lt;&gt;0,Q73/H73,"")</f>
        <v>23</v>
      </c>
      <c r="S73" s="297">
        <f>IF(P73&lt;&gt;0,P73/Q73,"")</f>
        <v>8.304347826086957</v>
      </c>
      <c r="T73" s="28">
        <v>2183</v>
      </c>
      <c r="U73" s="305">
        <f>IF(T73&lt;&gt;0,-(T73-P73)/T73,"")</f>
        <v>-0.9125057260650481</v>
      </c>
      <c r="V73" s="297">
        <f t="shared" si="13"/>
        <v>1606</v>
      </c>
      <c r="W73" s="218">
        <f t="shared" si="14"/>
        <v>411</v>
      </c>
      <c r="X73" s="595">
        <v>1797</v>
      </c>
      <c r="Y73" s="596">
        <v>434</v>
      </c>
      <c r="Z73" s="305">
        <f t="shared" si="15"/>
        <v>0.052995391705069124</v>
      </c>
      <c r="AA73" s="305">
        <f t="shared" si="16"/>
        <v>0.9470046082949308</v>
      </c>
      <c r="AB73" s="218">
        <f t="shared" si="17"/>
        <v>434</v>
      </c>
      <c r="AC73" s="297">
        <f t="shared" si="18"/>
        <v>4.140552995391705</v>
      </c>
      <c r="AD73" s="22">
        <v>218737</v>
      </c>
      <c r="AE73" s="437">
        <v>22067</v>
      </c>
      <c r="AF73" s="309">
        <f>+AD73/AE73</f>
        <v>9.912403135904292</v>
      </c>
      <c r="AG73" s="629">
        <v>63</v>
      </c>
    </row>
    <row r="74" spans="1:33" s="83" customFormat="1" ht="9.75" customHeight="1">
      <c r="A74" s="324">
        <v>64</v>
      </c>
      <c r="B74" s="673"/>
      <c r="C74" s="633"/>
      <c r="D74" s="537" t="s">
        <v>216</v>
      </c>
      <c r="E74" s="635">
        <v>40690</v>
      </c>
      <c r="F74" s="537" t="s">
        <v>10</v>
      </c>
      <c r="G74" s="16">
        <v>65</v>
      </c>
      <c r="H74" s="16">
        <v>1</v>
      </c>
      <c r="I74" s="16">
        <v>11</v>
      </c>
      <c r="J74" s="17">
        <v>112</v>
      </c>
      <c r="K74" s="423">
        <v>17</v>
      </c>
      <c r="L74" s="17">
        <v>148</v>
      </c>
      <c r="M74" s="423">
        <v>22</v>
      </c>
      <c r="N74" s="17">
        <v>236</v>
      </c>
      <c r="O74" s="423">
        <v>36</v>
      </c>
      <c r="P74" s="631">
        <f t="shared" si="23"/>
        <v>496</v>
      </c>
      <c r="Q74" s="632">
        <f t="shared" si="23"/>
        <v>75</v>
      </c>
      <c r="R74" s="539">
        <f>+Q74/H74</f>
        <v>75</v>
      </c>
      <c r="S74" s="297">
        <f>IF(P74&lt;&gt;0,P74/Q74,"")</f>
        <v>6.613333333333333</v>
      </c>
      <c r="T74" s="28">
        <v>1393</v>
      </c>
      <c r="U74" s="305">
        <f>IF(T74&lt;&gt;0,-(T74-P74)/T74,"")</f>
        <v>-0.6439339554917445</v>
      </c>
      <c r="V74" s="297">
        <f t="shared" si="13"/>
        <v>1290</v>
      </c>
      <c r="W74" s="218">
        <f t="shared" si="14"/>
        <v>187</v>
      </c>
      <c r="X74" s="603">
        <v>1786</v>
      </c>
      <c r="Y74" s="604">
        <v>262</v>
      </c>
      <c r="Z74" s="305">
        <f t="shared" si="15"/>
        <v>0.2862595419847328</v>
      </c>
      <c r="AA74" s="305">
        <f t="shared" si="16"/>
        <v>0.7137404580152672</v>
      </c>
      <c r="AB74" s="218">
        <f t="shared" si="17"/>
        <v>262</v>
      </c>
      <c r="AC74" s="297">
        <f t="shared" si="18"/>
        <v>6.816793893129771</v>
      </c>
      <c r="AD74" s="184">
        <v>768994</v>
      </c>
      <c r="AE74" s="299">
        <v>80783</v>
      </c>
      <c r="AF74" s="298">
        <f>AD74/AE74</f>
        <v>9.51925528886028</v>
      </c>
      <c r="AG74" s="629">
        <v>64</v>
      </c>
    </row>
    <row r="75" spans="1:33" s="83" customFormat="1" ht="9.75" customHeight="1">
      <c r="A75" s="324">
        <v>65</v>
      </c>
      <c r="B75" s="670"/>
      <c r="C75" s="645" t="s">
        <v>84</v>
      </c>
      <c r="D75" s="16" t="s">
        <v>423</v>
      </c>
      <c r="E75" s="694">
        <v>40529</v>
      </c>
      <c r="F75" s="537" t="s">
        <v>21</v>
      </c>
      <c r="G75" s="695">
        <v>134</v>
      </c>
      <c r="H75" s="695">
        <v>1</v>
      </c>
      <c r="I75" s="695">
        <v>12</v>
      </c>
      <c r="J75" s="655">
        <v>0</v>
      </c>
      <c r="K75" s="655">
        <v>0</v>
      </c>
      <c r="L75" s="17">
        <v>0</v>
      </c>
      <c r="M75" s="423">
        <v>0</v>
      </c>
      <c r="N75" s="17">
        <v>0</v>
      </c>
      <c r="O75" s="423">
        <v>0</v>
      </c>
      <c r="P75" s="631">
        <f>+J75+L75+N75</f>
        <v>0</v>
      </c>
      <c r="Q75" s="632">
        <f>+K75+M75+O75</f>
        <v>0</v>
      </c>
      <c r="R75" s="550"/>
      <c r="S75" s="297"/>
      <c r="T75" s="551"/>
      <c r="U75" s="305"/>
      <c r="V75" s="297">
        <f aca="true" t="shared" si="24" ref="V75:V106">X75-P75</f>
        <v>1782</v>
      </c>
      <c r="W75" s="218">
        <f aca="true" t="shared" si="25" ref="W75:W106">Y75-Q75</f>
        <v>356</v>
      </c>
      <c r="X75" s="605">
        <v>1782</v>
      </c>
      <c r="Y75" s="606">
        <v>356</v>
      </c>
      <c r="Z75" s="305">
        <f aca="true" t="shared" si="26" ref="Z75:Z106">Q75*1/Y75</f>
        <v>0</v>
      </c>
      <c r="AA75" s="305">
        <f aca="true" t="shared" si="27" ref="AA75:AA106">W75*1/Y75</f>
        <v>1</v>
      </c>
      <c r="AB75" s="218">
        <f aca="true" t="shared" si="28" ref="AB75:AB106">Y75/H75</f>
        <v>356</v>
      </c>
      <c r="AC75" s="297">
        <f aca="true" t="shared" si="29" ref="AC75:AC106">X75/Y75</f>
        <v>5.00561797752809</v>
      </c>
      <c r="AD75" s="28">
        <f>415183+3929+3246+2363+1074+230+2072+4630+1180+1782</f>
        <v>435689</v>
      </c>
      <c r="AE75" s="23">
        <f>52315+638+476+361+299+38+414+683+192+356</f>
        <v>55772</v>
      </c>
      <c r="AF75" s="309">
        <f>+AD75/AE75</f>
        <v>7.811966578211289</v>
      </c>
      <c r="AG75" s="629">
        <v>65</v>
      </c>
    </row>
    <row r="76" spans="1:33" s="83" customFormat="1" ht="9.75" customHeight="1">
      <c r="A76" s="324">
        <v>66</v>
      </c>
      <c r="B76" s="666"/>
      <c r="C76" s="633"/>
      <c r="D76" s="547" t="s">
        <v>427</v>
      </c>
      <c r="E76" s="653">
        <v>40592</v>
      </c>
      <c r="F76" s="537" t="s">
        <v>23</v>
      </c>
      <c r="G76" s="25">
        <v>27</v>
      </c>
      <c r="H76" s="25">
        <v>1</v>
      </c>
      <c r="I76" s="25">
        <v>25</v>
      </c>
      <c r="J76" s="538">
        <v>0</v>
      </c>
      <c r="K76" s="539">
        <v>0</v>
      </c>
      <c r="L76" s="538">
        <v>0</v>
      </c>
      <c r="M76" s="539">
        <v>0</v>
      </c>
      <c r="N76" s="538">
        <v>0</v>
      </c>
      <c r="O76" s="539">
        <v>0</v>
      </c>
      <c r="P76" s="631">
        <f aca="true" t="shared" si="30" ref="P76:Q79">SUM(J76+L76+N76)</f>
        <v>0</v>
      </c>
      <c r="Q76" s="632">
        <f t="shared" si="30"/>
        <v>0</v>
      </c>
      <c r="R76" s="218">
        <f>IF(P76&lt;&gt;0,Q76/H76,"")</f>
      </c>
      <c r="S76" s="297">
        <f>IF(P76&lt;&gt;0,P76/Q76,"")</f>
      </c>
      <c r="T76" s="28"/>
      <c r="U76" s="305"/>
      <c r="V76" s="297">
        <f t="shared" si="24"/>
        <v>1750</v>
      </c>
      <c r="W76" s="218">
        <f t="shared" si="25"/>
        <v>525</v>
      </c>
      <c r="X76" s="595">
        <v>1750</v>
      </c>
      <c r="Y76" s="596">
        <v>525</v>
      </c>
      <c r="Z76" s="305">
        <f t="shared" si="26"/>
        <v>0</v>
      </c>
      <c r="AA76" s="305">
        <f t="shared" si="27"/>
        <v>1</v>
      </c>
      <c r="AB76" s="218">
        <f t="shared" si="28"/>
        <v>525</v>
      </c>
      <c r="AC76" s="297">
        <f t="shared" si="29"/>
        <v>3.3333333333333335</v>
      </c>
      <c r="AD76" s="22">
        <v>1910628</v>
      </c>
      <c r="AE76" s="437">
        <v>154398</v>
      </c>
      <c r="AF76" s="309">
        <f>+AD76/AE76</f>
        <v>12.374693972719854</v>
      </c>
      <c r="AG76" s="629">
        <v>66</v>
      </c>
    </row>
    <row r="77" spans="1:33" s="83" customFormat="1" ht="9.75" customHeight="1">
      <c r="A77" s="324">
        <v>67</v>
      </c>
      <c r="B77" s="673"/>
      <c r="C77" s="633"/>
      <c r="D77" s="647" t="s">
        <v>36</v>
      </c>
      <c r="E77" s="648">
        <v>40648</v>
      </c>
      <c r="F77" s="537" t="s">
        <v>32</v>
      </c>
      <c r="G77" s="649">
        <v>72</v>
      </c>
      <c r="H77" s="25">
        <v>4</v>
      </c>
      <c r="I77" s="649">
        <v>17</v>
      </c>
      <c r="J77" s="636">
        <v>0</v>
      </c>
      <c r="K77" s="637">
        <v>0</v>
      </c>
      <c r="L77" s="636">
        <v>0</v>
      </c>
      <c r="M77" s="637">
        <v>0</v>
      </c>
      <c r="N77" s="636">
        <v>0</v>
      </c>
      <c r="O77" s="637">
        <v>0</v>
      </c>
      <c r="P77" s="656">
        <f t="shared" si="30"/>
        <v>0</v>
      </c>
      <c r="Q77" s="657">
        <f t="shared" si="30"/>
        <v>0</v>
      </c>
      <c r="R77" s="550"/>
      <c r="S77" s="297"/>
      <c r="T77" s="512"/>
      <c r="U77" s="305"/>
      <c r="V77" s="297">
        <f t="shared" si="24"/>
        <v>1715</v>
      </c>
      <c r="W77" s="218">
        <f t="shared" si="25"/>
        <v>256</v>
      </c>
      <c r="X77" s="597">
        <v>1715</v>
      </c>
      <c r="Y77" s="598">
        <v>256</v>
      </c>
      <c r="Z77" s="305">
        <f t="shared" si="26"/>
        <v>0</v>
      </c>
      <c r="AA77" s="305">
        <f t="shared" si="27"/>
        <v>1</v>
      </c>
      <c r="AB77" s="218">
        <f t="shared" si="28"/>
        <v>64</v>
      </c>
      <c r="AC77" s="297">
        <f t="shared" si="29"/>
        <v>6.69921875</v>
      </c>
      <c r="AD77" s="20">
        <f>313705+218661+94172+73484.5+60319.5+15976+18868+7512+25645.5+15093+6591+2599+2683+1937.5+1629+2257+1715</f>
        <v>862848</v>
      </c>
      <c r="AE77" s="21">
        <f>29673+21437+10530+10169+8845+2631+2981+1155+3600+2641+1030+393+512+262+251+329+256</f>
        <v>96695</v>
      </c>
      <c r="AF77" s="298">
        <f>+AD77/AE77</f>
        <v>8.923398314287192</v>
      </c>
      <c r="AG77" s="629">
        <v>67</v>
      </c>
    </row>
    <row r="78" spans="1:33" s="83" customFormat="1" ht="9.75" customHeight="1">
      <c r="A78" s="324">
        <v>68</v>
      </c>
      <c r="B78" s="670"/>
      <c r="C78" s="633"/>
      <c r="D78" s="16" t="s">
        <v>424</v>
      </c>
      <c r="E78" s="694">
        <v>40312</v>
      </c>
      <c r="F78" s="537" t="s">
        <v>21</v>
      </c>
      <c r="G78" s="695">
        <v>76</v>
      </c>
      <c r="H78" s="695">
        <v>1</v>
      </c>
      <c r="I78" s="695">
        <v>26</v>
      </c>
      <c r="J78" s="655">
        <v>0</v>
      </c>
      <c r="K78" s="655">
        <v>0</v>
      </c>
      <c r="L78" s="17">
        <v>0</v>
      </c>
      <c r="M78" s="423">
        <v>0</v>
      </c>
      <c r="N78" s="17">
        <v>0</v>
      </c>
      <c r="O78" s="423">
        <v>0</v>
      </c>
      <c r="P78" s="656">
        <f t="shared" si="30"/>
        <v>0</v>
      </c>
      <c r="Q78" s="657">
        <f t="shared" si="30"/>
        <v>0</v>
      </c>
      <c r="R78" s="550"/>
      <c r="S78" s="297"/>
      <c r="T78" s="512"/>
      <c r="U78" s="305"/>
      <c r="V78" s="297">
        <f t="shared" si="24"/>
        <v>1600</v>
      </c>
      <c r="W78" s="218">
        <f t="shared" si="25"/>
        <v>200</v>
      </c>
      <c r="X78" s="605">
        <v>1600</v>
      </c>
      <c r="Y78" s="606">
        <v>200</v>
      </c>
      <c r="Z78" s="305">
        <f t="shared" si="26"/>
        <v>0</v>
      </c>
      <c r="AA78" s="305">
        <f t="shared" si="27"/>
        <v>1</v>
      </c>
      <c r="AB78" s="218">
        <f t="shared" si="28"/>
        <v>200</v>
      </c>
      <c r="AC78" s="297">
        <f t="shared" si="29"/>
        <v>8</v>
      </c>
      <c r="AD78" s="28">
        <v>380002</v>
      </c>
      <c r="AE78" s="23">
        <v>34659</v>
      </c>
      <c r="AF78" s="309">
        <f>+AD78/AE78</f>
        <v>10.964020889235119</v>
      </c>
      <c r="AG78" s="629">
        <v>68</v>
      </c>
    </row>
    <row r="79" spans="1:33" s="83" customFormat="1" ht="9.75" customHeight="1">
      <c r="A79" s="324">
        <v>69</v>
      </c>
      <c r="B79" s="673"/>
      <c r="C79" s="633"/>
      <c r="D79" s="537" t="s">
        <v>246</v>
      </c>
      <c r="E79" s="635">
        <v>40718</v>
      </c>
      <c r="F79" s="537" t="s">
        <v>64</v>
      </c>
      <c r="G79" s="547">
        <v>5</v>
      </c>
      <c r="H79" s="547">
        <v>5</v>
      </c>
      <c r="I79" s="547">
        <v>7</v>
      </c>
      <c r="J79" s="512">
        <v>128</v>
      </c>
      <c r="K79" s="437">
        <v>14</v>
      </c>
      <c r="L79" s="512">
        <v>207</v>
      </c>
      <c r="M79" s="437">
        <v>24</v>
      </c>
      <c r="N79" s="512">
        <v>377</v>
      </c>
      <c r="O79" s="437">
        <v>43</v>
      </c>
      <c r="P79" s="631">
        <f t="shared" si="30"/>
        <v>712</v>
      </c>
      <c r="Q79" s="632">
        <f t="shared" si="30"/>
        <v>81</v>
      </c>
      <c r="R79" s="550">
        <f>Q79/H79</f>
        <v>16.2</v>
      </c>
      <c r="S79" s="297">
        <f>+P79/Q79</f>
        <v>8.790123456790123</v>
      </c>
      <c r="T79" s="28">
        <v>698</v>
      </c>
      <c r="U79" s="305">
        <f>IF(T79&lt;&gt;0,-(T79-P79)/T79,"")</f>
        <v>0.02005730659025788</v>
      </c>
      <c r="V79" s="297">
        <f t="shared" si="24"/>
        <v>745</v>
      </c>
      <c r="W79" s="218">
        <f t="shared" si="25"/>
        <v>105</v>
      </c>
      <c r="X79" s="601">
        <v>1457</v>
      </c>
      <c r="Y79" s="602">
        <v>186</v>
      </c>
      <c r="Z79" s="305">
        <f t="shared" si="26"/>
        <v>0.43548387096774194</v>
      </c>
      <c r="AA79" s="305">
        <f t="shared" si="27"/>
        <v>0.5645161290322581</v>
      </c>
      <c r="AB79" s="218">
        <f t="shared" si="28"/>
        <v>37.2</v>
      </c>
      <c r="AC79" s="297">
        <f t="shared" si="29"/>
        <v>7.833333333333333</v>
      </c>
      <c r="AD79" s="512">
        <v>25390.75</v>
      </c>
      <c r="AE79" s="437">
        <v>2449</v>
      </c>
      <c r="AF79" s="298">
        <f>AD79/AE79</f>
        <v>10.367803184973459</v>
      </c>
      <c r="AG79" s="629">
        <v>69</v>
      </c>
    </row>
    <row r="80" spans="1:33" s="83" customFormat="1" ht="9.75" customHeight="1">
      <c r="A80" s="324">
        <v>70</v>
      </c>
      <c r="B80" s="667"/>
      <c r="C80" s="633"/>
      <c r="D80" s="537" t="s">
        <v>234</v>
      </c>
      <c r="E80" s="653">
        <v>40704</v>
      </c>
      <c r="F80" s="541" t="s">
        <v>29</v>
      </c>
      <c r="G80" s="25">
        <v>25</v>
      </c>
      <c r="H80" s="25">
        <v>4</v>
      </c>
      <c r="I80" s="25">
        <v>9</v>
      </c>
      <c r="J80" s="538">
        <v>230</v>
      </c>
      <c r="K80" s="539">
        <v>32</v>
      </c>
      <c r="L80" s="538">
        <v>245.5</v>
      </c>
      <c r="M80" s="539">
        <v>34</v>
      </c>
      <c r="N80" s="538">
        <v>231</v>
      </c>
      <c r="O80" s="539">
        <v>31</v>
      </c>
      <c r="P80" s="650">
        <f>J80+L80+N80</f>
        <v>706.5</v>
      </c>
      <c r="Q80" s="651">
        <f>K80+M80+O80</f>
        <v>97</v>
      </c>
      <c r="R80" s="218">
        <f>IF(P80&lt;&gt;0,Q80/H80,"")</f>
        <v>24.25</v>
      </c>
      <c r="S80" s="297">
        <f>IF(P80&lt;&gt;0,P80/Q80,"")</f>
        <v>7.283505154639175</v>
      </c>
      <c r="T80" s="538">
        <v>1011.5</v>
      </c>
      <c r="U80" s="305">
        <f>IF(T80&lt;&gt;0,-(T80-P80)/T80,"")</f>
        <v>-0.3015323776569451</v>
      </c>
      <c r="V80" s="297">
        <f t="shared" si="24"/>
        <v>732</v>
      </c>
      <c r="W80" s="218">
        <f t="shared" si="25"/>
        <v>108</v>
      </c>
      <c r="X80" s="595">
        <v>1438.5</v>
      </c>
      <c r="Y80" s="596">
        <v>205</v>
      </c>
      <c r="Z80" s="305">
        <f t="shared" si="26"/>
        <v>0.47317073170731705</v>
      </c>
      <c r="AA80" s="305">
        <f t="shared" si="27"/>
        <v>0.526829268292683</v>
      </c>
      <c r="AB80" s="218">
        <f t="shared" si="28"/>
        <v>51.25</v>
      </c>
      <c r="AC80" s="297">
        <f t="shared" si="29"/>
        <v>7.017073170731707</v>
      </c>
      <c r="AD80" s="22">
        <f>43219+22056.5+14006+11048+8484+3910+2043+1766+1438.5</f>
        <v>107971</v>
      </c>
      <c r="AE80" s="23">
        <f>5354+2999+1948+1502+1234+633+338+284+205</f>
        <v>14497</v>
      </c>
      <c r="AF80" s="309">
        <f>+AD80/AE80</f>
        <v>7.4478167896806236</v>
      </c>
      <c r="AG80" s="629">
        <v>70</v>
      </c>
    </row>
    <row r="81" spans="1:33" s="83" customFormat="1" ht="9.75" customHeight="1">
      <c r="A81" s="324">
        <v>71</v>
      </c>
      <c r="B81" s="673"/>
      <c r="C81" s="633"/>
      <c r="D81" s="647" t="s">
        <v>402</v>
      </c>
      <c r="E81" s="648">
        <v>40333</v>
      </c>
      <c r="F81" s="537" t="s">
        <v>32</v>
      </c>
      <c r="G81" s="649">
        <v>4</v>
      </c>
      <c r="H81" s="25">
        <v>1</v>
      </c>
      <c r="I81" s="649">
        <v>12</v>
      </c>
      <c r="J81" s="636">
        <v>0</v>
      </c>
      <c r="K81" s="637">
        <v>0</v>
      </c>
      <c r="L81" s="636">
        <v>0</v>
      </c>
      <c r="M81" s="637">
        <v>0</v>
      </c>
      <c r="N81" s="636">
        <v>0</v>
      </c>
      <c r="O81" s="637">
        <v>0</v>
      </c>
      <c r="P81" s="656">
        <f aca="true" t="shared" si="31" ref="P81:Q86">SUM(J81+L81+N81)</f>
        <v>0</v>
      </c>
      <c r="Q81" s="657">
        <f t="shared" si="31"/>
        <v>0</v>
      </c>
      <c r="R81" s="437"/>
      <c r="S81" s="297"/>
      <c r="T81" s="512"/>
      <c r="U81" s="305"/>
      <c r="V81" s="297">
        <f t="shared" si="24"/>
        <v>1425.5</v>
      </c>
      <c r="W81" s="218">
        <f t="shared" si="25"/>
        <v>356</v>
      </c>
      <c r="X81" s="597">
        <v>1425.5</v>
      </c>
      <c r="Y81" s="598">
        <v>356</v>
      </c>
      <c r="Z81" s="305">
        <f t="shared" si="26"/>
        <v>0</v>
      </c>
      <c r="AA81" s="305">
        <f t="shared" si="27"/>
        <v>1</v>
      </c>
      <c r="AB81" s="218">
        <f t="shared" si="28"/>
        <v>356</v>
      </c>
      <c r="AC81" s="297">
        <f t="shared" si="29"/>
        <v>4.004213483146067</v>
      </c>
      <c r="AD81" s="20">
        <f>24273.7+308+483+1188+1425.5</f>
        <v>27678.2</v>
      </c>
      <c r="AE81" s="21">
        <f>2830+67+68+297+356</f>
        <v>3618</v>
      </c>
      <c r="AF81" s="298">
        <f>AD81/AE81</f>
        <v>7.650138197899392</v>
      </c>
      <c r="AG81" s="629">
        <v>71</v>
      </c>
    </row>
    <row r="82" spans="1:33" s="83" customFormat="1" ht="9.75" customHeight="1">
      <c r="A82" s="324">
        <v>72</v>
      </c>
      <c r="B82" s="673"/>
      <c r="C82" s="645" t="s">
        <v>84</v>
      </c>
      <c r="D82" s="647" t="s">
        <v>138</v>
      </c>
      <c r="E82" s="648">
        <v>40459</v>
      </c>
      <c r="F82" s="537" t="s">
        <v>32</v>
      </c>
      <c r="G82" s="649">
        <v>142</v>
      </c>
      <c r="H82" s="25">
        <v>1</v>
      </c>
      <c r="I82" s="649">
        <v>23</v>
      </c>
      <c r="J82" s="636">
        <v>0</v>
      </c>
      <c r="K82" s="637">
        <v>0</v>
      </c>
      <c r="L82" s="636">
        <v>0</v>
      </c>
      <c r="M82" s="637">
        <v>0</v>
      </c>
      <c r="N82" s="636">
        <v>0</v>
      </c>
      <c r="O82" s="637">
        <v>0</v>
      </c>
      <c r="P82" s="656">
        <f t="shared" si="31"/>
        <v>0</v>
      </c>
      <c r="Q82" s="657">
        <f t="shared" si="31"/>
        <v>0</v>
      </c>
      <c r="R82" s="550"/>
      <c r="S82" s="297"/>
      <c r="T82" s="512"/>
      <c r="U82" s="305"/>
      <c r="V82" s="297">
        <f t="shared" si="24"/>
        <v>1425.5</v>
      </c>
      <c r="W82" s="218">
        <f t="shared" si="25"/>
        <v>356</v>
      </c>
      <c r="X82" s="597">
        <v>1425.5</v>
      </c>
      <c r="Y82" s="598">
        <v>356</v>
      </c>
      <c r="Z82" s="305">
        <f t="shared" si="26"/>
        <v>0</v>
      </c>
      <c r="AA82" s="305">
        <f t="shared" si="27"/>
        <v>1</v>
      </c>
      <c r="AB82" s="218">
        <f t="shared" si="28"/>
        <v>356</v>
      </c>
      <c r="AC82" s="297">
        <f t="shared" si="29"/>
        <v>4.004213483146067</v>
      </c>
      <c r="AD82" s="20">
        <f>569713+434829.5+295345.5+223420+26108+12415.5+5998+1904+1368+799+648+306+1782+594+1782+1425.5+3089+151+1188+1188+2376+1188+1425.5</f>
        <v>1589043.5</v>
      </c>
      <c r="AE82" s="21">
        <f>61050+47827+36467+29781+4601+2405+1000+284+287+123+103+51+445+113+446+267+708+24+297+287+594+297+356</f>
        <v>187813</v>
      </c>
      <c r="AF82" s="298">
        <f>+AD82/AE82</f>
        <v>8.46077481324509</v>
      </c>
      <c r="AG82" s="629">
        <v>72</v>
      </c>
    </row>
    <row r="83" spans="1:33" s="83" customFormat="1" ht="9.75" customHeight="1">
      <c r="A83" s="324">
        <v>73</v>
      </c>
      <c r="B83" s="668"/>
      <c r="C83" s="633"/>
      <c r="D83" s="548" t="s">
        <v>63</v>
      </c>
      <c r="E83" s="646">
        <v>40676</v>
      </c>
      <c r="F83" s="548" t="s">
        <v>64</v>
      </c>
      <c r="G83" s="547">
        <v>15</v>
      </c>
      <c r="H83" s="547">
        <v>4</v>
      </c>
      <c r="I83" s="547">
        <v>13</v>
      </c>
      <c r="J83" s="512">
        <v>285</v>
      </c>
      <c r="K83" s="437">
        <v>38</v>
      </c>
      <c r="L83" s="512">
        <v>135.5</v>
      </c>
      <c r="M83" s="437">
        <v>18</v>
      </c>
      <c r="N83" s="512">
        <v>297</v>
      </c>
      <c r="O83" s="437">
        <v>38</v>
      </c>
      <c r="P83" s="631">
        <f t="shared" si="31"/>
        <v>717.5</v>
      </c>
      <c r="Q83" s="632">
        <f t="shared" si="31"/>
        <v>94</v>
      </c>
      <c r="R83" s="218">
        <f>IF(P83&lt;&gt;0,Q83/H83,"")</f>
        <v>23.5</v>
      </c>
      <c r="S83" s="297">
        <f>IF(P83&lt;&gt;0,P83/Q83,"")</f>
        <v>7.632978723404255</v>
      </c>
      <c r="T83" s="28">
        <v>1400.5</v>
      </c>
      <c r="U83" s="305">
        <f>IF(T83&lt;&gt;0,-(T83-P83)/T83,"")</f>
        <v>-0.4876829703677258</v>
      </c>
      <c r="V83" s="297">
        <f t="shared" si="24"/>
        <v>613</v>
      </c>
      <c r="W83" s="218">
        <f t="shared" si="25"/>
        <v>99</v>
      </c>
      <c r="X83" s="601">
        <v>1330.5</v>
      </c>
      <c r="Y83" s="602">
        <v>193</v>
      </c>
      <c r="Z83" s="305">
        <f t="shared" si="26"/>
        <v>0.48704663212435234</v>
      </c>
      <c r="AA83" s="305">
        <f t="shared" si="27"/>
        <v>0.5129533678756477</v>
      </c>
      <c r="AB83" s="218">
        <f t="shared" si="28"/>
        <v>48.25</v>
      </c>
      <c r="AC83" s="297">
        <f t="shared" si="29"/>
        <v>6.893782383419689</v>
      </c>
      <c r="AD83" s="512">
        <v>107879.75</v>
      </c>
      <c r="AE83" s="437">
        <v>9902</v>
      </c>
      <c r="AF83" s="298">
        <f>AD83/AE83</f>
        <v>10.894743486164412</v>
      </c>
      <c r="AG83" s="629">
        <v>73</v>
      </c>
    </row>
    <row r="84" spans="1:33" s="83" customFormat="1" ht="9.75" customHeight="1">
      <c r="A84" s="324">
        <v>74</v>
      </c>
      <c r="B84" s="673"/>
      <c r="C84" s="633"/>
      <c r="D84" s="647" t="s">
        <v>31</v>
      </c>
      <c r="E84" s="648">
        <v>40641</v>
      </c>
      <c r="F84" s="537" t="s">
        <v>32</v>
      </c>
      <c r="G84" s="649">
        <v>137</v>
      </c>
      <c r="H84" s="25">
        <v>5</v>
      </c>
      <c r="I84" s="649">
        <v>18</v>
      </c>
      <c r="J84" s="636">
        <v>0</v>
      </c>
      <c r="K84" s="637">
        <v>0</v>
      </c>
      <c r="L84" s="636">
        <v>0</v>
      </c>
      <c r="M84" s="637">
        <v>0</v>
      </c>
      <c r="N84" s="636">
        <v>0</v>
      </c>
      <c r="O84" s="637">
        <v>0</v>
      </c>
      <c r="P84" s="656">
        <f t="shared" si="31"/>
        <v>0</v>
      </c>
      <c r="Q84" s="657">
        <f t="shared" si="31"/>
        <v>0</v>
      </c>
      <c r="R84" s="550"/>
      <c r="S84" s="297"/>
      <c r="T84" s="512"/>
      <c r="U84" s="305"/>
      <c r="V84" s="297">
        <f t="shared" si="24"/>
        <v>1329.5</v>
      </c>
      <c r="W84" s="218">
        <f t="shared" si="25"/>
        <v>207</v>
      </c>
      <c r="X84" s="597">
        <v>1329.5</v>
      </c>
      <c r="Y84" s="598">
        <v>207</v>
      </c>
      <c r="Z84" s="305">
        <f t="shared" si="26"/>
        <v>0</v>
      </c>
      <c r="AA84" s="305">
        <f t="shared" si="27"/>
        <v>1</v>
      </c>
      <c r="AB84" s="218">
        <f t="shared" si="28"/>
        <v>41.4</v>
      </c>
      <c r="AC84" s="297">
        <f t="shared" si="29"/>
        <v>6.4227053140096615</v>
      </c>
      <c r="AD84" s="20">
        <f>1093950.25+883807.25+882248.49+232093.5+101981.5+57830.5+19947.5+33359.5+10973.5+10465+4630+3501.5+10659+9758.5+3633+5790+6145.5+1329.5</f>
        <v>3372103.99</v>
      </c>
      <c r="AE84" s="21">
        <f>103570+88345+90215+25333+13427+8958+3731+5336+2366+2057+997+691+1831+2140+654+1021+736+207</f>
        <v>351615</v>
      </c>
      <c r="AF84" s="298">
        <f>+AD84/AE84</f>
        <v>9.590330304452314</v>
      </c>
      <c r="AG84" s="629">
        <v>74</v>
      </c>
    </row>
    <row r="85" spans="1:33" s="83" customFormat="1" ht="9.75" customHeight="1">
      <c r="A85" s="324">
        <v>75</v>
      </c>
      <c r="B85" s="673"/>
      <c r="C85" s="633"/>
      <c r="D85" s="647" t="s">
        <v>426</v>
      </c>
      <c r="E85" s="648">
        <v>39969</v>
      </c>
      <c r="F85" s="537" t="s">
        <v>32</v>
      </c>
      <c r="G85" s="649">
        <v>20</v>
      </c>
      <c r="H85" s="25">
        <v>1</v>
      </c>
      <c r="I85" s="649">
        <v>20</v>
      </c>
      <c r="J85" s="636">
        <v>0</v>
      </c>
      <c r="K85" s="637">
        <v>0</v>
      </c>
      <c r="L85" s="636">
        <v>0</v>
      </c>
      <c r="M85" s="637">
        <v>0</v>
      </c>
      <c r="N85" s="636">
        <v>0</v>
      </c>
      <c r="O85" s="637">
        <v>0</v>
      </c>
      <c r="P85" s="656">
        <f t="shared" si="31"/>
        <v>0</v>
      </c>
      <c r="Q85" s="657">
        <f t="shared" si="31"/>
        <v>0</v>
      </c>
      <c r="R85" s="550"/>
      <c r="S85" s="297"/>
      <c r="T85" s="512"/>
      <c r="U85" s="305"/>
      <c r="V85" s="297">
        <f t="shared" si="24"/>
        <v>1308</v>
      </c>
      <c r="W85" s="218">
        <f t="shared" si="25"/>
        <v>327</v>
      </c>
      <c r="X85" s="597">
        <v>1308</v>
      </c>
      <c r="Y85" s="598">
        <v>327</v>
      </c>
      <c r="Z85" s="305">
        <f t="shared" si="26"/>
        <v>0</v>
      </c>
      <c r="AA85" s="305">
        <f t="shared" si="27"/>
        <v>1</v>
      </c>
      <c r="AB85" s="218">
        <f t="shared" si="28"/>
        <v>327</v>
      </c>
      <c r="AC85" s="297">
        <f t="shared" si="29"/>
        <v>4</v>
      </c>
      <c r="AD85" s="20">
        <f>63821.75+29583.75+16102.25+8771.25+5888+8492.5+1761+3162+5226+2267+1186.5+1122.5+1305+832+660+301+151+1780+1780+1308</f>
        <v>155501.5</v>
      </c>
      <c r="AE85" s="21">
        <f>6069+3045+2422+1546+1020+1313+402+594+954+378+185+151+256+78+122+64+34+445+445+327</f>
        <v>19850</v>
      </c>
      <c r="AF85" s="298">
        <f>AD85/AE85</f>
        <v>7.8338287153652395</v>
      </c>
      <c r="AG85" s="629">
        <v>75</v>
      </c>
    </row>
    <row r="86" spans="1:33" s="83" customFormat="1" ht="9.75" customHeight="1">
      <c r="A86" s="324">
        <v>76</v>
      </c>
      <c r="B86" s="666"/>
      <c r="C86" s="633"/>
      <c r="D86" s="547" t="s">
        <v>392</v>
      </c>
      <c r="E86" s="653">
        <v>40361</v>
      </c>
      <c r="F86" s="537" t="s">
        <v>23</v>
      </c>
      <c r="G86" s="25">
        <v>161</v>
      </c>
      <c r="H86" s="25">
        <v>1</v>
      </c>
      <c r="I86" s="25">
        <v>58</v>
      </c>
      <c r="J86" s="538">
        <v>0</v>
      </c>
      <c r="K86" s="539">
        <v>0</v>
      </c>
      <c r="L86" s="538">
        <v>0</v>
      </c>
      <c r="M86" s="539">
        <v>0</v>
      </c>
      <c r="N86" s="538">
        <v>0</v>
      </c>
      <c r="O86" s="539">
        <v>0</v>
      </c>
      <c r="P86" s="631">
        <f t="shared" si="31"/>
        <v>0</v>
      </c>
      <c r="Q86" s="632">
        <f t="shared" si="31"/>
        <v>0</v>
      </c>
      <c r="R86" s="218">
        <f>IF(P86&lt;&gt;0,Q86/H86,"")</f>
      </c>
      <c r="S86" s="297">
        <f>IF(P86&lt;&gt;0,P86/Q86,"")</f>
      </c>
      <c r="T86" s="28"/>
      <c r="U86" s="305"/>
      <c r="V86" s="297">
        <f t="shared" si="24"/>
        <v>1204</v>
      </c>
      <c r="W86" s="218">
        <f t="shared" si="25"/>
        <v>350</v>
      </c>
      <c r="X86" s="595">
        <v>1204</v>
      </c>
      <c r="Y86" s="596">
        <v>350</v>
      </c>
      <c r="Z86" s="305">
        <f t="shared" si="26"/>
        <v>0</v>
      </c>
      <c r="AA86" s="305">
        <f t="shared" si="27"/>
        <v>1</v>
      </c>
      <c r="AB86" s="218">
        <f t="shared" si="28"/>
        <v>350</v>
      </c>
      <c r="AC86" s="297">
        <f t="shared" si="29"/>
        <v>3.44</v>
      </c>
      <c r="AD86" s="22">
        <v>3671329</v>
      </c>
      <c r="AE86" s="23">
        <v>337249</v>
      </c>
      <c r="AF86" s="309">
        <f aca="true" t="shared" si="32" ref="AF86:AF94">+AD86/AE86</f>
        <v>10.886107890609017</v>
      </c>
      <c r="AG86" s="629">
        <v>76</v>
      </c>
    </row>
    <row r="87" spans="1:33" s="83" customFormat="1" ht="9.75" customHeight="1">
      <c r="A87" s="324">
        <v>77</v>
      </c>
      <c r="B87" s="667"/>
      <c r="C87" s="633"/>
      <c r="D87" s="540" t="s">
        <v>421</v>
      </c>
      <c r="E87" s="635">
        <v>40585</v>
      </c>
      <c r="F87" s="541" t="s">
        <v>8</v>
      </c>
      <c r="G87" s="18">
        <v>41</v>
      </c>
      <c r="H87" s="18">
        <v>3</v>
      </c>
      <c r="I87" s="18">
        <v>12</v>
      </c>
      <c r="J87" s="17">
        <v>96</v>
      </c>
      <c r="K87" s="423">
        <v>11</v>
      </c>
      <c r="L87" s="17">
        <v>272</v>
      </c>
      <c r="M87" s="423">
        <v>30</v>
      </c>
      <c r="N87" s="17">
        <v>293</v>
      </c>
      <c r="O87" s="423">
        <v>32</v>
      </c>
      <c r="P87" s="631">
        <f>+J87+L87+N87</f>
        <v>661</v>
      </c>
      <c r="Q87" s="632">
        <f>+K87+M87+O87</f>
        <v>73</v>
      </c>
      <c r="R87" s="218">
        <f>IF(P87&lt;&gt;0,Q87/H87,"")</f>
        <v>24.333333333333332</v>
      </c>
      <c r="S87" s="297">
        <f>IF(P87&lt;&gt;0,P87/Q87,"")</f>
        <v>9.054794520547945</v>
      </c>
      <c r="T87" s="28"/>
      <c r="U87" s="305">
        <f>IF(T87&lt;&gt;0,-(T87-P87)/T87,"")</f>
      </c>
      <c r="V87" s="297">
        <f t="shared" si="24"/>
        <v>488</v>
      </c>
      <c r="W87" s="218">
        <f t="shared" si="25"/>
        <v>63</v>
      </c>
      <c r="X87" s="599">
        <v>1149</v>
      </c>
      <c r="Y87" s="600">
        <v>136</v>
      </c>
      <c r="Z87" s="305">
        <f t="shared" si="26"/>
        <v>0.5367647058823529</v>
      </c>
      <c r="AA87" s="305">
        <f t="shared" si="27"/>
        <v>0.4632352941176471</v>
      </c>
      <c r="AB87" s="218">
        <f t="shared" si="28"/>
        <v>45.333333333333336</v>
      </c>
      <c r="AC87" s="297">
        <f t="shared" si="29"/>
        <v>8.448529411764707</v>
      </c>
      <c r="AD87" s="17">
        <v>348221</v>
      </c>
      <c r="AE87" s="423">
        <v>29730</v>
      </c>
      <c r="AF87" s="309">
        <f t="shared" si="32"/>
        <v>11.712781701984527</v>
      </c>
      <c r="AG87" s="629">
        <v>77</v>
      </c>
    </row>
    <row r="88" spans="1:33" s="83" customFormat="1" ht="9.75" customHeight="1">
      <c r="A88" s="324">
        <v>78</v>
      </c>
      <c r="B88" s="666"/>
      <c r="C88" s="633"/>
      <c r="D88" s="547" t="s">
        <v>35</v>
      </c>
      <c r="E88" s="653">
        <v>40648</v>
      </c>
      <c r="F88" s="537" t="s">
        <v>23</v>
      </c>
      <c r="G88" s="25">
        <v>65</v>
      </c>
      <c r="H88" s="25">
        <v>1</v>
      </c>
      <c r="I88" s="25">
        <v>17</v>
      </c>
      <c r="J88" s="538">
        <v>0</v>
      </c>
      <c r="K88" s="539">
        <v>0</v>
      </c>
      <c r="L88" s="538">
        <v>0</v>
      </c>
      <c r="M88" s="539">
        <v>0</v>
      </c>
      <c r="N88" s="538">
        <v>0</v>
      </c>
      <c r="O88" s="539">
        <v>0</v>
      </c>
      <c r="P88" s="631">
        <f aca="true" t="shared" si="33" ref="P88:Q90">SUM(J88+L88+N88)</f>
        <v>0</v>
      </c>
      <c r="Q88" s="632">
        <f t="shared" si="33"/>
        <v>0</v>
      </c>
      <c r="R88" s="218">
        <f>IF(P88&lt;&gt;0,Q88/H88,"")</f>
      </c>
      <c r="S88" s="297">
        <f>IF(P88&lt;&gt;0,P88/Q88,"")</f>
      </c>
      <c r="T88" s="28"/>
      <c r="U88" s="305"/>
      <c r="V88" s="297">
        <f t="shared" si="24"/>
        <v>1020</v>
      </c>
      <c r="W88" s="218">
        <f t="shared" si="25"/>
        <v>102</v>
      </c>
      <c r="X88" s="595">
        <v>1020</v>
      </c>
      <c r="Y88" s="596">
        <v>102</v>
      </c>
      <c r="Z88" s="305">
        <f t="shared" si="26"/>
        <v>0</v>
      </c>
      <c r="AA88" s="305">
        <f t="shared" si="27"/>
        <v>1</v>
      </c>
      <c r="AB88" s="218">
        <f t="shared" si="28"/>
        <v>102</v>
      </c>
      <c r="AC88" s="297">
        <f t="shared" si="29"/>
        <v>10</v>
      </c>
      <c r="AD88" s="22">
        <v>1753113</v>
      </c>
      <c r="AE88" s="437">
        <v>184994</v>
      </c>
      <c r="AF88" s="309">
        <f t="shared" si="32"/>
        <v>9.476593835475745</v>
      </c>
      <c r="AG88" s="629">
        <v>78</v>
      </c>
    </row>
    <row r="89" spans="1:33" s="83" customFormat="1" ht="9.75" customHeight="1">
      <c r="A89" s="324">
        <v>79</v>
      </c>
      <c r="B89" s="673"/>
      <c r="C89" s="645" t="s">
        <v>84</v>
      </c>
      <c r="D89" s="647" t="s">
        <v>54</v>
      </c>
      <c r="E89" s="648">
        <v>40669</v>
      </c>
      <c r="F89" s="537" t="s">
        <v>32</v>
      </c>
      <c r="G89" s="649">
        <v>31</v>
      </c>
      <c r="H89" s="25">
        <v>1</v>
      </c>
      <c r="I89" s="649">
        <v>14</v>
      </c>
      <c r="J89" s="636">
        <v>0</v>
      </c>
      <c r="K89" s="637">
        <v>0</v>
      </c>
      <c r="L89" s="636">
        <v>0</v>
      </c>
      <c r="M89" s="637">
        <v>0</v>
      </c>
      <c r="N89" s="636">
        <v>0</v>
      </c>
      <c r="O89" s="637">
        <v>0</v>
      </c>
      <c r="P89" s="656">
        <f t="shared" si="33"/>
        <v>0</v>
      </c>
      <c r="Q89" s="657">
        <f t="shared" si="33"/>
        <v>0</v>
      </c>
      <c r="R89" s="550"/>
      <c r="S89" s="297"/>
      <c r="T89" s="512"/>
      <c r="U89" s="305"/>
      <c r="V89" s="297">
        <f t="shared" si="24"/>
        <v>950.5</v>
      </c>
      <c r="W89" s="218">
        <f t="shared" si="25"/>
        <v>157</v>
      </c>
      <c r="X89" s="597">
        <v>950.5</v>
      </c>
      <c r="Y89" s="598">
        <v>157</v>
      </c>
      <c r="Z89" s="305">
        <f t="shared" si="26"/>
        <v>0</v>
      </c>
      <c r="AA89" s="305">
        <f t="shared" si="27"/>
        <v>1</v>
      </c>
      <c r="AB89" s="218">
        <f t="shared" si="28"/>
        <v>157</v>
      </c>
      <c r="AC89" s="297">
        <f t="shared" si="29"/>
        <v>6.054140127388535</v>
      </c>
      <c r="AD89" s="20">
        <f>175019+105176.5+33821+39610.5+24959.5+21794.5+6227+4449+362+706+2230+1369.5+1342.5+950.5</f>
        <v>418017.5</v>
      </c>
      <c r="AE89" s="21">
        <f>19673+11998+4200+5352+3807+3790+1054+773+55+128+469+229+219+157</f>
        <v>51904</v>
      </c>
      <c r="AF89" s="298">
        <f t="shared" si="32"/>
        <v>8.053666384093711</v>
      </c>
      <c r="AG89" s="629">
        <v>79</v>
      </c>
    </row>
    <row r="90" spans="1:33" s="83" customFormat="1" ht="9.75" customHeight="1">
      <c r="A90" s="324">
        <v>80</v>
      </c>
      <c r="B90" s="666"/>
      <c r="C90" s="633"/>
      <c r="D90" s="634" t="s">
        <v>399</v>
      </c>
      <c r="E90" s="646">
        <v>40746</v>
      </c>
      <c r="F90" s="537" t="s">
        <v>32</v>
      </c>
      <c r="G90" s="25">
        <v>1</v>
      </c>
      <c r="H90" s="25">
        <v>1</v>
      </c>
      <c r="I90" s="25">
        <v>3</v>
      </c>
      <c r="J90" s="636">
        <v>89</v>
      </c>
      <c r="K90" s="637">
        <v>6</v>
      </c>
      <c r="L90" s="636">
        <v>42</v>
      </c>
      <c r="M90" s="637">
        <v>3</v>
      </c>
      <c r="N90" s="636">
        <v>374.5</v>
      </c>
      <c r="O90" s="637">
        <v>26</v>
      </c>
      <c r="P90" s="631">
        <f t="shared" si="33"/>
        <v>505.5</v>
      </c>
      <c r="Q90" s="632">
        <f t="shared" si="33"/>
        <v>35</v>
      </c>
      <c r="R90" s="218">
        <f>IF(P90&lt;&gt;0,Q90/H90,"")</f>
        <v>35</v>
      </c>
      <c r="S90" s="297">
        <f>IF(P90&lt;&gt;0,P90/Q90,"")</f>
        <v>14.442857142857143</v>
      </c>
      <c r="T90" s="549">
        <v>2325</v>
      </c>
      <c r="U90" s="305">
        <f>IF(T90&lt;&gt;0,-(T90-P90)/T90,"")</f>
        <v>-0.7825806451612903</v>
      </c>
      <c r="V90" s="297">
        <f t="shared" si="24"/>
        <v>417</v>
      </c>
      <c r="W90" s="218">
        <f t="shared" si="25"/>
        <v>32</v>
      </c>
      <c r="X90" s="597">
        <v>922.5</v>
      </c>
      <c r="Y90" s="598">
        <v>67</v>
      </c>
      <c r="Z90" s="305">
        <f t="shared" si="26"/>
        <v>0.5223880597014925</v>
      </c>
      <c r="AA90" s="305">
        <f t="shared" si="27"/>
        <v>0.47761194029850745</v>
      </c>
      <c r="AB90" s="218">
        <f t="shared" si="28"/>
        <v>67</v>
      </c>
      <c r="AC90" s="297">
        <f t="shared" si="29"/>
        <v>13.76865671641791</v>
      </c>
      <c r="AD90" s="20">
        <f>5298+3611+922.5</f>
        <v>9831.5</v>
      </c>
      <c r="AE90" s="21">
        <f>334+225+67</f>
        <v>626</v>
      </c>
      <c r="AF90" s="298">
        <f t="shared" si="32"/>
        <v>15.705271565495208</v>
      </c>
      <c r="AG90" s="629">
        <v>80</v>
      </c>
    </row>
    <row r="91" spans="1:33" s="83" customFormat="1" ht="9.75" customHeight="1">
      <c r="A91" s="324">
        <v>81</v>
      </c>
      <c r="B91" s="666"/>
      <c r="C91" s="633"/>
      <c r="D91" s="548" t="s">
        <v>43</v>
      </c>
      <c r="E91" s="646">
        <v>40655</v>
      </c>
      <c r="F91" s="548" t="s">
        <v>64</v>
      </c>
      <c r="G91" s="547">
        <v>35</v>
      </c>
      <c r="H91" s="547">
        <v>2</v>
      </c>
      <c r="I91" s="547">
        <v>15</v>
      </c>
      <c r="J91" s="512">
        <v>40</v>
      </c>
      <c r="K91" s="437">
        <v>8</v>
      </c>
      <c r="L91" s="512">
        <v>0</v>
      </c>
      <c r="M91" s="437">
        <v>0</v>
      </c>
      <c r="N91" s="512">
        <v>635</v>
      </c>
      <c r="O91" s="437">
        <v>66</v>
      </c>
      <c r="P91" s="631">
        <f>+J91+L91+N91</f>
        <v>675</v>
      </c>
      <c r="Q91" s="632">
        <f>+K91+M91+O91</f>
        <v>74</v>
      </c>
      <c r="R91" s="539">
        <f>+Q91/H91</f>
        <v>37</v>
      </c>
      <c r="S91" s="297">
        <f>IF(P91&lt;&gt;0,P91/Q91,"")</f>
        <v>9.121621621621621</v>
      </c>
      <c r="T91" s="549">
        <v>302</v>
      </c>
      <c r="U91" s="305">
        <f>IF(T91&lt;&gt;0,-(T91-P91)/T91,"")</f>
        <v>1.2350993377483444</v>
      </c>
      <c r="V91" s="297">
        <f t="shared" si="24"/>
        <v>242</v>
      </c>
      <c r="W91" s="218">
        <f t="shared" si="25"/>
        <v>32</v>
      </c>
      <c r="X91" s="601">
        <v>917</v>
      </c>
      <c r="Y91" s="602">
        <v>106</v>
      </c>
      <c r="Z91" s="305">
        <f t="shared" si="26"/>
        <v>0.6981132075471698</v>
      </c>
      <c r="AA91" s="305">
        <f t="shared" si="27"/>
        <v>0.3018867924528302</v>
      </c>
      <c r="AB91" s="218">
        <f t="shared" si="28"/>
        <v>53</v>
      </c>
      <c r="AC91" s="297">
        <f t="shared" si="29"/>
        <v>8.650943396226415</v>
      </c>
      <c r="AD91" s="512">
        <v>313689.5</v>
      </c>
      <c r="AE91" s="437">
        <v>30914</v>
      </c>
      <c r="AF91" s="309">
        <f t="shared" si="32"/>
        <v>10.14716633240603</v>
      </c>
      <c r="AG91" s="629">
        <v>81</v>
      </c>
    </row>
    <row r="92" spans="1:33" s="83" customFormat="1" ht="9.75" customHeight="1">
      <c r="A92" s="324">
        <v>82</v>
      </c>
      <c r="B92" s="673"/>
      <c r="C92" s="633"/>
      <c r="D92" s="647" t="s">
        <v>41</v>
      </c>
      <c r="E92" s="648">
        <v>40655</v>
      </c>
      <c r="F92" s="537" t="s">
        <v>32</v>
      </c>
      <c r="G92" s="649">
        <v>156</v>
      </c>
      <c r="H92" s="25">
        <v>3</v>
      </c>
      <c r="I92" s="649">
        <v>16</v>
      </c>
      <c r="J92" s="636">
        <v>0</v>
      </c>
      <c r="K92" s="637">
        <v>0</v>
      </c>
      <c r="L92" s="636">
        <v>0</v>
      </c>
      <c r="M92" s="637">
        <v>0</v>
      </c>
      <c r="N92" s="636">
        <v>0</v>
      </c>
      <c r="O92" s="637">
        <v>0</v>
      </c>
      <c r="P92" s="656">
        <f aca="true" t="shared" si="34" ref="P92:Q97">SUM(J92+L92+N92)</f>
        <v>0</v>
      </c>
      <c r="Q92" s="657">
        <f t="shared" si="34"/>
        <v>0</v>
      </c>
      <c r="R92" s="550"/>
      <c r="S92" s="297"/>
      <c r="T92" s="512"/>
      <c r="U92" s="305"/>
      <c r="V92" s="297">
        <f t="shared" si="24"/>
        <v>860</v>
      </c>
      <c r="W92" s="218">
        <f t="shared" si="25"/>
        <v>172</v>
      </c>
      <c r="X92" s="597">
        <v>860</v>
      </c>
      <c r="Y92" s="598">
        <v>172</v>
      </c>
      <c r="Z92" s="305">
        <f t="shared" si="26"/>
        <v>0</v>
      </c>
      <c r="AA92" s="305">
        <f t="shared" si="27"/>
        <v>1</v>
      </c>
      <c r="AB92" s="218">
        <f t="shared" si="28"/>
        <v>57.333333333333336</v>
      </c>
      <c r="AC92" s="297">
        <f t="shared" si="29"/>
        <v>5</v>
      </c>
      <c r="AD92" s="20">
        <f>633760.5+136320.5+35218.5+12632+4659.5+2946+8058+2678+3172+3399.5+598+564+1471+2243+357+860</f>
        <v>848937.5</v>
      </c>
      <c r="AE92" s="21">
        <f>74640+17307+4811+1875+917+522+1372+426+632+730+116+93+159+384+67+172</f>
        <v>104223</v>
      </c>
      <c r="AF92" s="298">
        <f t="shared" si="32"/>
        <v>8.145394970400007</v>
      </c>
      <c r="AG92" s="629">
        <v>82</v>
      </c>
    </row>
    <row r="93" spans="1:33" s="83" customFormat="1" ht="9.75" customHeight="1">
      <c r="A93" s="324">
        <v>83</v>
      </c>
      <c r="B93" s="668"/>
      <c r="C93" s="633"/>
      <c r="D93" s="634" t="s">
        <v>265</v>
      </c>
      <c r="E93" s="635">
        <v>40725</v>
      </c>
      <c r="F93" s="537" t="s">
        <v>32</v>
      </c>
      <c r="G93" s="25">
        <v>5</v>
      </c>
      <c r="H93" s="25">
        <v>3</v>
      </c>
      <c r="I93" s="25">
        <v>6</v>
      </c>
      <c r="J93" s="636">
        <v>42</v>
      </c>
      <c r="K93" s="637">
        <v>5</v>
      </c>
      <c r="L93" s="636">
        <v>254</v>
      </c>
      <c r="M93" s="637">
        <v>33</v>
      </c>
      <c r="N93" s="636">
        <v>186</v>
      </c>
      <c r="O93" s="637">
        <v>24</v>
      </c>
      <c r="P93" s="631">
        <f t="shared" si="34"/>
        <v>482</v>
      </c>
      <c r="Q93" s="632">
        <f t="shared" si="34"/>
        <v>62</v>
      </c>
      <c r="R93" s="218">
        <f>IF(P93&lt;&gt;0,Q93/H93,"")</f>
        <v>20.666666666666668</v>
      </c>
      <c r="S93" s="297">
        <f>IF(P93&lt;&gt;0,P93/Q93,"")</f>
        <v>7.774193548387097</v>
      </c>
      <c r="T93" s="28">
        <v>337</v>
      </c>
      <c r="U93" s="305">
        <f>IF(T93&lt;&gt;0,-(T93-P93)/T93,"")</f>
        <v>0.43026706231454004</v>
      </c>
      <c r="V93" s="297">
        <f t="shared" si="24"/>
        <v>348</v>
      </c>
      <c r="W93" s="218">
        <f t="shared" si="25"/>
        <v>49</v>
      </c>
      <c r="X93" s="597">
        <v>830</v>
      </c>
      <c r="Y93" s="598">
        <v>111</v>
      </c>
      <c r="Z93" s="305">
        <f t="shared" si="26"/>
        <v>0.5585585585585585</v>
      </c>
      <c r="AA93" s="305">
        <f t="shared" si="27"/>
        <v>0.44144144144144143</v>
      </c>
      <c r="AB93" s="218">
        <f t="shared" si="28"/>
        <v>37</v>
      </c>
      <c r="AC93" s="297">
        <f t="shared" si="29"/>
        <v>7.4774774774774775</v>
      </c>
      <c r="AD93" s="20">
        <f>10816+3994+1279+2322+578+830</f>
        <v>19819</v>
      </c>
      <c r="AE93" s="21">
        <f>727+361+121+270+90+111</f>
        <v>1680</v>
      </c>
      <c r="AF93" s="298">
        <f t="shared" si="32"/>
        <v>11.79702380952381</v>
      </c>
      <c r="AG93" s="629">
        <v>83</v>
      </c>
    </row>
    <row r="94" spans="1:33" s="83" customFormat="1" ht="9.75" customHeight="1">
      <c r="A94" s="324">
        <v>84</v>
      </c>
      <c r="B94" s="673"/>
      <c r="C94" s="633"/>
      <c r="D94" s="540" t="s">
        <v>18</v>
      </c>
      <c r="E94" s="635">
        <v>40620</v>
      </c>
      <c r="F94" s="541" t="s">
        <v>8</v>
      </c>
      <c r="G94" s="18">
        <v>37</v>
      </c>
      <c r="H94" s="18">
        <v>3</v>
      </c>
      <c r="I94" s="18">
        <v>18</v>
      </c>
      <c r="J94" s="17">
        <v>102</v>
      </c>
      <c r="K94" s="423">
        <v>17</v>
      </c>
      <c r="L94" s="17">
        <v>96</v>
      </c>
      <c r="M94" s="423">
        <v>16</v>
      </c>
      <c r="N94" s="17">
        <v>228</v>
      </c>
      <c r="O94" s="423">
        <v>41</v>
      </c>
      <c r="P94" s="631">
        <f t="shared" si="34"/>
        <v>426</v>
      </c>
      <c r="Q94" s="632">
        <f t="shared" si="34"/>
        <v>74</v>
      </c>
      <c r="R94" s="218">
        <f>IF(P94&lt;&gt;0,Q94/H94,"")</f>
        <v>24.666666666666668</v>
      </c>
      <c r="S94" s="297">
        <f>+P94/Q94</f>
        <v>5.756756756756757</v>
      </c>
      <c r="T94" s="28"/>
      <c r="U94" s="305">
        <f>IF(T94&lt;&gt;0,-(T94-P94)/T94,"")</f>
      </c>
      <c r="V94" s="297">
        <f t="shared" si="24"/>
        <v>385</v>
      </c>
      <c r="W94" s="218">
        <f t="shared" si="25"/>
        <v>66</v>
      </c>
      <c r="X94" s="599">
        <v>811</v>
      </c>
      <c r="Y94" s="600">
        <v>140</v>
      </c>
      <c r="Z94" s="305">
        <f t="shared" si="26"/>
        <v>0.5285714285714286</v>
      </c>
      <c r="AA94" s="305">
        <f t="shared" si="27"/>
        <v>0.4714285714285714</v>
      </c>
      <c r="AB94" s="218">
        <f t="shared" si="28"/>
        <v>46.666666666666664</v>
      </c>
      <c r="AC94" s="297">
        <f t="shared" si="29"/>
        <v>5.792857142857143</v>
      </c>
      <c r="AD94" s="17">
        <v>852433</v>
      </c>
      <c r="AE94" s="423">
        <v>76685</v>
      </c>
      <c r="AF94" s="309">
        <f t="shared" si="32"/>
        <v>11.116033122514182</v>
      </c>
      <c r="AG94" s="629">
        <v>84</v>
      </c>
    </row>
    <row r="95" spans="1:33" s="83" customFormat="1" ht="9.75" customHeight="1">
      <c r="A95" s="324">
        <v>85</v>
      </c>
      <c r="B95" s="673"/>
      <c r="C95" s="645" t="s">
        <v>84</v>
      </c>
      <c r="D95" s="647" t="s">
        <v>213</v>
      </c>
      <c r="E95" s="648">
        <v>40662</v>
      </c>
      <c r="F95" s="537" t="s">
        <v>32</v>
      </c>
      <c r="G95" s="649">
        <v>10</v>
      </c>
      <c r="H95" s="25">
        <v>2</v>
      </c>
      <c r="I95" s="649">
        <v>11</v>
      </c>
      <c r="J95" s="636">
        <v>0</v>
      </c>
      <c r="K95" s="637">
        <v>0</v>
      </c>
      <c r="L95" s="636">
        <v>0</v>
      </c>
      <c r="M95" s="637">
        <v>0</v>
      </c>
      <c r="N95" s="636">
        <v>0</v>
      </c>
      <c r="O95" s="637">
        <v>0</v>
      </c>
      <c r="P95" s="656">
        <f t="shared" si="34"/>
        <v>0</v>
      </c>
      <c r="Q95" s="657">
        <f t="shared" si="34"/>
        <v>0</v>
      </c>
      <c r="R95" s="550"/>
      <c r="S95" s="297"/>
      <c r="T95" s="512"/>
      <c r="U95" s="305"/>
      <c r="V95" s="297">
        <f t="shared" si="24"/>
        <v>741</v>
      </c>
      <c r="W95" s="218">
        <f t="shared" si="25"/>
        <v>92</v>
      </c>
      <c r="X95" s="597">
        <v>741</v>
      </c>
      <c r="Y95" s="598">
        <v>92</v>
      </c>
      <c r="Z95" s="305">
        <f t="shared" si="26"/>
        <v>0</v>
      </c>
      <c r="AA95" s="305">
        <f t="shared" si="27"/>
        <v>1</v>
      </c>
      <c r="AB95" s="218">
        <f t="shared" si="28"/>
        <v>46</v>
      </c>
      <c r="AC95" s="297">
        <f t="shared" si="29"/>
        <v>8.054347826086957</v>
      </c>
      <c r="AD95" s="20">
        <f>12563.75+2983.5+2680+354+641+412+470+299+1405.5+1335+741</f>
        <v>23884.75</v>
      </c>
      <c r="AE95" s="21">
        <f>1693+350+279+68+81+51+66+35+228+169+92</f>
        <v>3112</v>
      </c>
      <c r="AF95" s="298">
        <f>AD95/AE95</f>
        <v>7.675048200514139</v>
      </c>
      <c r="AG95" s="629">
        <v>85</v>
      </c>
    </row>
    <row r="96" spans="1:33" s="83" customFormat="1" ht="9.75" customHeight="1">
      <c r="A96" s="324">
        <v>86</v>
      </c>
      <c r="B96" s="673"/>
      <c r="C96" s="645" t="s">
        <v>84</v>
      </c>
      <c r="D96" s="647" t="s">
        <v>270</v>
      </c>
      <c r="E96" s="648">
        <v>40529</v>
      </c>
      <c r="F96" s="537" t="s">
        <v>32</v>
      </c>
      <c r="G96" s="649">
        <v>147</v>
      </c>
      <c r="H96" s="25">
        <v>1</v>
      </c>
      <c r="I96" s="649">
        <v>15</v>
      </c>
      <c r="J96" s="636">
        <v>0</v>
      </c>
      <c r="K96" s="637">
        <v>0</v>
      </c>
      <c r="L96" s="636">
        <v>0</v>
      </c>
      <c r="M96" s="637">
        <v>0</v>
      </c>
      <c r="N96" s="636">
        <v>0</v>
      </c>
      <c r="O96" s="637">
        <v>0</v>
      </c>
      <c r="P96" s="656">
        <f t="shared" si="34"/>
        <v>0</v>
      </c>
      <c r="Q96" s="657">
        <f t="shared" si="34"/>
        <v>0</v>
      </c>
      <c r="R96" s="550"/>
      <c r="S96" s="297"/>
      <c r="T96" s="512"/>
      <c r="U96" s="305"/>
      <c r="V96" s="297">
        <f t="shared" si="24"/>
        <v>713</v>
      </c>
      <c r="W96" s="218">
        <f t="shared" si="25"/>
        <v>178</v>
      </c>
      <c r="X96" s="597">
        <v>713</v>
      </c>
      <c r="Y96" s="598">
        <v>178</v>
      </c>
      <c r="Z96" s="305">
        <f t="shared" si="26"/>
        <v>0</v>
      </c>
      <c r="AA96" s="305">
        <f t="shared" si="27"/>
        <v>1</v>
      </c>
      <c r="AB96" s="218">
        <f t="shared" si="28"/>
        <v>178</v>
      </c>
      <c r="AC96" s="297">
        <f t="shared" si="29"/>
        <v>4.00561797752809</v>
      </c>
      <c r="AD96" s="20">
        <f>691567.5+648414.5+518408+71321.5+45526+17480+7409+4406.5+1874+5613.5+4027+1099+82+1188+713</f>
        <v>2019129.5</v>
      </c>
      <c r="AE96" s="21">
        <f>79327+75064+61133+10266+7792+4345+1731+935+303+1204+784+172+12+297+178</f>
        <v>243543</v>
      </c>
      <c r="AF96" s="298">
        <f>+AD96/AE96</f>
        <v>8.290648879253355</v>
      </c>
      <c r="AG96" s="629">
        <v>86</v>
      </c>
    </row>
    <row r="97" spans="1:33" s="83" customFormat="1" ht="9.75" customHeight="1">
      <c r="A97" s="324">
        <v>87</v>
      </c>
      <c r="B97" s="673"/>
      <c r="C97" s="633"/>
      <c r="D97" s="647" t="s">
        <v>357</v>
      </c>
      <c r="E97" s="648">
        <v>40690</v>
      </c>
      <c r="F97" s="537" t="s">
        <v>32</v>
      </c>
      <c r="G97" s="649">
        <v>11</v>
      </c>
      <c r="H97" s="25">
        <v>3</v>
      </c>
      <c r="I97" s="649">
        <v>11</v>
      </c>
      <c r="J97" s="636">
        <v>0</v>
      </c>
      <c r="K97" s="637">
        <v>0</v>
      </c>
      <c r="L97" s="636">
        <v>0</v>
      </c>
      <c r="M97" s="637">
        <v>0</v>
      </c>
      <c r="N97" s="636">
        <v>0</v>
      </c>
      <c r="O97" s="637">
        <v>0</v>
      </c>
      <c r="P97" s="656">
        <f t="shared" si="34"/>
        <v>0</v>
      </c>
      <c r="Q97" s="657">
        <f t="shared" si="34"/>
        <v>0</v>
      </c>
      <c r="R97" s="550"/>
      <c r="S97" s="297"/>
      <c r="T97" s="512"/>
      <c r="U97" s="305"/>
      <c r="V97" s="297">
        <f t="shared" si="24"/>
        <v>595</v>
      </c>
      <c r="W97" s="218">
        <f t="shared" si="25"/>
        <v>88</v>
      </c>
      <c r="X97" s="597">
        <v>595</v>
      </c>
      <c r="Y97" s="598">
        <v>88</v>
      </c>
      <c r="Z97" s="305">
        <f t="shared" si="26"/>
        <v>0</v>
      </c>
      <c r="AA97" s="305">
        <f t="shared" si="27"/>
        <v>1</v>
      </c>
      <c r="AB97" s="218">
        <f t="shared" si="28"/>
        <v>29.333333333333332</v>
      </c>
      <c r="AC97" s="297">
        <f t="shared" si="29"/>
        <v>6.761363636363637</v>
      </c>
      <c r="AD97" s="20">
        <f>21135+10001+7203+6368+7720+4884+7428.5+4294.5+2616+4268+595</f>
        <v>76513</v>
      </c>
      <c r="AE97" s="21">
        <f>2229+1334+989+996+1479+737+886+576+402+612+88</f>
        <v>10328</v>
      </c>
      <c r="AF97" s="298">
        <f>+AD97/AE97</f>
        <v>7.408307513555384</v>
      </c>
      <c r="AG97" s="629">
        <v>87</v>
      </c>
    </row>
    <row r="98" spans="1:33" s="83" customFormat="1" ht="9.75" customHeight="1">
      <c r="A98" s="324">
        <v>88</v>
      </c>
      <c r="B98" s="666"/>
      <c r="C98" s="633"/>
      <c r="D98" s="547" t="s">
        <v>227</v>
      </c>
      <c r="E98" s="653">
        <v>40697</v>
      </c>
      <c r="F98" s="548" t="s">
        <v>64</v>
      </c>
      <c r="G98" s="547">
        <v>2</v>
      </c>
      <c r="H98" s="547">
        <v>2</v>
      </c>
      <c r="I98" s="547">
        <v>10</v>
      </c>
      <c r="J98" s="512">
        <v>90.5</v>
      </c>
      <c r="K98" s="437">
        <v>18</v>
      </c>
      <c r="L98" s="512">
        <v>77.5</v>
      </c>
      <c r="M98" s="437">
        <v>15</v>
      </c>
      <c r="N98" s="512">
        <v>120.5</v>
      </c>
      <c r="O98" s="437">
        <v>23</v>
      </c>
      <c r="P98" s="631">
        <f>+J98+L98+N98</f>
        <v>288.5</v>
      </c>
      <c r="Q98" s="632">
        <f>+K98+M98+O98</f>
        <v>56</v>
      </c>
      <c r="R98" s="539">
        <f>+Q98/H98</f>
        <v>28</v>
      </c>
      <c r="S98" s="297">
        <f>IF(P98&lt;&gt;0,P98/Q98,"")</f>
        <v>5.151785714285714</v>
      </c>
      <c r="T98" s="28">
        <v>968</v>
      </c>
      <c r="U98" s="305">
        <f>IF(T98&lt;&gt;0,-(T98-P98)/T98,"")</f>
        <v>-0.7019628099173554</v>
      </c>
      <c r="V98" s="297">
        <f t="shared" si="24"/>
        <v>291.5</v>
      </c>
      <c r="W98" s="218">
        <f t="shared" si="25"/>
        <v>54</v>
      </c>
      <c r="X98" s="601">
        <v>580</v>
      </c>
      <c r="Y98" s="602">
        <v>110</v>
      </c>
      <c r="Z98" s="305">
        <f t="shared" si="26"/>
        <v>0.509090909090909</v>
      </c>
      <c r="AA98" s="305">
        <f t="shared" si="27"/>
        <v>0.4909090909090909</v>
      </c>
      <c r="AB98" s="218">
        <f t="shared" si="28"/>
        <v>55</v>
      </c>
      <c r="AC98" s="297">
        <f t="shared" si="29"/>
        <v>5.2727272727272725</v>
      </c>
      <c r="AD98" s="512">
        <v>25178</v>
      </c>
      <c r="AE98" s="437">
        <v>2841</v>
      </c>
      <c r="AF98" s="298">
        <f>+AD98/AE98</f>
        <v>8.86237240408307</v>
      </c>
      <c r="AG98" s="629">
        <v>88</v>
      </c>
    </row>
    <row r="99" spans="1:33" s="83" customFormat="1" ht="9.75" customHeight="1">
      <c r="A99" s="324">
        <v>89</v>
      </c>
      <c r="B99" s="673"/>
      <c r="C99" s="645" t="s">
        <v>84</v>
      </c>
      <c r="D99" s="647" t="s">
        <v>66</v>
      </c>
      <c r="E99" s="648">
        <v>40676</v>
      </c>
      <c r="F99" s="537" t="s">
        <v>32</v>
      </c>
      <c r="G99" s="649">
        <v>10</v>
      </c>
      <c r="H99" s="25">
        <v>1</v>
      </c>
      <c r="I99" s="649">
        <v>13</v>
      </c>
      <c r="J99" s="636">
        <v>0</v>
      </c>
      <c r="K99" s="637">
        <v>0</v>
      </c>
      <c r="L99" s="636">
        <v>0</v>
      </c>
      <c r="M99" s="637">
        <v>0</v>
      </c>
      <c r="N99" s="636">
        <v>0</v>
      </c>
      <c r="O99" s="637">
        <v>0</v>
      </c>
      <c r="P99" s="656">
        <f aca="true" t="shared" si="35" ref="P99:Q104">SUM(J99+L99+N99)</f>
        <v>0</v>
      </c>
      <c r="Q99" s="657">
        <f t="shared" si="35"/>
        <v>0</v>
      </c>
      <c r="R99" s="550"/>
      <c r="S99" s="297"/>
      <c r="T99" s="512"/>
      <c r="U99" s="305"/>
      <c r="V99" s="297">
        <f t="shared" si="24"/>
        <v>578</v>
      </c>
      <c r="W99" s="218">
        <f t="shared" si="25"/>
        <v>62</v>
      </c>
      <c r="X99" s="597">
        <v>578</v>
      </c>
      <c r="Y99" s="598">
        <v>62</v>
      </c>
      <c r="Z99" s="305">
        <f t="shared" si="26"/>
        <v>0</v>
      </c>
      <c r="AA99" s="305">
        <f t="shared" si="27"/>
        <v>1</v>
      </c>
      <c r="AB99" s="218">
        <f t="shared" si="28"/>
        <v>62</v>
      </c>
      <c r="AC99" s="297">
        <f t="shared" si="29"/>
        <v>9.32258064516129</v>
      </c>
      <c r="AD99" s="20">
        <f>19776.5+5289.5+3941.5+4149+6030.5+491+2263+886+669+235+576+182+578</f>
        <v>45067</v>
      </c>
      <c r="AE99" s="21">
        <f>2214+710+772+646+1024+103+434+139+105+46+100+16+62</f>
        <v>6371</v>
      </c>
      <c r="AF99" s="298">
        <f>AD99/AE99</f>
        <v>7.073771778370743</v>
      </c>
      <c r="AG99" s="629">
        <v>89</v>
      </c>
    </row>
    <row r="100" spans="1:33" s="83" customFormat="1" ht="9.75" customHeight="1">
      <c r="A100" s="324">
        <v>90</v>
      </c>
      <c r="B100" s="673"/>
      <c r="C100" s="633"/>
      <c r="D100" s="542" t="s">
        <v>407</v>
      </c>
      <c r="E100" s="635">
        <v>40753</v>
      </c>
      <c r="F100" s="537" t="s">
        <v>32</v>
      </c>
      <c r="G100" s="25">
        <v>1</v>
      </c>
      <c r="H100" s="25">
        <v>1</v>
      </c>
      <c r="I100" s="25">
        <v>2</v>
      </c>
      <c r="J100" s="636">
        <v>54</v>
      </c>
      <c r="K100" s="637">
        <v>6</v>
      </c>
      <c r="L100" s="636">
        <v>54</v>
      </c>
      <c r="M100" s="637">
        <v>6</v>
      </c>
      <c r="N100" s="636">
        <v>141</v>
      </c>
      <c r="O100" s="637">
        <v>15</v>
      </c>
      <c r="P100" s="656">
        <f t="shared" si="35"/>
        <v>249</v>
      </c>
      <c r="Q100" s="657">
        <f t="shared" si="35"/>
        <v>27</v>
      </c>
      <c r="R100" s="550">
        <f>Q100/H100</f>
        <v>27</v>
      </c>
      <c r="S100" s="297">
        <f>IF(P100&lt;&gt;0,P100/Q100,"")</f>
        <v>9.222222222222221</v>
      </c>
      <c r="T100" s="512">
        <v>7372</v>
      </c>
      <c r="U100" s="305">
        <f>IF(T100&lt;&gt;0,-(T100-P100)/T100,"")</f>
        <v>-0.966223548562127</v>
      </c>
      <c r="V100" s="297">
        <f t="shared" si="24"/>
        <v>293</v>
      </c>
      <c r="W100" s="218">
        <f t="shared" si="25"/>
        <v>37</v>
      </c>
      <c r="X100" s="597">
        <v>542</v>
      </c>
      <c r="Y100" s="598">
        <v>64</v>
      </c>
      <c r="Z100" s="305">
        <f t="shared" si="26"/>
        <v>0.421875</v>
      </c>
      <c r="AA100" s="305">
        <f t="shared" si="27"/>
        <v>0.578125</v>
      </c>
      <c r="AB100" s="218">
        <f t="shared" si="28"/>
        <v>64</v>
      </c>
      <c r="AC100" s="297">
        <f t="shared" si="29"/>
        <v>8.46875</v>
      </c>
      <c r="AD100" s="20">
        <f>8466+542</f>
        <v>9008</v>
      </c>
      <c r="AE100" s="21">
        <f>472+64</f>
        <v>536</v>
      </c>
      <c r="AF100" s="298">
        <f>AD100/AE100</f>
        <v>16.80597014925373</v>
      </c>
      <c r="AG100" s="629">
        <v>90</v>
      </c>
    </row>
    <row r="101" spans="1:33" s="83" customFormat="1" ht="9.75" customHeight="1">
      <c r="A101" s="324">
        <v>91</v>
      </c>
      <c r="B101" s="673"/>
      <c r="C101" s="633"/>
      <c r="D101" s="647" t="s">
        <v>364</v>
      </c>
      <c r="E101" s="648">
        <v>40732</v>
      </c>
      <c r="F101" s="537" t="s">
        <v>32</v>
      </c>
      <c r="G101" s="649">
        <v>2</v>
      </c>
      <c r="H101" s="25">
        <v>1</v>
      </c>
      <c r="I101" s="649">
        <v>5</v>
      </c>
      <c r="J101" s="636">
        <v>0</v>
      </c>
      <c r="K101" s="637">
        <v>0</v>
      </c>
      <c r="L101" s="636">
        <v>0</v>
      </c>
      <c r="M101" s="637">
        <v>0</v>
      </c>
      <c r="N101" s="636">
        <v>0</v>
      </c>
      <c r="O101" s="637">
        <v>0</v>
      </c>
      <c r="P101" s="656">
        <f t="shared" si="35"/>
        <v>0</v>
      </c>
      <c r="Q101" s="657">
        <f t="shared" si="35"/>
        <v>0</v>
      </c>
      <c r="R101" s="550"/>
      <c r="S101" s="297"/>
      <c r="T101" s="512"/>
      <c r="U101" s="305"/>
      <c r="V101" s="297">
        <f t="shared" si="24"/>
        <v>514.5</v>
      </c>
      <c r="W101" s="218">
        <f t="shared" si="25"/>
        <v>189</v>
      </c>
      <c r="X101" s="597">
        <v>514.5</v>
      </c>
      <c r="Y101" s="598">
        <v>189</v>
      </c>
      <c r="Z101" s="305">
        <f t="shared" si="26"/>
        <v>0</v>
      </c>
      <c r="AA101" s="305">
        <f t="shared" si="27"/>
        <v>1</v>
      </c>
      <c r="AB101" s="218">
        <f t="shared" si="28"/>
        <v>189</v>
      </c>
      <c r="AC101" s="297">
        <f t="shared" si="29"/>
        <v>2.7222222222222223</v>
      </c>
      <c r="AD101" s="20">
        <f>3347.5+953+825.5+1396+514.5</f>
        <v>7036.5</v>
      </c>
      <c r="AE101" s="21">
        <f>237+71+61+165+189</f>
        <v>723</v>
      </c>
      <c r="AF101" s="298">
        <f>+AD101/AE101</f>
        <v>9.732365145228215</v>
      </c>
      <c r="AG101" s="629">
        <v>91</v>
      </c>
    </row>
    <row r="102" spans="1:33" s="83" customFormat="1" ht="9.75" customHeight="1">
      <c r="A102" s="324">
        <v>92</v>
      </c>
      <c r="B102" s="666"/>
      <c r="C102" s="645" t="s">
        <v>84</v>
      </c>
      <c r="D102" s="546" t="s">
        <v>49</v>
      </c>
      <c r="E102" s="635">
        <v>40613</v>
      </c>
      <c r="F102" s="537" t="s">
        <v>10</v>
      </c>
      <c r="G102" s="540">
        <v>280</v>
      </c>
      <c r="H102" s="16">
        <v>1</v>
      </c>
      <c r="I102" s="16">
        <v>17</v>
      </c>
      <c r="J102" s="17">
        <v>141</v>
      </c>
      <c r="K102" s="423">
        <v>47</v>
      </c>
      <c r="L102" s="17">
        <v>183</v>
      </c>
      <c r="M102" s="423">
        <v>61</v>
      </c>
      <c r="N102" s="17">
        <v>33</v>
      </c>
      <c r="O102" s="423">
        <v>11</v>
      </c>
      <c r="P102" s="650">
        <f t="shared" si="35"/>
        <v>357</v>
      </c>
      <c r="Q102" s="651">
        <f t="shared" si="35"/>
        <v>119</v>
      </c>
      <c r="R102" s="218">
        <f>IF(P102&lt;&gt;0,Q102/H102,"")</f>
        <v>119</v>
      </c>
      <c r="S102" s="297">
        <f>IF(P102&lt;&gt;0,P102/Q102,"")</f>
        <v>3</v>
      </c>
      <c r="T102" s="538">
        <v>365</v>
      </c>
      <c r="U102" s="305">
        <f>IF(T102&lt;&gt;0,-(T102-P102)/T102,"")</f>
        <v>-0.021917808219178082</v>
      </c>
      <c r="V102" s="297">
        <f t="shared" si="24"/>
        <v>129</v>
      </c>
      <c r="W102" s="218">
        <f t="shared" si="25"/>
        <v>43</v>
      </c>
      <c r="X102" s="603">
        <v>486</v>
      </c>
      <c r="Y102" s="604">
        <v>162</v>
      </c>
      <c r="Z102" s="305">
        <f t="shared" si="26"/>
        <v>0.7345679012345679</v>
      </c>
      <c r="AA102" s="305">
        <f t="shared" si="27"/>
        <v>0.2654320987654321</v>
      </c>
      <c r="AB102" s="218">
        <f t="shared" si="28"/>
        <v>162</v>
      </c>
      <c r="AC102" s="297">
        <f t="shared" si="29"/>
        <v>3</v>
      </c>
      <c r="AD102" s="184">
        <v>6559712</v>
      </c>
      <c r="AE102" s="299">
        <v>736320</v>
      </c>
      <c r="AF102" s="298">
        <f>AD102/AE102</f>
        <v>8.90877879182964</v>
      </c>
      <c r="AG102" s="629">
        <v>92</v>
      </c>
    </row>
    <row r="103" spans="1:33" s="83" customFormat="1" ht="9.75" customHeight="1">
      <c r="A103" s="324">
        <v>93</v>
      </c>
      <c r="B103" s="668"/>
      <c r="C103" s="633"/>
      <c r="D103" s="546" t="s">
        <v>61</v>
      </c>
      <c r="E103" s="635">
        <v>40676</v>
      </c>
      <c r="F103" s="537" t="s">
        <v>23</v>
      </c>
      <c r="G103" s="25">
        <v>100</v>
      </c>
      <c r="H103" s="25">
        <v>2</v>
      </c>
      <c r="I103" s="25">
        <v>13</v>
      </c>
      <c r="J103" s="538">
        <v>124</v>
      </c>
      <c r="K103" s="539">
        <v>12</v>
      </c>
      <c r="L103" s="538">
        <v>25</v>
      </c>
      <c r="M103" s="539">
        <v>4</v>
      </c>
      <c r="N103" s="538">
        <v>94</v>
      </c>
      <c r="O103" s="539">
        <v>11</v>
      </c>
      <c r="P103" s="631">
        <f t="shared" si="35"/>
        <v>243</v>
      </c>
      <c r="Q103" s="632">
        <f t="shared" si="35"/>
        <v>27</v>
      </c>
      <c r="R103" s="218">
        <f>IF(P103&lt;&gt;0,Q103/H103,"")</f>
        <v>13.5</v>
      </c>
      <c r="S103" s="297">
        <f>IF(P103&lt;&gt;0,P103/Q103,"")</f>
        <v>9</v>
      </c>
      <c r="T103" s="28">
        <v>2786</v>
      </c>
      <c r="U103" s="305">
        <f>IF(T103&lt;&gt;0,-(T103-P103)/T103,"")</f>
        <v>-0.9127781765972721</v>
      </c>
      <c r="V103" s="297">
        <f t="shared" si="24"/>
        <v>130</v>
      </c>
      <c r="W103" s="218">
        <f t="shared" si="25"/>
        <v>19</v>
      </c>
      <c r="X103" s="595">
        <v>373</v>
      </c>
      <c r="Y103" s="596">
        <v>46</v>
      </c>
      <c r="Z103" s="305">
        <f t="shared" si="26"/>
        <v>0.5869565217391305</v>
      </c>
      <c r="AA103" s="305">
        <f t="shared" si="27"/>
        <v>0.41304347826086957</v>
      </c>
      <c r="AB103" s="218">
        <f t="shared" si="28"/>
        <v>23</v>
      </c>
      <c r="AC103" s="297">
        <f t="shared" si="29"/>
        <v>8.108695652173912</v>
      </c>
      <c r="AD103" s="22">
        <v>1170206</v>
      </c>
      <c r="AE103" s="437">
        <v>127488</v>
      </c>
      <c r="AF103" s="309">
        <f>+AD103/AE103</f>
        <v>9.178950175702811</v>
      </c>
      <c r="AG103" s="629">
        <v>93</v>
      </c>
    </row>
    <row r="104" spans="1:33" s="83" customFormat="1" ht="9.75" customHeight="1">
      <c r="A104" s="324">
        <v>94</v>
      </c>
      <c r="B104" s="668"/>
      <c r="C104" s="645" t="s">
        <v>84</v>
      </c>
      <c r="D104" s="537" t="s">
        <v>236</v>
      </c>
      <c r="E104" s="653">
        <v>40704</v>
      </c>
      <c r="F104" s="537" t="s">
        <v>46</v>
      </c>
      <c r="G104" s="25">
        <v>35</v>
      </c>
      <c r="H104" s="25">
        <v>1</v>
      </c>
      <c r="I104" s="25">
        <v>8</v>
      </c>
      <c r="J104" s="538">
        <v>28</v>
      </c>
      <c r="K104" s="539">
        <v>4</v>
      </c>
      <c r="L104" s="538">
        <v>30</v>
      </c>
      <c r="M104" s="539">
        <v>4</v>
      </c>
      <c r="N104" s="538">
        <v>37</v>
      </c>
      <c r="O104" s="539">
        <v>5</v>
      </c>
      <c r="P104" s="631">
        <f t="shared" si="35"/>
        <v>95</v>
      </c>
      <c r="Q104" s="632">
        <f t="shared" si="35"/>
        <v>13</v>
      </c>
      <c r="R104" s="218">
        <f>IF(P104&lt;&gt;0,Q104/H104,"")</f>
        <v>13</v>
      </c>
      <c r="S104" s="297">
        <f>IF(P104&lt;&gt;0,P104/Q104,"")</f>
        <v>7.3076923076923075</v>
      </c>
      <c r="T104" s="28">
        <v>136</v>
      </c>
      <c r="U104" s="305">
        <f>IF(T104&lt;&gt;0,-(T104-P104)/T104,"")</f>
        <v>-0.3014705882352941</v>
      </c>
      <c r="V104" s="297">
        <f t="shared" si="24"/>
        <v>268</v>
      </c>
      <c r="W104" s="218">
        <f t="shared" si="25"/>
        <v>38</v>
      </c>
      <c r="X104" s="595">
        <v>363</v>
      </c>
      <c r="Y104" s="596">
        <v>51</v>
      </c>
      <c r="Z104" s="305">
        <f t="shared" si="26"/>
        <v>0.2549019607843137</v>
      </c>
      <c r="AA104" s="305">
        <f t="shared" si="27"/>
        <v>0.7450980392156863</v>
      </c>
      <c r="AB104" s="218">
        <f t="shared" si="28"/>
        <v>51</v>
      </c>
      <c r="AC104" s="297">
        <f t="shared" si="29"/>
        <v>7.117647058823529</v>
      </c>
      <c r="AD104" s="22">
        <v>22457.5</v>
      </c>
      <c r="AE104" s="23">
        <v>2971</v>
      </c>
      <c r="AF104" s="309">
        <f>+AD104/AE104</f>
        <v>7.558902726354763</v>
      </c>
      <c r="AG104" s="629">
        <v>94</v>
      </c>
    </row>
    <row r="105" spans="1:33" s="83" customFormat="1" ht="9.75" customHeight="1">
      <c r="A105" s="324">
        <v>95</v>
      </c>
      <c r="B105" s="666"/>
      <c r="C105" s="633"/>
      <c r="D105" s="537" t="s">
        <v>233</v>
      </c>
      <c r="E105" s="635">
        <v>40704</v>
      </c>
      <c r="F105" s="537" t="s">
        <v>10</v>
      </c>
      <c r="G105" s="16">
        <v>70</v>
      </c>
      <c r="H105" s="16">
        <v>1</v>
      </c>
      <c r="I105" s="16">
        <v>9</v>
      </c>
      <c r="J105" s="17">
        <v>56</v>
      </c>
      <c r="K105" s="423">
        <v>9</v>
      </c>
      <c r="L105" s="17">
        <v>80</v>
      </c>
      <c r="M105" s="423">
        <v>13</v>
      </c>
      <c r="N105" s="17">
        <v>75</v>
      </c>
      <c r="O105" s="423">
        <v>12</v>
      </c>
      <c r="P105" s="631">
        <f>+J105+L105+N105</f>
        <v>211</v>
      </c>
      <c r="Q105" s="632">
        <f>+K105+M105+O105</f>
        <v>34</v>
      </c>
      <c r="R105" s="218">
        <f>IF(P105&lt;&gt;0,Q105/H105,"")</f>
        <v>34</v>
      </c>
      <c r="S105" s="297">
        <f>IF(P105&lt;&gt;0,P105/Q105,"")</f>
        <v>6.205882352941177</v>
      </c>
      <c r="T105" s="28">
        <v>943</v>
      </c>
      <c r="U105" s="305">
        <f>IF(T105&lt;&gt;0,-(T105-P105)/T105,"")</f>
        <v>-0.7762460233297985</v>
      </c>
      <c r="V105" s="297">
        <f t="shared" si="24"/>
        <v>135</v>
      </c>
      <c r="W105" s="218">
        <f t="shared" si="25"/>
        <v>22</v>
      </c>
      <c r="X105" s="603">
        <v>346</v>
      </c>
      <c r="Y105" s="604">
        <v>56</v>
      </c>
      <c r="Z105" s="305">
        <f t="shared" si="26"/>
        <v>0.6071428571428571</v>
      </c>
      <c r="AA105" s="305">
        <f t="shared" si="27"/>
        <v>0.39285714285714285</v>
      </c>
      <c r="AB105" s="218">
        <f t="shared" si="28"/>
        <v>56</v>
      </c>
      <c r="AC105" s="297">
        <f t="shared" si="29"/>
        <v>6.178571428571429</v>
      </c>
      <c r="AD105" s="184">
        <v>565677</v>
      </c>
      <c r="AE105" s="299">
        <v>57969</v>
      </c>
      <c r="AF105" s="309">
        <f>+AD105/AE105</f>
        <v>9.758267349790405</v>
      </c>
      <c r="AG105" s="629">
        <v>95</v>
      </c>
    </row>
    <row r="106" spans="1:33" s="83" customFormat="1" ht="9.75" customHeight="1">
      <c r="A106" s="324">
        <v>96</v>
      </c>
      <c r="B106" s="673"/>
      <c r="C106" s="633"/>
      <c r="D106" s="647" t="s">
        <v>320</v>
      </c>
      <c r="E106" s="648">
        <v>40515</v>
      </c>
      <c r="F106" s="537" t="s">
        <v>32</v>
      </c>
      <c r="G106" s="649">
        <v>62</v>
      </c>
      <c r="H106" s="25">
        <v>1</v>
      </c>
      <c r="I106" s="649">
        <v>33</v>
      </c>
      <c r="J106" s="636">
        <v>0</v>
      </c>
      <c r="K106" s="637">
        <v>0</v>
      </c>
      <c r="L106" s="636">
        <v>0</v>
      </c>
      <c r="M106" s="637">
        <v>0</v>
      </c>
      <c r="N106" s="636">
        <v>0</v>
      </c>
      <c r="O106" s="637">
        <v>0</v>
      </c>
      <c r="P106" s="656">
        <f aca="true" t="shared" si="36" ref="P106:P115">SUM(J106+L106+N106)</f>
        <v>0</v>
      </c>
      <c r="Q106" s="657">
        <f aca="true" t="shared" si="37" ref="Q106:Q115">SUM(K106+M106+O106)</f>
        <v>0</v>
      </c>
      <c r="R106" s="550"/>
      <c r="S106" s="297"/>
      <c r="T106" s="512"/>
      <c r="U106" s="305"/>
      <c r="V106" s="297">
        <f t="shared" si="24"/>
        <v>329</v>
      </c>
      <c r="W106" s="218">
        <f t="shared" si="25"/>
        <v>63</v>
      </c>
      <c r="X106" s="597">
        <v>329</v>
      </c>
      <c r="Y106" s="598">
        <v>63</v>
      </c>
      <c r="Z106" s="305">
        <f t="shared" si="26"/>
        <v>0</v>
      </c>
      <c r="AA106" s="305">
        <f t="shared" si="27"/>
        <v>1</v>
      </c>
      <c r="AB106" s="218">
        <f t="shared" si="28"/>
        <v>63</v>
      </c>
      <c r="AC106" s="297">
        <f t="shared" si="29"/>
        <v>5.222222222222222</v>
      </c>
      <c r="AD106" s="20">
        <f>353151+191248+132731.5+71376+47862+26248.5+19265+34650.5+35095.5+42312+25849+10987+7528+3248+2395.5+3280.5+3141.5+4280+3042+1597+6128+4358+2107+777+4230+4335.5+1718.5+594+1978+2020+7747.5+1188+329</f>
        <v>1056799</v>
      </c>
      <c r="AE106" s="21">
        <f>34650+19352+14525+10591+7581+5012+3223+6065+6865+6589+3930+1782+1091+624+468+512+688+987+804+306+1395+991+478+166+1058+1084+430+148+474+261+1593+297+63</f>
        <v>134083</v>
      </c>
      <c r="AF106" s="298">
        <f>+AD106/AE106</f>
        <v>7.881677766756412</v>
      </c>
      <c r="AG106" s="629">
        <v>96</v>
      </c>
    </row>
    <row r="107" spans="1:33" s="83" customFormat="1" ht="9.75" customHeight="1">
      <c r="A107" s="324">
        <v>97</v>
      </c>
      <c r="B107" s="673"/>
      <c r="C107" s="633"/>
      <c r="D107" s="647" t="s">
        <v>241</v>
      </c>
      <c r="E107" s="648">
        <v>40711</v>
      </c>
      <c r="F107" s="537" t="s">
        <v>32</v>
      </c>
      <c r="G107" s="649">
        <v>1</v>
      </c>
      <c r="H107" s="25">
        <v>1</v>
      </c>
      <c r="I107" s="649">
        <v>7</v>
      </c>
      <c r="J107" s="636">
        <v>0</v>
      </c>
      <c r="K107" s="637">
        <v>0</v>
      </c>
      <c r="L107" s="636">
        <v>0</v>
      </c>
      <c r="M107" s="637">
        <v>0</v>
      </c>
      <c r="N107" s="636">
        <v>0</v>
      </c>
      <c r="O107" s="637">
        <v>0</v>
      </c>
      <c r="P107" s="656">
        <f t="shared" si="36"/>
        <v>0</v>
      </c>
      <c r="Q107" s="657">
        <f t="shared" si="37"/>
        <v>0</v>
      </c>
      <c r="R107" s="550"/>
      <c r="S107" s="297"/>
      <c r="T107" s="512"/>
      <c r="U107" s="305"/>
      <c r="V107" s="297">
        <f aca="true" t="shared" si="38" ref="V107:V128">X107-P107</f>
        <v>324.5</v>
      </c>
      <c r="W107" s="218">
        <f aca="true" t="shared" si="39" ref="W107:W128">Y107-Q107</f>
        <v>43</v>
      </c>
      <c r="X107" s="597">
        <v>324.5</v>
      </c>
      <c r="Y107" s="598">
        <v>43</v>
      </c>
      <c r="Z107" s="305">
        <f aca="true" t="shared" si="40" ref="Z107:Z128">Q107*1/Y107</f>
        <v>0</v>
      </c>
      <c r="AA107" s="305">
        <f aca="true" t="shared" si="41" ref="AA107:AA128">W107*1/Y107</f>
        <v>1</v>
      </c>
      <c r="AB107" s="218">
        <f aca="true" t="shared" si="42" ref="AB107:AB128">Y107/H107</f>
        <v>43</v>
      </c>
      <c r="AC107" s="297">
        <f aca="true" t="shared" si="43" ref="AC107:AC128">X107/Y107</f>
        <v>7.546511627906977</v>
      </c>
      <c r="AD107" s="20">
        <f>2079+2156+600+711+244+159+324.5</f>
        <v>6273.5</v>
      </c>
      <c r="AE107" s="21">
        <f>143+271+75+67+107+28+43</f>
        <v>734</v>
      </c>
      <c r="AF107" s="298">
        <f>AD107/AE107</f>
        <v>8.54700272479564</v>
      </c>
      <c r="AG107" s="629">
        <v>97</v>
      </c>
    </row>
    <row r="108" spans="1:33" s="83" customFormat="1" ht="9.75" customHeight="1">
      <c r="A108" s="324">
        <v>98</v>
      </c>
      <c r="B108" s="669"/>
      <c r="C108" s="633"/>
      <c r="D108" s="537" t="s">
        <v>70</v>
      </c>
      <c r="E108" s="635">
        <v>40682</v>
      </c>
      <c r="F108" s="537" t="s">
        <v>21</v>
      </c>
      <c r="G108" s="16">
        <v>45</v>
      </c>
      <c r="H108" s="16">
        <v>3</v>
      </c>
      <c r="I108" s="16">
        <v>12</v>
      </c>
      <c r="J108" s="17">
        <v>79</v>
      </c>
      <c r="K108" s="423">
        <v>12</v>
      </c>
      <c r="L108" s="17">
        <v>78</v>
      </c>
      <c r="M108" s="423">
        <v>12</v>
      </c>
      <c r="N108" s="17">
        <v>18</v>
      </c>
      <c r="O108" s="423">
        <v>3</v>
      </c>
      <c r="P108" s="650">
        <f t="shared" si="36"/>
        <v>175</v>
      </c>
      <c r="Q108" s="651">
        <f t="shared" si="37"/>
        <v>27</v>
      </c>
      <c r="R108" s="218">
        <f>IF(P108&lt;&gt;0,Q108/H108,"")</f>
        <v>9</v>
      </c>
      <c r="S108" s="297">
        <f>IF(P108&lt;&gt;0,P108/Q108,"")</f>
        <v>6.481481481481482</v>
      </c>
      <c r="T108" s="538">
        <v>786</v>
      </c>
      <c r="U108" s="305">
        <f>IF(T108&lt;&gt;0,-(T108-P108)/T108,"")</f>
        <v>-0.77735368956743</v>
      </c>
      <c r="V108" s="297">
        <f t="shared" si="38"/>
        <v>144</v>
      </c>
      <c r="W108" s="218">
        <f t="shared" si="39"/>
        <v>24</v>
      </c>
      <c r="X108" s="605">
        <v>319</v>
      </c>
      <c r="Y108" s="606">
        <v>51</v>
      </c>
      <c r="Z108" s="305">
        <f t="shared" si="40"/>
        <v>0.5294117647058824</v>
      </c>
      <c r="AA108" s="305">
        <f t="shared" si="41"/>
        <v>0.47058823529411764</v>
      </c>
      <c r="AB108" s="218">
        <f t="shared" si="42"/>
        <v>17</v>
      </c>
      <c r="AC108" s="297">
        <f t="shared" si="43"/>
        <v>6.254901960784314</v>
      </c>
      <c r="AD108" s="28">
        <f>13185+73231+37777+23268.5+18693.5+7384+9469.5+1890+288+1214+2255+1460+319</f>
        <v>190434.5</v>
      </c>
      <c r="AE108" s="23">
        <f>1138+8298+4612+3436+2782+1275+1363+239+41+242+308+191+51</f>
        <v>23976</v>
      </c>
      <c r="AF108" s="298">
        <f>AD108/AE108</f>
        <v>7.9427135468802135</v>
      </c>
      <c r="AG108" s="629">
        <v>98</v>
      </c>
    </row>
    <row r="109" spans="1:33" s="83" customFormat="1" ht="9.75" customHeight="1">
      <c r="A109" s="324">
        <v>99</v>
      </c>
      <c r="B109" s="673"/>
      <c r="C109" s="633"/>
      <c r="D109" s="647" t="s">
        <v>128</v>
      </c>
      <c r="E109" s="648">
        <v>40543</v>
      </c>
      <c r="F109" s="537" t="s">
        <v>32</v>
      </c>
      <c r="G109" s="649">
        <v>99</v>
      </c>
      <c r="H109" s="25">
        <v>1</v>
      </c>
      <c r="I109" s="649">
        <v>23</v>
      </c>
      <c r="J109" s="636">
        <v>0</v>
      </c>
      <c r="K109" s="637">
        <v>0</v>
      </c>
      <c r="L109" s="636">
        <v>0</v>
      </c>
      <c r="M109" s="637">
        <v>0</v>
      </c>
      <c r="N109" s="636">
        <v>0</v>
      </c>
      <c r="O109" s="637">
        <v>0</v>
      </c>
      <c r="P109" s="656">
        <f t="shared" si="36"/>
        <v>0</v>
      </c>
      <c r="Q109" s="657">
        <f t="shared" si="37"/>
        <v>0</v>
      </c>
      <c r="R109" s="550"/>
      <c r="S109" s="297"/>
      <c r="T109" s="512"/>
      <c r="U109" s="305"/>
      <c r="V109" s="297">
        <f t="shared" si="38"/>
        <v>316</v>
      </c>
      <c r="W109" s="218">
        <f t="shared" si="39"/>
        <v>53</v>
      </c>
      <c r="X109" s="597">
        <v>316</v>
      </c>
      <c r="Y109" s="598">
        <v>53</v>
      </c>
      <c r="Z109" s="305">
        <f t="shared" si="40"/>
        <v>0</v>
      </c>
      <c r="AA109" s="305">
        <f t="shared" si="41"/>
        <v>1</v>
      </c>
      <c r="AB109" s="218">
        <f t="shared" si="42"/>
        <v>53</v>
      </c>
      <c r="AC109" s="297">
        <f t="shared" si="43"/>
        <v>5.962264150943396</v>
      </c>
      <c r="AD109" s="20">
        <f>74157.5+721285.5+410076+112730.5+28262.5+6646+19483.5+940+1245+2674.5+7128+1782+331+245+6545.5+694+1782+1782+1782+1188+306+1188+3340+316</f>
        <v>1405910.5</v>
      </c>
      <c r="AE109" s="21">
        <f>7361+62279+35611+10987+4077+689+3901+125+178+502+1781+445+78+59+1496+114+446+446+446+297+61+297+668+53</f>
        <v>132397</v>
      </c>
      <c r="AF109" s="298">
        <f>+AD109/AE109</f>
        <v>10.618899975074964</v>
      </c>
      <c r="AG109" s="629">
        <v>99</v>
      </c>
    </row>
    <row r="110" spans="1:33" s="83" customFormat="1" ht="9.75" customHeight="1">
      <c r="A110" s="324">
        <v>100</v>
      </c>
      <c r="B110" s="673"/>
      <c r="C110" s="645" t="s">
        <v>84</v>
      </c>
      <c r="D110" s="647" t="s">
        <v>17</v>
      </c>
      <c r="E110" s="648">
        <v>40613</v>
      </c>
      <c r="F110" s="537" t="s">
        <v>32</v>
      </c>
      <c r="G110" s="649">
        <v>25</v>
      </c>
      <c r="H110" s="25">
        <v>1</v>
      </c>
      <c r="I110" s="649">
        <v>19</v>
      </c>
      <c r="J110" s="636">
        <v>0</v>
      </c>
      <c r="K110" s="637">
        <v>0</v>
      </c>
      <c r="L110" s="636">
        <v>0</v>
      </c>
      <c r="M110" s="637">
        <v>0</v>
      </c>
      <c r="N110" s="636">
        <v>0</v>
      </c>
      <c r="O110" s="637">
        <v>0</v>
      </c>
      <c r="P110" s="656">
        <f t="shared" si="36"/>
        <v>0</v>
      </c>
      <c r="Q110" s="657">
        <f t="shared" si="37"/>
        <v>0</v>
      </c>
      <c r="R110" s="550"/>
      <c r="S110" s="297"/>
      <c r="T110" s="512"/>
      <c r="U110" s="305"/>
      <c r="V110" s="297">
        <f t="shared" si="38"/>
        <v>297</v>
      </c>
      <c r="W110" s="218">
        <f t="shared" si="39"/>
        <v>48</v>
      </c>
      <c r="X110" s="597">
        <v>297</v>
      </c>
      <c r="Y110" s="598">
        <v>48</v>
      </c>
      <c r="Z110" s="305">
        <f t="shared" si="40"/>
        <v>0</v>
      </c>
      <c r="AA110" s="305">
        <f t="shared" si="41"/>
        <v>1</v>
      </c>
      <c r="AB110" s="218">
        <f t="shared" si="42"/>
        <v>48</v>
      </c>
      <c r="AC110" s="297">
        <f t="shared" si="43"/>
        <v>6.1875</v>
      </c>
      <c r="AD110" s="20">
        <f>75934+53479.5+29060+17465+26762+20460.5+20847+12710+19039+8622+2147+3636+459+653+4560+770+4752+402+297</f>
        <v>302055</v>
      </c>
      <c r="AE110" s="21">
        <f>9554+7103+4053+2490+4055+3124+3295+2389+2957+1767+459+626+92+107+609+124+1188+40+48</f>
        <v>44080</v>
      </c>
      <c r="AF110" s="298">
        <f>+AD110/AE110</f>
        <v>6.852427404718694</v>
      </c>
      <c r="AG110" s="629">
        <v>100</v>
      </c>
    </row>
    <row r="111" spans="1:33" s="83" customFormat="1" ht="9.75" customHeight="1">
      <c r="A111" s="324">
        <v>101</v>
      </c>
      <c r="B111" s="668"/>
      <c r="C111" s="633"/>
      <c r="D111" s="537" t="s">
        <v>247</v>
      </c>
      <c r="E111" s="635">
        <v>40718</v>
      </c>
      <c r="F111" s="537" t="s">
        <v>21</v>
      </c>
      <c r="G111" s="16">
        <v>1</v>
      </c>
      <c r="H111" s="16">
        <v>1</v>
      </c>
      <c r="I111" s="16">
        <v>7</v>
      </c>
      <c r="J111" s="17">
        <v>28</v>
      </c>
      <c r="K111" s="423">
        <v>4</v>
      </c>
      <c r="L111" s="17">
        <v>49</v>
      </c>
      <c r="M111" s="423">
        <v>7</v>
      </c>
      <c r="N111" s="17">
        <v>91</v>
      </c>
      <c r="O111" s="423">
        <v>13</v>
      </c>
      <c r="P111" s="656">
        <f t="shared" si="36"/>
        <v>168</v>
      </c>
      <c r="Q111" s="657">
        <f t="shared" si="37"/>
        <v>24</v>
      </c>
      <c r="R111" s="550">
        <f>Q111/H111</f>
        <v>24</v>
      </c>
      <c r="S111" s="297">
        <f>IF(P111&lt;&gt;0,P111/Q111,"")</f>
        <v>7</v>
      </c>
      <c r="T111" s="512">
        <v>492</v>
      </c>
      <c r="U111" s="305">
        <f>IF(T111&lt;&gt;0,-(T111-P111)/T111,"")</f>
        <v>-0.6585365853658537</v>
      </c>
      <c r="V111" s="297">
        <f t="shared" si="38"/>
        <v>119</v>
      </c>
      <c r="W111" s="218">
        <f t="shared" si="39"/>
        <v>17</v>
      </c>
      <c r="X111" s="605">
        <v>287</v>
      </c>
      <c r="Y111" s="606">
        <v>41</v>
      </c>
      <c r="Z111" s="305">
        <f t="shared" si="40"/>
        <v>0.5853658536585366</v>
      </c>
      <c r="AA111" s="305">
        <f t="shared" si="41"/>
        <v>0.4146341463414634</v>
      </c>
      <c r="AB111" s="218">
        <f t="shared" si="42"/>
        <v>41</v>
      </c>
      <c r="AC111" s="297">
        <f t="shared" si="43"/>
        <v>7</v>
      </c>
      <c r="AD111" s="28">
        <f>8627+3793+343+630+280+932+287</f>
        <v>14892</v>
      </c>
      <c r="AE111" s="23">
        <f>544+238+67+126+42+81+41</f>
        <v>1139</v>
      </c>
      <c r="AF111" s="309">
        <f>+AD111/AE111</f>
        <v>13.074626865671641</v>
      </c>
      <c r="AG111" s="629">
        <v>101</v>
      </c>
    </row>
    <row r="112" spans="1:33" s="83" customFormat="1" ht="9.75" customHeight="1">
      <c r="A112" s="324">
        <v>102</v>
      </c>
      <c r="B112" s="668"/>
      <c r="C112" s="633"/>
      <c r="D112" s="546" t="s">
        <v>53</v>
      </c>
      <c r="E112" s="635">
        <v>40662</v>
      </c>
      <c r="F112" s="537" t="s">
        <v>23</v>
      </c>
      <c r="G112" s="25">
        <v>172</v>
      </c>
      <c r="H112" s="25">
        <v>1</v>
      </c>
      <c r="I112" s="25">
        <v>15</v>
      </c>
      <c r="J112" s="538">
        <v>41</v>
      </c>
      <c r="K112" s="539">
        <v>8</v>
      </c>
      <c r="L112" s="538">
        <v>20</v>
      </c>
      <c r="M112" s="539">
        <v>4</v>
      </c>
      <c r="N112" s="538">
        <v>83</v>
      </c>
      <c r="O112" s="539">
        <v>16</v>
      </c>
      <c r="P112" s="631">
        <f t="shared" si="36"/>
        <v>144</v>
      </c>
      <c r="Q112" s="632">
        <f t="shared" si="37"/>
        <v>28</v>
      </c>
      <c r="R112" s="218">
        <f>IF(P112&lt;&gt;0,Q112/H112,"")</f>
        <v>28</v>
      </c>
      <c r="S112" s="297">
        <f>IF(P112&lt;&gt;0,P112/Q112,"")</f>
        <v>5.142857142857143</v>
      </c>
      <c r="T112" s="28">
        <v>194</v>
      </c>
      <c r="U112" s="305">
        <f>IF(T112&lt;&gt;0,-(T112-P112)/T112,"")</f>
        <v>-0.25773195876288657</v>
      </c>
      <c r="V112" s="297">
        <f t="shared" si="38"/>
        <v>102</v>
      </c>
      <c r="W112" s="218">
        <f t="shared" si="39"/>
        <v>19</v>
      </c>
      <c r="X112" s="595">
        <v>246</v>
      </c>
      <c r="Y112" s="602">
        <v>47</v>
      </c>
      <c r="Z112" s="305">
        <f t="shared" si="40"/>
        <v>0.5957446808510638</v>
      </c>
      <c r="AA112" s="305">
        <f t="shared" si="41"/>
        <v>0.40425531914893614</v>
      </c>
      <c r="AB112" s="218">
        <f t="shared" si="42"/>
        <v>47</v>
      </c>
      <c r="AC112" s="297">
        <f t="shared" si="43"/>
        <v>5.23404255319149</v>
      </c>
      <c r="AD112" s="22">
        <v>6029167</v>
      </c>
      <c r="AE112" s="550">
        <v>664185</v>
      </c>
      <c r="AF112" s="298">
        <f>AD112/AE112</f>
        <v>9.077541648787612</v>
      </c>
      <c r="AG112" s="629">
        <v>102</v>
      </c>
    </row>
    <row r="113" spans="1:33" s="83" customFormat="1" ht="9.75" customHeight="1">
      <c r="A113" s="324">
        <v>103</v>
      </c>
      <c r="B113" s="673"/>
      <c r="C113" s="633"/>
      <c r="D113" s="647" t="s">
        <v>129</v>
      </c>
      <c r="E113" s="648">
        <v>40627</v>
      </c>
      <c r="F113" s="537" t="s">
        <v>32</v>
      </c>
      <c r="G113" s="649">
        <v>28</v>
      </c>
      <c r="H113" s="25">
        <v>4</v>
      </c>
      <c r="I113" s="649">
        <v>16</v>
      </c>
      <c r="J113" s="636">
        <v>0</v>
      </c>
      <c r="K113" s="637">
        <v>0</v>
      </c>
      <c r="L113" s="636">
        <v>0</v>
      </c>
      <c r="M113" s="637">
        <v>0</v>
      </c>
      <c r="N113" s="636">
        <v>0</v>
      </c>
      <c r="O113" s="637">
        <v>0</v>
      </c>
      <c r="P113" s="656">
        <f t="shared" si="36"/>
        <v>0</v>
      </c>
      <c r="Q113" s="657">
        <f t="shared" si="37"/>
        <v>0</v>
      </c>
      <c r="R113" s="550"/>
      <c r="S113" s="297"/>
      <c r="T113" s="512"/>
      <c r="U113" s="305"/>
      <c r="V113" s="297">
        <f t="shared" si="38"/>
        <v>245</v>
      </c>
      <c r="W113" s="218">
        <f t="shared" si="39"/>
        <v>31</v>
      </c>
      <c r="X113" s="597">
        <v>245</v>
      </c>
      <c r="Y113" s="598">
        <v>31</v>
      </c>
      <c r="Z113" s="305">
        <f t="shared" si="40"/>
        <v>0</v>
      </c>
      <c r="AA113" s="305">
        <f t="shared" si="41"/>
        <v>1</v>
      </c>
      <c r="AB113" s="218">
        <f t="shared" si="42"/>
        <v>7.75</v>
      </c>
      <c r="AC113" s="297">
        <f t="shared" si="43"/>
        <v>7.903225806451613</v>
      </c>
      <c r="AD113" s="20">
        <f>43236.5+18123.5+2183+2517+14418.5+7091+2412+1549+490+210+952+2955+475+189+1225.5+4251.5+245</f>
        <v>102523.5</v>
      </c>
      <c r="AE113" s="21">
        <f>4478+2475+287+545+1573+1026+361+242+70+30+145+654+78+27+178+568+31</f>
        <v>12768</v>
      </c>
      <c r="AF113" s="298">
        <f>AD113/AE113</f>
        <v>8.029722744360901</v>
      </c>
      <c r="AG113" s="629">
        <v>103</v>
      </c>
    </row>
    <row r="114" spans="1:33" s="83" customFormat="1" ht="9.75" customHeight="1">
      <c r="A114" s="324">
        <v>104</v>
      </c>
      <c r="B114" s="673"/>
      <c r="C114" s="633"/>
      <c r="D114" s="540" t="s">
        <v>347</v>
      </c>
      <c r="E114" s="635">
        <v>40522</v>
      </c>
      <c r="F114" s="541" t="s">
        <v>8</v>
      </c>
      <c r="G114" s="18">
        <v>110</v>
      </c>
      <c r="H114" s="18">
        <v>1</v>
      </c>
      <c r="I114" s="18">
        <v>14</v>
      </c>
      <c r="J114" s="17">
        <v>28</v>
      </c>
      <c r="K114" s="423">
        <v>4</v>
      </c>
      <c r="L114" s="17">
        <v>56</v>
      </c>
      <c r="M114" s="423">
        <v>8</v>
      </c>
      <c r="N114" s="17">
        <v>28</v>
      </c>
      <c r="O114" s="423">
        <v>4</v>
      </c>
      <c r="P114" s="656">
        <f t="shared" si="36"/>
        <v>112</v>
      </c>
      <c r="Q114" s="657">
        <f t="shared" si="37"/>
        <v>16</v>
      </c>
      <c r="R114" s="550">
        <f>Q114/H114</f>
        <v>16</v>
      </c>
      <c r="S114" s="297">
        <f>IF(P114&lt;&gt;0,P114/Q114,"")</f>
        <v>7</v>
      </c>
      <c r="T114" s="512"/>
      <c r="U114" s="305">
        <f>IF(T114&lt;&gt;0,-(T114-P114)/T114,"")</f>
      </c>
      <c r="V114" s="297">
        <f t="shared" si="38"/>
        <v>122</v>
      </c>
      <c r="W114" s="218">
        <f t="shared" si="39"/>
        <v>19</v>
      </c>
      <c r="X114" s="599">
        <v>234</v>
      </c>
      <c r="Y114" s="600">
        <v>35</v>
      </c>
      <c r="Z114" s="305">
        <f t="shared" si="40"/>
        <v>0.45714285714285713</v>
      </c>
      <c r="AA114" s="305">
        <f t="shared" si="41"/>
        <v>0.5428571428571428</v>
      </c>
      <c r="AB114" s="218">
        <f t="shared" si="42"/>
        <v>35</v>
      </c>
      <c r="AC114" s="297">
        <f t="shared" si="43"/>
        <v>6.685714285714286</v>
      </c>
      <c r="AD114" s="17">
        <v>5015345</v>
      </c>
      <c r="AE114" s="423">
        <v>477364</v>
      </c>
      <c r="AF114" s="298">
        <f>+AD114/AE114</f>
        <v>10.506332693709622</v>
      </c>
      <c r="AG114" s="629">
        <v>104</v>
      </c>
    </row>
    <row r="115" spans="1:33" s="83" customFormat="1" ht="9.75" customHeight="1">
      <c r="A115" s="324">
        <v>105</v>
      </c>
      <c r="B115" s="673"/>
      <c r="C115" s="633"/>
      <c r="D115" s="548" t="s">
        <v>243</v>
      </c>
      <c r="E115" s="653">
        <v>40711</v>
      </c>
      <c r="F115" s="548" t="s">
        <v>64</v>
      </c>
      <c r="G115" s="547">
        <v>4</v>
      </c>
      <c r="H115" s="547">
        <v>2</v>
      </c>
      <c r="I115" s="547">
        <v>8</v>
      </c>
      <c r="J115" s="512">
        <v>28</v>
      </c>
      <c r="K115" s="437">
        <v>3</v>
      </c>
      <c r="L115" s="512">
        <v>15</v>
      </c>
      <c r="M115" s="437">
        <v>2</v>
      </c>
      <c r="N115" s="512">
        <v>70</v>
      </c>
      <c r="O115" s="437">
        <v>8</v>
      </c>
      <c r="P115" s="656">
        <f t="shared" si="36"/>
        <v>113</v>
      </c>
      <c r="Q115" s="657">
        <f t="shared" si="37"/>
        <v>13</v>
      </c>
      <c r="R115" s="550">
        <f>Q115/H115</f>
        <v>6.5</v>
      </c>
      <c r="S115" s="551">
        <f>P115/Q115</f>
        <v>8.692307692307692</v>
      </c>
      <c r="T115" s="512">
        <v>991</v>
      </c>
      <c r="U115" s="305">
        <f>IF(T115&lt;&gt;0,-(T115-P115)/T115,"")</f>
        <v>-0.8859737638748738</v>
      </c>
      <c r="V115" s="297">
        <f t="shared" si="38"/>
        <v>94</v>
      </c>
      <c r="W115" s="218">
        <f t="shared" si="39"/>
        <v>11</v>
      </c>
      <c r="X115" s="601">
        <v>207</v>
      </c>
      <c r="Y115" s="690">
        <v>24</v>
      </c>
      <c r="Z115" s="305">
        <f t="shared" si="40"/>
        <v>0.5416666666666666</v>
      </c>
      <c r="AA115" s="305">
        <f t="shared" si="41"/>
        <v>0.4583333333333333</v>
      </c>
      <c r="AB115" s="218">
        <f t="shared" si="42"/>
        <v>12</v>
      </c>
      <c r="AC115" s="297">
        <f t="shared" si="43"/>
        <v>8.625</v>
      </c>
      <c r="AD115" s="512">
        <v>23832.5</v>
      </c>
      <c r="AE115" s="550">
        <v>2154</v>
      </c>
      <c r="AF115" s="309">
        <f>+AD115/AE115</f>
        <v>11.064298978644382</v>
      </c>
      <c r="AG115" s="629">
        <v>105</v>
      </c>
    </row>
    <row r="116" spans="1:33" s="83" customFormat="1" ht="9.75" customHeight="1">
      <c r="A116" s="324">
        <v>106</v>
      </c>
      <c r="B116" s="670"/>
      <c r="C116" s="645" t="s">
        <v>84</v>
      </c>
      <c r="D116" s="537" t="s">
        <v>59</v>
      </c>
      <c r="E116" s="635">
        <v>40669</v>
      </c>
      <c r="F116" s="537" t="s">
        <v>21</v>
      </c>
      <c r="G116" s="16">
        <v>9</v>
      </c>
      <c r="H116" s="16">
        <v>2</v>
      </c>
      <c r="I116" s="16">
        <v>14</v>
      </c>
      <c r="J116" s="17">
        <v>24</v>
      </c>
      <c r="K116" s="423">
        <v>4</v>
      </c>
      <c r="L116" s="17">
        <v>36</v>
      </c>
      <c r="M116" s="423">
        <v>6</v>
      </c>
      <c r="N116" s="17">
        <v>36</v>
      </c>
      <c r="O116" s="423">
        <v>6</v>
      </c>
      <c r="P116" s="631">
        <f>+J116+L116+N116</f>
        <v>96</v>
      </c>
      <c r="Q116" s="632">
        <f>+K116+M116+O116</f>
        <v>16</v>
      </c>
      <c r="R116" s="539">
        <f>+Q116/H116</f>
        <v>8</v>
      </c>
      <c r="S116" s="297">
        <f>IF(P116&lt;&gt;0,P116/Q116,"")</f>
        <v>6</v>
      </c>
      <c r="T116" s="28">
        <v>1228</v>
      </c>
      <c r="U116" s="305">
        <f>IF(T116&lt;&gt;0,-(T116-P116)/T116,"")</f>
        <v>-0.9218241042345277</v>
      </c>
      <c r="V116" s="297">
        <f t="shared" si="38"/>
        <v>70</v>
      </c>
      <c r="W116" s="218">
        <f t="shared" si="39"/>
        <v>12</v>
      </c>
      <c r="X116" s="605">
        <v>166</v>
      </c>
      <c r="Y116" s="606">
        <v>28</v>
      </c>
      <c r="Z116" s="305">
        <f t="shared" si="40"/>
        <v>0.5714285714285714</v>
      </c>
      <c r="AA116" s="305">
        <f t="shared" si="41"/>
        <v>0.42857142857142855</v>
      </c>
      <c r="AB116" s="218">
        <f t="shared" si="42"/>
        <v>14</v>
      </c>
      <c r="AC116" s="297">
        <f t="shared" si="43"/>
        <v>5.928571428571429</v>
      </c>
      <c r="AD116" s="28">
        <f>10611.5+6246+3879+1660+2650+3829+1318+645+1041+24+977.5+84+1681+166</f>
        <v>34812</v>
      </c>
      <c r="AE116" s="23">
        <f>1405+909+512+224+387+611+221+87+151+4+128+14+189+28</f>
        <v>4870</v>
      </c>
      <c r="AF116" s="298">
        <f>AD116/AE116</f>
        <v>7.148254620123203</v>
      </c>
      <c r="AG116" s="629">
        <v>106</v>
      </c>
    </row>
    <row r="117" spans="1:33" s="83" customFormat="1" ht="9.75" customHeight="1">
      <c r="A117" s="324">
        <v>107</v>
      </c>
      <c r="B117" s="668"/>
      <c r="C117" s="633"/>
      <c r="D117" s="540" t="s">
        <v>409</v>
      </c>
      <c r="E117" s="635">
        <v>40655</v>
      </c>
      <c r="F117" s="541" t="s">
        <v>29</v>
      </c>
      <c r="G117" s="25">
        <v>25</v>
      </c>
      <c r="H117" s="25">
        <v>1</v>
      </c>
      <c r="I117" s="25">
        <v>14</v>
      </c>
      <c r="J117" s="538">
        <v>24</v>
      </c>
      <c r="K117" s="539">
        <v>4</v>
      </c>
      <c r="L117" s="538">
        <v>12</v>
      </c>
      <c r="M117" s="539">
        <v>2</v>
      </c>
      <c r="N117" s="538">
        <v>24</v>
      </c>
      <c r="O117" s="539">
        <v>4</v>
      </c>
      <c r="P117" s="650">
        <f aca="true" t="shared" si="44" ref="P117:Q122">SUM(J117+L117+N117)</f>
        <v>60</v>
      </c>
      <c r="Q117" s="651">
        <f t="shared" si="44"/>
        <v>10</v>
      </c>
      <c r="R117" s="218">
        <f>IF(P117&lt;&gt;0,Q117/H117,"")</f>
        <v>10</v>
      </c>
      <c r="S117" s="297">
        <f>IF(P117&lt;&gt;0,P117/Q117,"")</f>
        <v>6</v>
      </c>
      <c r="T117" s="538">
        <v>102</v>
      </c>
      <c r="U117" s="305">
        <f>IF(T117&lt;&gt;0,-(T117-P117)/T117,"")</f>
        <v>-0.4117647058823529</v>
      </c>
      <c r="V117" s="297">
        <f t="shared" si="38"/>
        <v>96</v>
      </c>
      <c r="W117" s="218">
        <f t="shared" si="39"/>
        <v>16</v>
      </c>
      <c r="X117" s="595">
        <v>156</v>
      </c>
      <c r="Y117" s="596">
        <v>26</v>
      </c>
      <c r="Z117" s="305">
        <f t="shared" si="40"/>
        <v>0.38461538461538464</v>
      </c>
      <c r="AA117" s="305">
        <f t="shared" si="41"/>
        <v>0.6153846153846154</v>
      </c>
      <c r="AB117" s="218">
        <f t="shared" si="42"/>
        <v>26</v>
      </c>
      <c r="AC117" s="297">
        <f t="shared" si="43"/>
        <v>6</v>
      </c>
      <c r="AD117" s="22">
        <f>94030+36665.5+19228.5+15274+9884.5+3195.5+2792+1795+3042.5+1500+1095+266+180+156</f>
        <v>189104.5</v>
      </c>
      <c r="AE117" s="23">
        <f>8677+3579+2658+2286+1470+489+408+244+413+249+211+52+30+26</f>
        <v>20792</v>
      </c>
      <c r="AF117" s="309">
        <f>+AD117/AE117</f>
        <v>9.095060600230857</v>
      </c>
      <c r="AG117" s="629">
        <v>107</v>
      </c>
    </row>
    <row r="118" spans="1:33" s="83" customFormat="1" ht="9.75" customHeight="1">
      <c r="A118" s="324">
        <v>108</v>
      </c>
      <c r="B118" s="673"/>
      <c r="C118" s="645" t="s">
        <v>84</v>
      </c>
      <c r="D118" s="647" t="s">
        <v>40</v>
      </c>
      <c r="E118" s="648">
        <v>40648</v>
      </c>
      <c r="F118" s="537" t="s">
        <v>32</v>
      </c>
      <c r="G118" s="649">
        <v>28</v>
      </c>
      <c r="H118" s="25">
        <v>1</v>
      </c>
      <c r="I118" s="649">
        <v>16</v>
      </c>
      <c r="J118" s="636">
        <v>0</v>
      </c>
      <c r="K118" s="637">
        <v>0</v>
      </c>
      <c r="L118" s="636">
        <v>0</v>
      </c>
      <c r="M118" s="637">
        <v>0</v>
      </c>
      <c r="N118" s="636">
        <v>0</v>
      </c>
      <c r="O118" s="637">
        <v>0</v>
      </c>
      <c r="P118" s="656">
        <f t="shared" si="44"/>
        <v>0</v>
      </c>
      <c r="Q118" s="657">
        <f t="shared" si="44"/>
        <v>0</v>
      </c>
      <c r="R118" s="550"/>
      <c r="S118" s="297"/>
      <c r="T118" s="512"/>
      <c r="U118" s="305"/>
      <c r="V118" s="297">
        <f t="shared" si="38"/>
        <v>154</v>
      </c>
      <c r="W118" s="218">
        <f t="shared" si="39"/>
        <v>22</v>
      </c>
      <c r="X118" s="597">
        <v>154</v>
      </c>
      <c r="Y118" s="598">
        <v>22</v>
      </c>
      <c r="Z118" s="305">
        <f t="shared" si="40"/>
        <v>0</v>
      </c>
      <c r="AA118" s="305">
        <f t="shared" si="41"/>
        <v>1</v>
      </c>
      <c r="AB118" s="218">
        <f t="shared" si="42"/>
        <v>22</v>
      </c>
      <c r="AC118" s="297">
        <f t="shared" si="43"/>
        <v>7</v>
      </c>
      <c r="AD118" s="20">
        <f>67573+47761.5+14206.5+4949+3617+1080.5+492+714+1413.5+3743.5+735+1502.5+825+1147+1818+154</f>
        <v>151732</v>
      </c>
      <c r="AE118" s="21">
        <f>6695+4901+2068+559+504+215+178+122+205+836+119+235+131+174+400+22</f>
        <v>17364</v>
      </c>
      <c r="AF118" s="298">
        <f>+AD118/AE118</f>
        <v>8.738309145358212</v>
      </c>
      <c r="AG118" s="629">
        <v>108</v>
      </c>
    </row>
    <row r="119" spans="1:33" s="83" customFormat="1" ht="9.75" customHeight="1">
      <c r="A119" s="324">
        <v>109</v>
      </c>
      <c r="B119" s="670"/>
      <c r="C119" s="633"/>
      <c r="D119" s="537" t="s">
        <v>220</v>
      </c>
      <c r="E119" s="635">
        <v>40690</v>
      </c>
      <c r="F119" s="537" t="s">
        <v>21</v>
      </c>
      <c r="G119" s="16">
        <v>5</v>
      </c>
      <c r="H119" s="16">
        <v>2</v>
      </c>
      <c r="I119" s="16">
        <v>11</v>
      </c>
      <c r="J119" s="17">
        <v>26</v>
      </c>
      <c r="K119" s="423">
        <v>4</v>
      </c>
      <c r="L119" s="17">
        <v>32</v>
      </c>
      <c r="M119" s="423">
        <v>5</v>
      </c>
      <c r="N119" s="17">
        <v>18</v>
      </c>
      <c r="O119" s="423">
        <v>3</v>
      </c>
      <c r="P119" s="656">
        <f t="shared" si="44"/>
        <v>76</v>
      </c>
      <c r="Q119" s="657">
        <f t="shared" si="44"/>
        <v>12</v>
      </c>
      <c r="R119" s="550">
        <f>Q119/H119</f>
        <v>6</v>
      </c>
      <c r="S119" s="297">
        <f>IF(P119&lt;&gt;0,P119/Q119,"")</f>
        <v>6.333333333333333</v>
      </c>
      <c r="T119" s="512">
        <v>328</v>
      </c>
      <c r="U119" s="305">
        <f>IF(T119&lt;&gt;0,-(T119-P119)/T119,"")</f>
        <v>-0.7682926829268293</v>
      </c>
      <c r="V119" s="297">
        <f t="shared" si="38"/>
        <v>74</v>
      </c>
      <c r="W119" s="218">
        <f t="shared" si="39"/>
        <v>12</v>
      </c>
      <c r="X119" s="605">
        <v>150</v>
      </c>
      <c r="Y119" s="606">
        <v>24</v>
      </c>
      <c r="Z119" s="305">
        <f t="shared" si="40"/>
        <v>0.5</v>
      </c>
      <c r="AA119" s="305">
        <f t="shared" si="41"/>
        <v>0.5</v>
      </c>
      <c r="AB119" s="218">
        <f t="shared" si="42"/>
        <v>12</v>
      </c>
      <c r="AC119" s="297">
        <f t="shared" si="43"/>
        <v>6.25</v>
      </c>
      <c r="AD119" s="28">
        <f>10523.5+2274+1975+2483+1830+1012+648.5+1263+1016+808+150</f>
        <v>23983</v>
      </c>
      <c r="AE119" s="23">
        <f>1295+340+276+411+209+137+95+167+160+122+24</f>
        <v>3236</v>
      </c>
      <c r="AF119" s="309">
        <f>+AD119/AE119</f>
        <v>7.411310259579728</v>
      </c>
      <c r="AG119" s="629">
        <v>109</v>
      </c>
    </row>
    <row r="120" spans="1:33" s="83" customFormat="1" ht="9.75" customHeight="1">
      <c r="A120" s="324">
        <v>110</v>
      </c>
      <c r="B120" s="668"/>
      <c r="C120" s="645" t="s">
        <v>84</v>
      </c>
      <c r="D120" s="540" t="s">
        <v>422</v>
      </c>
      <c r="E120" s="635">
        <v>39857</v>
      </c>
      <c r="F120" s="541" t="s">
        <v>29</v>
      </c>
      <c r="G120" s="25">
        <v>372</v>
      </c>
      <c r="H120" s="25">
        <v>2</v>
      </c>
      <c r="I120" s="25">
        <v>25</v>
      </c>
      <c r="J120" s="538">
        <v>10</v>
      </c>
      <c r="K120" s="539">
        <v>2</v>
      </c>
      <c r="L120" s="538">
        <v>0</v>
      </c>
      <c r="M120" s="539">
        <v>10</v>
      </c>
      <c r="N120" s="538">
        <v>60</v>
      </c>
      <c r="O120" s="539">
        <v>12</v>
      </c>
      <c r="P120" s="650">
        <f t="shared" si="44"/>
        <v>70</v>
      </c>
      <c r="Q120" s="651">
        <f t="shared" si="44"/>
        <v>24</v>
      </c>
      <c r="R120" s="218">
        <f>IF(P120&lt;&gt;0,Q120/H120,"")</f>
        <v>12</v>
      </c>
      <c r="S120" s="297">
        <f>IF(P120&lt;&gt;0,P120/Q120,"")</f>
        <v>2.9166666666666665</v>
      </c>
      <c r="T120" s="538"/>
      <c r="U120" s="305">
        <f>IF(T120&lt;&gt;0,-(T120-P120)/T120,"")</f>
      </c>
      <c r="V120" s="297">
        <f t="shared" si="38"/>
        <v>70</v>
      </c>
      <c r="W120" s="218">
        <f t="shared" si="39"/>
        <v>4</v>
      </c>
      <c r="X120" s="601">
        <v>140</v>
      </c>
      <c r="Y120" s="602">
        <v>28</v>
      </c>
      <c r="Z120" s="305">
        <f t="shared" si="40"/>
        <v>0.8571428571428571</v>
      </c>
      <c r="AA120" s="305">
        <f t="shared" si="41"/>
        <v>0.14285714285714285</v>
      </c>
      <c r="AB120" s="218">
        <f t="shared" si="42"/>
        <v>14</v>
      </c>
      <c r="AC120" s="297">
        <f t="shared" si="43"/>
        <v>5</v>
      </c>
      <c r="AD120" s="512">
        <f>17329163.5+9384321+4035301-111+1596787.5-52+594784+289448.5+142806.5+57257.5+10859.5+1656+13165+452+3902+124+16239+3704+0.5+78+78+442+474+277+19+12010+140</f>
        <v>33493326.5</v>
      </c>
      <c r="AE120" s="437">
        <f>2236432+1203711+519916+206906+76573+36964+29367+10451+1641+205+2816+174+976+16+3753+578+12+13+73+79+55+3+2402+28</f>
        <v>4333144</v>
      </c>
      <c r="AF120" s="309">
        <f>+AD120/AE120</f>
        <v>7.729566914923668</v>
      </c>
      <c r="AG120" s="629">
        <v>110</v>
      </c>
    </row>
    <row r="121" spans="1:33" s="83" customFormat="1" ht="9.75" customHeight="1">
      <c r="A121" s="324">
        <v>111</v>
      </c>
      <c r="B121" s="673"/>
      <c r="C121" s="633"/>
      <c r="D121" s="647" t="s">
        <v>34</v>
      </c>
      <c r="E121" s="648">
        <v>40641</v>
      </c>
      <c r="F121" s="537" t="s">
        <v>32</v>
      </c>
      <c r="G121" s="649">
        <v>22</v>
      </c>
      <c r="H121" s="25">
        <v>1</v>
      </c>
      <c r="I121" s="649">
        <v>17</v>
      </c>
      <c r="J121" s="636">
        <v>0</v>
      </c>
      <c r="K121" s="637">
        <v>0</v>
      </c>
      <c r="L121" s="636">
        <v>0</v>
      </c>
      <c r="M121" s="637">
        <v>0</v>
      </c>
      <c r="N121" s="636">
        <v>0</v>
      </c>
      <c r="O121" s="637">
        <v>0</v>
      </c>
      <c r="P121" s="656">
        <f t="shared" si="44"/>
        <v>0</v>
      </c>
      <c r="Q121" s="657">
        <f t="shared" si="44"/>
        <v>0</v>
      </c>
      <c r="R121" s="550"/>
      <c r="S121" s="297"/>
      <c r="T121" s="512"/>
      <c r="U121" s="305"/>
      <c r="V121" s="297">
        <f t="shared" si="38"/>
        <v>120</v>
      </c>
      <c r="W121" s="218">
        <f t="shared" si="39"/>
        <v>20</v>
      </c>
      <c r="X121" s="597">
        <v>120</v>
      </c>
      <c r="Y121" s="598">
        <v>20</v>
      </c>
      <c r="Z121" s="305">
        <f t="shared" si="40"/>
        <v>0</v>
      </c>
      <c r="AA121" s="305">
        <f t="shared" si="41"/>
        <v>1</v>
      </c>
      <c r="AB121" s="218">
        <f t="shared" si="42"/>
        <v>20</v>
      </c>
      <c r="AC121" s="297">
        <f t="shared" si="43"/>
        <v>6</v>
      </c>
      <c r="AD121" s="20">
        <f>116634.25+59106.5+23134.5+13753.5+15970+8455.5+1576+1761+10125.5+2018+2376+1505+1606+4951.5+5289.5+5175+120</f>
        <v>273557.75</v>
      </c>
      <c r="AE121" s="21">
        <f>8833+4531+2274+1803+2249+1097+201+284+1149+305+594+210+182+582+643+704+20</f>
        <v>25661</v>
      </c>
      <c r="AF121" s="298">
        <f>+AD121/AE121</f>
        <v>10.66044776119403</v>
      </c>
      <c r="AG121" s="629">
        <v>111</v>
      </c>
    </row>
    <row r="122" spans="1:33" s="83" customFormat="1" ht="9.75" customHeight="1">
      <c r="A122" s="324">
        <v>112</v>
      </c>
      <c r="B122" s="673"/>
      <c r="C122" s="633"/>
      <c r="D122" s="647" t="s">
        <v>238</v>
      </c>
      <c r="E122" s="648">
        <v>40711</v>
      </c>
      <c r="F122" s="537" t="s">
        <v>32</v>
      </c>
      <c r="G122" s="649">
        <v>35</v>
      </c>
      <c r="H122" s="25">
        <v>1</v>
      </c>
      <c r="I122" s="649">
        <v>8</v>
      </c>
      <c r="J122" s="636">
        <v>0</v>
      </c>
      <c r="K122" s="637">
        <v>0</v>
      </c>
      <c r="L122" s="636">
        <v>0</v>
      </c>
      <c r="M122" s="637">
        <v>0</v>
      </c>
      <c r="N122" s="636">
        <v>0</v>
      </c>
      <c r="O122" s="637">
        <v>0</v>
      </c>
      <c r="P122" s="656">
        <f t="shared" si="44"/>
        <v>0</v>
      </c>
      <c r="Q122" s="657">
        <f t="shared" si="44"/>
        <v>0</v>
      </c>
      <c r="R122" s="550"/>
      <c r="S122" s="297"/>
      <c r="T122" s="512"/>
      <c r="U122" s="305"/>
      <c r="V122" s="297">
        <f t="shared" si="38"/>
        <v>115</v>
      </c>
      <c r="W122" s="218">
        <f t="shared" si="39"/>
        <v>17</v>
      </c>
      <c r="X122" s="597">
        <v>115</v>
      </c>
      <c r="Y122" s="598">
        <v>17</v>
      </c>
      <c r="Z122" s="305">
        <f t="shared" si="40"/>
        <v>0</v>
      </c>
      <c r="AA122" s="305">
        <f t="shared" si="41"/>
        <v>1</v>
      </c>
      <c r="AB122" s="218">
        <f t="shared" si="42"/>
        <v>17</v>
      </c>
      <c r="AC122" s="297">
        <f t="shared" si="43"/>
        <v>6.764705882352941</v>
      </c>
      <c r="AD122" s="20">
        <f>42716+18359+6954+4671+7219+4213.5+7453.5+115</f>
        <v>91701</v>
      </c>
      <c r="AE122" s="21">
        <f>3820+1772+995+686+1245+656+919+17</f>
        <v>10110</v>
      </c>
      <c r="AF122" s="298">
        <f>AD122/AE122</f>
        <v>9.070326409495548</v>
      </c>
      <c r="AG122" s="629">
        <v>112</v>
      </c>
    </row>
    <row r="123" spans="1:33" s="83" customFormat="1" ht="9.75" customHeight="1">
      <c r="A123" s="324">
        <v>113</v>
      </c>
      <c r="B123" s="668"/>
      <c r="C123" s="645" t="s">
        <v>84</v>
      </c>
      <c r="D123" s="537" t="s">
        <v>215</v>
      </c>
      <c r="E123" s="653">
        <v>40592</v>
      </c>
      <c r="F123" s="537" t="s">
        <v>46</v>
      </c>
      <c r="G123" s="25">
        <v>6</v>
      </c>
      <c r="H123" s="25">
        <v>1</v>
      </c>
      <c r="I123" s="25">
        <v>10</v>
      </c>
      <c r="J123" s="538">
        <v>0</v>
      </c>
      <c r="K123" s="539">
        <v>0</v>
      </c>
      <c r="L123" s="538">
        <v>0</v>
      </c>
      <c r="M123" s="539">
        <v>0</v>
      </c>
      <c r="N123" s="538">
        <v>0</v>
      </c>
      <c r="O123" s="539">
        <v>0</v>
      </c>
      <c r="P123" s="631"/>
      <c r="Q123" s="632"/>
      <c r="R123" s="218"/>
      <c r="S123" s="297"/>
      <c r="T123" s="28"/>
      <c r="U123" s="305"/>
      <c r="V123" s="297">
        <f t="shared" si="38"/>
        <v>88</v>
      </c>
      <c r="W123" s="218">
        <f t="shared" si="39"/>
        <v>10</v>
      </c>
      <c r="X123" s="601">
        <v>88</v>
      </c>
      <c r="Y123" s="602">
        <v>10</v>
      </c>
      <c r="Z123" s="305">
        <f t="shared" si="40"/>
        <v>0</v>
      </c>
      <c r="AA123" s="305">
        <f t="shared" si="41"/>
        <v>1</v>
      </c>
      <c r="AB123" s="218">
        <f t="shared" si="42"/>
        <v>10</v>
      </c>
      <c r="AC123" s="297">
        <f t="shared" si="43"/>
        <v>8.8</v>
      </c>
      <c r="AD123" s="22">
        <v>17394</v>
      </c>
      <c r="AE123" s="550">
        <v>2352</v>
      </c>
      <c r="AF123" s="309">
        <f aca="true" t="shared" si="45" ref="AF123:AF128">+AD123/AE123</f>
        <v>7.395408163265306</v>
      </c>
      <c r="AG123" s="629">
        <v>113</v>
      </c>
    </row>
    <row r="124" spans="1:33" s="83" customFormat="1" ht="9.75" customHeight="1">
      <c r="A124" s="324">
        <v>114</v>
      </c>
      <c r="B124" s="668"/>
      <c r="C124" s="645" t="s">
        <v>84</v>
      </c>
      <c r="D124" s="540" t="s">
        <v>179</v>
      </c>
      <c r="E124" s="635">
        <v>40550</v>
      </c>
      <c r="F124" s="541" t="s">
        <v>29</v>
      </c>
      <c r="G124" s="25">
        <v>243</v>
      </c>
      <c r="H124" s="25">
        <v>1</v>
      </c>
      <c r="I124" s="25">
        <v>17</v>
      </c>
      <c r="J124" s="538">
        <v>0</v>
      </c>
      <c r="K124" s="539">
        <v>0</v>
      </c>
      <c r="L124" s="538">
        <v>30</v>
      </c>
      <c r="M124" s="539">
        <v>5</v>
      </c>
      <c r="N124" s="538">
        <v>26</v>
      </c>
      <c r="O124" s="539">
        <v>4</v>
      </c>
      <c r="P124" s="650">
        <f aca="true" t="shared" si="46" ref="P124:Q128">SUM(J124+L124+N124)</f>
        <v>56</v>
      </c>
      <c r="Q124" s="651">
        <f t="shared" si="46"/>
        <v>9</v>
      </c>
      <c r="R124" s="218">
        <f>IF(P124&lt;&gt;0,Q124/H124,"")</f>
        <v>9</v>
      </c>
      <c r="S124" s="297">
        <f>IF(P124&lt;&gt;0,P124/Q124,"")</f>
        <v>6.222222222222222</v>
      </c>
      <c r="T124" s="538">
        <v>6704</v>
      </c>
      <c r="U124" s="305">
        <f>IF(T124&lt;&gt;0,-(T124-P124)/T124,"")</f>
        <v>-0.9916467780429594</v>
      </c>
      <c r="V124" s="297">
        <f t="shared" si="38"/>
        <v>10</v>
      </c>
      <c r="W124" s="218">
        <f t="shared" si="39"/>
        <v>2</v>
      </c>
      <c r="X124" s="601">
        <v>66</v>
      </c>
      <c r="Y124" s="602">
        <v>11</v>
      </c>
      <c r="Z124" s="305">
        <f t="shared" si="40"/>
        <v>0.8181818181818182</v>
      </c>
      <c r="AA124" s="305">
        <f t="shared" si="41"/>
        <v>0.18181818181818182</v>
      </c>
      <c r="AB124" s="218">
        <f t="shared" si="42"/>
        <v>11</v>
      </c>
      <c r="AC124" s="297">
        <f t="shared" si="43"/>
        <v>6</v>
      </c>
      <c r="AD124" s="22">
        <f>3050831.5+2178855.5+1196710.5+496983-200+210922.5+72277.5+4+43197.5+17348.5+5963-21+911+2090+3211+288+13851+660+6810+66</f>
        <v>7300759.5</v>
      </c>
      <c r="AE124" s="550">
        <f>393137+282255+156413+64920+60+27548+10641+7089+3227+1196+161+455+643+72+2547+132+1127+11</f>
        <v>951634</v>
      </c>
      <c r="AF124" s="309">
        <f t="shared" si="45"/>
        <v>7.671814479095955</v>
      </c>
      <c r="AG124" s="629">
        <v>114</v>
      </c>
    </row>
    <row r="125" spans="1:33" s="83" customFormat="1" ht="9.75" customHeight="1">
      <c r="A125" s="324">
        <v>115</v>
      </c>
      <c r="B125" s="666"/>
      <c r="C125" s="633"/>
      <c r="D125" s="548" t="s">
        <v>27</v>
      </c>
      <c r="E125" s="646">
        <v>40627</v>
      </c>
      <c r="F125" s="548" t="s">
        <v>64</v>
      </c>
      <c r="G125" s="547">
        <v>2</v>
      </c>
      <c r="H125" s="554">
        <v>1</v>
      </c>
      <c r="I125" s="554">
        <v>20</v>
      </c>
      <c r="J125" s="551">
        <v>0</v>
      </c>
      <c r="K125" s="550">
        <v>0</v>
      </c>
      <c r="L125" s="551">
        <v>0</v>
      </c>
      <c r="M125" s="550">
        <v>0</v>
      </c>
      <c r="N125" s="551">
        <v>2</v>
      </c>
      <c r="O125" s="550">
        <v>14</v>
      </c>
      <c r="P125" s="631">
        <f t="shared" si="46"/>
        <v>2</v>
      </c>
      <c r="Q125" s="632">
        <f t="shared" si="46"/>
        <v>14</v>
      </c>
      <c r="R125" s="218">
        <f>IF(P125&lt;&gt;0,Q125/H125,"")</f>
        <v>14</v>
      </c>
      <c r="S125" s="297">
        <f>IF(P125&lt;&gt;0,P125/Q125,"")</f>
        <v>0.14285714285714285</v>
      </c>
      <c r="T125" s="549">
        <v>178.5</v>
      </c>
      <c r="U125" s="305">
        <f>IF(T125&lt;&gt;0,-(T125-P125)/T125,"")</f>
        <v>-0.988795518207283</v>
      </c>
      <c r="V125" s="297">
        <f t="shared" si="38"/>
        <v>60</v>
      </c>
      <c r="W125" s="218">
        <f t="shared" si="39"/>
        <v>-4</v>
      </c>
      <c r="X125" s="691">
        <v>62</v>
      </c>
      <c r="Y125" s="690">
        <v>10</v>
      </c>
      <c r="Z125" s="305">
        <f t="shared" si="40"/>
        <v>1.4</v>
      </c>
      <c r="AA125" s="305">
        <f t="shared" si="41"/>
        <v>-0.4</v>
      </c>
      <c r="AB125" s="218">
        <f t="shared" si="42"/>
        <v>10</v>
      </c>
      <c r="AC125" s="297">
        <f t="shared" si="43"/>
        <v>6.2</v>
      </c>
      <c r="AD125" s="551">
        <v>31879</v>
      </c>
      <c r="AE125" s="550">
        <v>4399</v>
      </c>
      <c r="AF125" s="309">
        <f t="shared" si="45"/>
        <v>7.246874289611275</v>
      </c>
      <c r="AG125" s="629">
        <v>115</v>
      </c>
    </row>
    <row r="126" spans="1:33" s="83" customFormat="1" ht="9.75" customHeight="1">
      <c r="A126" s="324">
        <v>116</v>
      </c>
      <c r="B126" s="670"/>
      <c r="C126" s="645" t="s">
        <v>84</v>
      </c>
      <c r="D126" s="16" t="s">
        <v>26</v>
      </c>
      <c r="E126" s="694">
        <v>40606</v>
      </c>
      <c r="F126" s="537" t="s">
        <v>21</v>
      </c>
      <c r="G126" s="695">
        <v>152</v>
      </c>
      <c r="H126" s="695">
        <v>1</v>
      </c>
      <c r="I126" s="695">
        <v>18</v>
      </c>
      <c r="J126" s="655">
        <v>0</v>
      </c>
      <c r="K126" s="655">
        <v>0</v>
      </c>
      <c r="L126" s="17">
        <v>0</v>
      </c>
      <c r="M126" s="423">
        <v>0</v>
      </c>
      <c r="N126" s="17">
        <v>0</v>
      </c>
      <c r="O126" s="423">
        <v>0</v>
      </c>
      <c r="P126" s="656">
        <f t="shared" si="46"/>
        <v>0</v>
      </c>
      <c r="Q126" s="657">
        <f t="shared" si="46"/>
        <v>0</v>
      </c>
      <c r="R126" s="550"/>
      <c r="S126" s="297"/>
      <c r="T126" s="512"/>
      <c r="U126" s="305"/>
      <c r="V126" s="297">
        <f t="shared" si="38"/>
        <v>55</v>
      </c>
      <c r="W126" s="218">
        <f t="shared" si="39"/>
        <v>11</v>
      </c>
      <c r="X126" s="605">
        <v>55</v>
      </c>
      <c r="Y126" s="606">
        <v>11</v>
      </c>
      <c r="Z126" s="305">
        <f t="shared" si="40"/>
        <v>0</v>
      </c>
      <c r="AA126" s="305">
        <f t="shared" si="41"/>
        <v>1</v>
      </c>
      <c r="AB126" s="218">
        <f t="shared" si="42"/>
        <v>11</v>
      </c>
      <c r="AC126" s="297">
        <f t="shared" si="43"/>
        <v>5</v>
      </c>
      <c r="AD126" s="28">
        <f>1064857.25+602581.25+269086.5+86552+70688+40243.5+15124.5+5534.5+5248.5+1364+305+140+147+994+250+240+70+55</f>
        <v>2163481</v>
      </c>
      <c r="AE126" s="550">
        <f>118954+67997+33243+12973+11521+6623+2561+922+800+239+45+20+21+199+36+34+14+11</f>
        <v>256213</v>
      </c>
      <c r="AF126" s="309">
        <f t="shared" si="45"/>
        <v>8.444071924531542</v>
      </c>
      <c r="AG126" s="629">
        <v>116</v>
      </c>
    </row>
    <row r="127" spans="1:33" s="83" customFormat="1" ht="9.75" customHeight="1">
      <c r="A127" s="323">
        <v>117</v>
      </c>
      <c r="B127" s="666"/>
      <c r="C127" s="633"/>
      <c r="D127" s="547" t="s">
        <v>38</v>
      </c>
      <c r="E127" s="653">
        <v>40648</v>
      </c>
      <c r="F127" s="537" t="s">
        <v>23</v>
      </c>
      <c r="G127" s="25">
        <v>75</v>
      </c>
      <c r="H127" s="25">
        <v>2</v>
      </c>
      <c r="I127" s="25">
        <v>17</v>
      </c>
      <c r="J127" s="538">
        <v>0</v>
      </c>
      <c r="K127" s="539">
        <v>0</v>
      </c>
      <c r="L127" s="538">
        <v>0</v>
      </c>
      <c r="M127" s="539">
        <v>0</v>
      </c>
      <c r="N127" s="538">
        <v>0</v>
      </c>
      <c r="O127" s="539">
        <v>0</v>
      </c>
      <c r="P127" s="631">
        <f t="shared" si="46"/>
        <v>0</v>
      </c>
      <c r="Q127" s="632">
        <f t="shared" si="46"/>
        <v>0</v>
      </c>
      <c r="R127" s="218">
        <f>IF(P127&lt;&gt;0,Q127/H127,"")</f>
      </c>
      <c r="S127" s="297">
        <f>IF(P127&lt;&gt;0,P127/Q127,"")</f>
      </c>
      <c r="T127" s="28"/>
      <c r="U127" s="305"/>
      <c r="V127" s="297">
        <f t="shared" si="38"/>
        <v>54</v>
      </c>
      <c r="W127" s="218">
        <f t="shared" si="39"/>
        <v>9</v>
      </c>
      <c r="X127" s="601">
        <v>54</v>
      </c>
      <c r="Y127" s="602">
        <v>9</v>
      </c>
      <c r="Z127" s="305">
        <f t="shared" si="40"/>
        <v>0</v>
      </c>
      <c r="AA127" s="305">
        <f t="shared" si="41"/>
        <v>1</v>
      </c>
      <c r="AB127" s="218">
        <f t="shared" si="42"/>
        <v>4.5</v>
      </c>
      <c r="AC127" s="297">
        <f t="shared" si="43"/>
        <v>6</v>
      </c>
      <c r="AD127" s="22">
        <v>562824</v>
      </c>
      <c r="AE127" s="550">
        <v>59800</v>
      </c>
      <c r="AF127" s="309">
        <f t="shared" si="45"/>
        <v>9.411772575250836</v>
      </c>
      <c r="AG127" s="629">
        <v>117</v>
      </c>
    </row>
    <row r="128" spans="1:33" s="83" customFormat="1" ht="12.75" customHeight="1" thickBot="1">
      <c r="A128" s="324">
        <v>118</v>
      </c>
      <c r="B128" s="677"/>
      <c r="C128" s="678"/>
      <c r="D128" s="679" t="s">
        <v>218</v>
      </c>
      <c r="E128" s="680">
        <v>40690</v>
      </c>
      <c r="F128" s="681" t="s">
        <v>29</v>
      </c>
      <c r="G128" s="618">
        <v>50</v>
      </c>
      <c r="H128" s="618">
        <v>1</v>
      </c>
      <c r="I128" s="618">
        <v>11</v>
      </c>
      <c r="J128" s="682">
        <v>0</v>
      </c>
      <c r="K128" s="683">
        <v>0</v>
      </c>
      <c r="L128" s="682">
        <v>0</v>
      </c>
      <c r="M128" s="683">
        <v>0</v>
      </c>
      <c r="N128" s="682">
        <v>0</v>
      </c>
      <c r="O128" s="683">
        <v>0</v>
      </c>
      <c r="P128" s="684">
        <f t="shared" si="46"/>
        <v>0</v>
      </c>
      <c r="Q128" s="685">
        <f t="shared" si="46"/>
        <v>0</v>
      </c>
      <c r="R128" s="624">
        <f>IF(P128&lt;&gt;0,Q128/H128,"")</f>
      </c>
      <c r="S128" s="622">
        <f>IF(P128&lt;&gt;0,P128/Q128,"")</f>
      </c>
      <c r="T128" s="682"/>
      <c r="U128" s="623"/>
      <c r="V128" s="622">
        <f t="shared" si="38"/>
        <v>36</v>
      </c>
      <c r="W128" s="624">
        <f t="shared" si="39"/>
        <v>6</v>
      </c>
      <c r="X128" s="692">
        <v>36</v>
      </c>
      <c r="Y128" s="693">
        <v>6</v>
      </c>
      <c r="Z128" s="623">
        <f t="shared" si="40"/>
        <v>0</v>
      </c>
      <c r="AA128" s="623">
        <f t="shared" si="41"/>
        <v>1</v>
      </c>
      <c r="AB128" s="624">
        <f t="shared" si="42"/>
        <v>6</v>
      </c>
      <c r="AC128" s="622">
        <f t="shared" si="43"/>
        <v>6</v>
      </c>
      <c r="AD128" s="687">
        <f>158493+654+221+564+90+36</f>
        <v>160058</v>
      </c>
      <c r="AE128" s="686">
        <f>17460+97+38+91+15+6</f>
        <v>17707</v>
      </c>
      <c r="AF128" s="621">
        <f t="shared" si="45"/>
        <v>9.03925001411871</v>
      </c>
      <c r="AG128" s="629">
        <v>118</v>
      </c>
    </row>
    <row r="129" spans="1:32" s="83" customFormat="1" ht="15.75" thickBot="1">
      <c r="A129" s="113"/>
      <c r="B129" s="114"/>
      <c r="E129" s="115"/>
      <c r="G129" s="114"/>
      <c r="H129" s="114"/>
      <c r="I129" s="114"/>
      <c r="J129" s="116"/>
      <c r="K129" s="117"/>
      <c r="L129" s="116"/>
      <c r="M129" s="117"/>
      <c r="N129" s="116"/>
      <c r="O129" s="117"/>
      <c r="P129" s="118"/>
      <c r="Q129" s="119"/>
      <c r="R129" s="117"/>
      <c r="S129" s="116"/>
      <c r="T129" s="116"/>
      <c r="U129" s="121"/>
      <c r="V129" s="290"/>
      <c r="W129" s="123"/>
      <c r="X129" s="292"/>
      <c r="Y129" s="280"/>
      <c r="Z129" s="307"/>
      <c r="AA129" s="307"/>
      <c r="AB129" s="123"/>
      <c r="AC129" s="290"/>
      <c r="AD129" s="116"/>
      <c r="AE129" s="125"/>
      <c r="AF129" s="116"/>
    </row>
    <row r="130" spans="1:33" s="126" customFormat="1" ht="12.75">
      <c r="A130" s="755" t="s">
        <v>86</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6"/>
      <c r="X130" s="756"/>
      <c r="Y130" s="756"/>
      <c r="Z130" s="756"/>
      <c r="AA130" s="756"/>
      <c r="AB130" s="756"/>
      <c r="AC130" s="756"/>
      <c r="AD130" s="756"/>
      <c r="AE130" s="756"/>
      <c r="AF130" s="756"/>
      <c r="AG130" s="757"/>
    </row>
    <row r="131" spans="1:33" s="126" customFormat="1" ht="12.7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59"/>
      <c r="X131" s="759"/>
      <c r="Y131" s="759"/>
      <c r="Z131" s="759"/>
      <c r="AA131" s="759"/>
      <c r="AB131" s="759"/>
      <c r="AC131" s="759"/>
      <c r="AD131" s="759"/>
      <c r="AE131" s="759"/>
      <c r="AF131" s="759"/>
      <c r="AG131" s="760"/>
    </row>
    <row r="132" spans="1:33" s="126" customFormat="1" ht="12.75">
      <c r="A132" s="758"/>
      <c r="B132" s="759"/>
      <c r="C132" s="759"/>
      <c r="D132" s="759"/>
      <c r="E132" s="759"/>
      <c r="F132" s="759"/>
      <c r="G132" s="759"/>
      <c r="H132" s="759"/>
      <c r="I132" s="759"/>
      <c r="J132" s="759"/>
      <c r="K132" s="759"/>
      <c r="L132" s="759"/>
      <c r="M132" s="759"/>
      <c r="N132" s="759"/>
      <c r="O132" s="759"/>
      <c r="P132" s="759"/>
      <c r="Q132" s="759"/>
      <c r="R132" s="759"/>
      <c r="S132" s="759"/>
      <c r="T132" s="759"/>
      <c r="U132" s="759"/>
      <c r="V132" s="759"/>
      <c r="W132" s="759"/>
      <c r="X132" s="759"/>
      <c r="Y132" s="759"/>
      <c r="Z132" s="759"/>
      <c r="AA132" s="759"/>
      <c r="AB132" s="759"/>
      <c r="AC132" s="759"/>
      <c r="AD132" s="759"/>
      <c r="AE132" s="759"/>
      <c r="AF132" s="759"/>
      <c r="AG132" s="760"/>
    </row>
    <row r="133" spans="1:33" s="126" customFormat="1" ht="12.75">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59"/>
      <c r="W133" s="759"/>
      <c r="X133" s="759"/>
      <c r="Y133" s="759"/>
      <c r="Z133" s="759"/>
      <c r="AA133" s="759"/>
      <c r="AB133" s="759"/>
      <c r="AC133" s="759"/>
      <c r="AD133" s="759"/>
      <c r="AE133" s="759"/>
      <c r="AF133" s="759"/>
      <c r="AG133" s="760"/>
    </row>
    <row r="134" spans="1:33" s="126" customFormat="1" ht="12.75">
      <c r="A134" s="758"/>
      <c r="B134" s="759"/>
      <c r="C134" s="759"/>
      <c r="D134" s="759"/>
      <c r="E134" s="759"/>
      <c r="F134" s="759"/>
      <c r="G134" s="759"/>
      <c r="H134" s="759"/>
      <c r="I134" s="759"/>
      <c r="J134" s="759"/>
      <c r="K134" s="759"/>
      <c r="L134" s="759"/>
      <c r="M134" s="759"/>
      <c r="N134" s="759"/>
      <c r="O134" s="759"/>
      <c r="P134" s="759"/>
      <c r="Q134" s="759"/>
      <c r="R134" s="759"/>
      <c r="S134" s="759"/>
      <c r="T134" s="759"/>
      <c r="U134" s="759"/>
      <c r="V134" s="759"/>
      <c r="W134" s="759"/>
      <c r="X134" s="759"/>
      <c r="Y134" s="759"/>
      <c r="Z134" s="759"/>
      <c r="AA134" s="759"/>
      <c r="AB134" s="759"/>
      <c r="AC134" s="759"/>
      <c r="AD134" s="759"/>
      <c r="AE134" s="759"/>
      <c r="AF134" s="759"/>
      <c r="AG134" s="760"/>
    </row>
    <row r="135" spans="1:33" s="126" customFormat="1" ht="13.5" thickBot="1">
      <c r="A135" s="761"/>
      <c r="B135" s="762"/>
      <c r="C135" s="762"/>
      <c r="D135" s="762"/>
      <c r="E135" s="762"/>
      <c r="F135" s="762"/>
      <c r="G135" s="762"/>
      <c r="H135" s="762"/>
      <c r="I135" s="762"/>
      <c r="J135" s="762"/>
      <c r="K135" s="762"/>
      <c r="L135" s="762"/>
      <c r="M135" s="762"/>
      <c r="N135" s="762"/>
      <c r="O135" s="762"/>
      <c r="P135" s="762"/>
      <c r="Q135" s="762"/>
      <c r="R135" s="762"/>
      <c r="S135" s="762"/>
      <c r="T135" s="762"/>
      <c r="U135" s="762"/>
      <c r="V135" s="762"/>
      <c r="W135" s="762"/>
      <c r="X135" s="762"/>
      <c r="Y135" s="762"/>
      <c r="Z135" s="762"/>
      <c r="AA135" s="762"/>
      <c r="AB135" s="762"/>
      <c r="AC135" s="762"/>
      <c r="AD135" s="762"/>
      <c r="AE135" s="762"/>
      <c r="AF135" s="762"/>
      <c r="AG135" s="763"/>
    </row>
    <row r="142" ht="18">
      <c r="D142" s="295"/>
    </row>
    <row r="143" ht="18">
      <c r="D143" s="142"/>
    </row>
  </sheetData>
  <sheetProtection password="F896" sheet="1" formatCells="0" formatColumns="0" formatRows="0" insertColumns="0" insertRows="0" insertHyperlinks="0" deleteColumns="0" deleteRows="0" sort="0" autoFilter="0" pivotTables="0"/>
  <mergeCells count="37">
    <mergeCell ref="AD7:AE7"/>
    <mergeCell ref="AB7:AC7"/>
    <mergeCell ref="Z9:AA9"/>
    <mergeCell ref="X7:Y7"/>
    <mergeCell ref="Z7:AA7"/>
    <mergeCell ref="R9:S9"/>
    <mergeCell ref="T9:U9"/>
    <mergeCell ref="V7:W7"/>
    <mergeCell ref="J9:K9"/>
    <mergeCell ref="L9:M9"/>
    <mergeCell ref="N9:O9"/>
    <mergeCell ref="P9:Q9"/>
    <mergeCell ref="AB9:AC9"/>
    <mergeCell ref="AD6:AG6"/>
    <mergeCell ref="V6:W6"/>
    <mergeCell ref="X6:Y6"/>
    <mergeCell ref="Z6:AA6"/>
    <mergeCell ref="AB6:AC6"/>
    <mergeCell ref="A130:AG135"/>
    <mergeCell ref="D6:G6"/>
    <mergeCell ref="H6:I6"/>
    <mergeCell ref="J6:U6"/>
    <mergeCell ref="J7:K7"/>
    <mergeCell ref="L7:M7"/>
    <mergeCell ref="N7:O7"/>
    <mergeCell ref="P7:Q7"/>
    <mergeCell ref="R7:S7"/>
    <mergeCell ref="T7:U7"/>
    <mergeCell ref="A5:E5"/>
    <mergeCell ref="X1:AB1"/>
    <mergeCell ref="AC1:AG1"/>
    <mergeCell ref="X4:AB4"/>
    <mergeCell ref="A1:I1"/>
    <mergeCell ref="A2:I2"/>
    <mergeCell ref="A3:I3"/>
    <mergeCell ref="A4:E4"/>
    <mergeCell ref="X5:AG5"/>
  </mergeCells>
  <hyperlinks>
    <hyperlink ref="X4" r:id="rId1" display="http://www.antraktsinema.com/boxoffice-rapor.php"/>
    <hyperlink ref="A3" r:id="rId2" display="http://www.antraktsinema.com"/>
  </hyperlinks>
  <printOptions/>
  <pageMargins left="0.3" right="0.13" top="0.18" bottom="0.21" header="0.13" footer="0.16"/>
  <pageSetup orientation="landscape" paperSize="9" scale="40" r:id="rId4"/>
  <ignoredErrors>
    <ignoredError sqref="AD12:AE109 AD110:AE127 AF110:AF115 AF125:AF127" unlockedFormula="1"/>
    <ignoredError sqref="AG14:AG104 AF14:AF36 AF37:AF104" formula="1"/>
    <ignoredError sqref="AF116:AF124" formula="1" unlockedFormula="1"/>
  </ignoredErrors>
  <drawing r:id="rId3"/>
</worksheet>
</file>

<file path=xl/worksheets/sheet2.xml><?xml version="1.0" encoding="utf-8"?>
<worksheet xmlns="http://schemas.openxmlformats.org/spreadsheetml/2006/main" xmlns:r="http://schemas.openxmlformats.org/officeDocument/2006/relationships">
  <dimension ref="A1:K210"/>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4.421875" style="127" bestFit="1" customWidth="1"/>
    <col min="2" max="2" width="43.28125" style="130" bestFit="1" customWidth="1"/>
    <col min="3" max="3" width="9.28125" style="131" bestFit="1" customWidth="1"/>
    <col min="4" max="4" width="19.7109375" style="131" bestFit="1" customWidth="1"/>
    <col min="5" max="5" width="5.8515625" style="131" bestFit="1" customWidth="1"/>
    <col min="6" max="6" width="8.140625" style="133" bestFit="1" customWidth="1"/>
    <col min="7" max="7" width="12.28125" style="130" bestFit="1" customWidth="1"/>
    <col min="8" max="8" width="8.8515625" style="130" bestFit="1" customWidth="1"/>
    <col min="9" max="9" width="9.140625" style="130" bestFit="1" customWidth="1"/>
    <col min="10" max="10" width="4.421875" style="130" bestFit="1" customWidth="1"/>
    <col min="11" max="11" width="6.8515625" style="506" customWidth="1"/>
    <col min="12" max="15" width="6.8515625" style="130" customWidth="1"/>
    <col min="16" max="16384" width="4.421875" style="130" customWidth="1"/>
  </cols>
  <sheetData>
    <row r="1" spans="1:11" s="44" customFormat="1" ht="25.5">
      <c r="A1" s="777" t="s">
        <v>175</v>
      </c>
      <c r="B1" s="778"/>
      <c r="C1" s="778"/>
      <c r="D1" s="778"/>
      <c r="E1" s="778"/>
      <c r="F1" s="778"/>
      <c r="G1" s="779"/>
      <c r="H1" s="779"/>
      <c r="I1" s="779"/>
      <c r="J1" s="779"/>
      <c r="K1" s="500"/>
    </row>
    <row r="2" spans="1:11" s="44" customFormat="1" ht="18.75">
      <c r="A2" s="780" t="s">
        <v>176</v>
      </c>
      <c r="B2" s="781"/>
      <c r="C2" s="781"/>
      <c r="D2" s="781"/>
      <c r="E2" s="781"/>
      <c r="F2" s="781"/>
      <c r="G2" s="779"/>
      <c r="H2" s="779"/>
      <c r="I2" s="779"/>
      <c r="J2" s="779"/>
      <c r="K2" s="500"/>
    </row>
    <row r="3" spans="1:11" s="44" customFormat="1" ht="27" thickBot="1">
      <c r="A3" s="749" t="s">
        <v>135</v>
      </c>
      <c r="B3" s="750"/>
      <c r="C3" s="750"/>
      <c r="D3" s="750"/>
      <c r="E3" s="750"/>
      <c r="F3" s="750"/>
      <c r="G3" s="782"/>
      <c r="H3" s="782"/>
      <c r="I3" s="782"/>
      <c r="J3" s="782"/>
      <c r="K3" s="500"/>
    </row>
    <row r="4" spans="1:11" s="44" customFormat="1" ht="32.25">
      <c r="A4" s="773" t="s">
        <v>403</v>
      </c>
      <c r="B4" s="774"/>
      <c r="C4" s="774"/>
      <c r="D4" s="48"/>
      <c r="E4" s="48"/>
      <c r="F4" s="48"/>
      <c r="G4" s="153"/>
      <c r="H4" s="154"/>
      <c r="I4" s="153"/>
      <c r="J4" s="153"/>
      <c r="K4" s="500"/>
    </row>
    <row r="5" spans="1:11" s="44" customFormat="1" ht="33" thickBot="1">
      <c r="A5" s="775" t="s">
        <v>414</v>
      </c>
      <c r="B5" s="738"/>
      <c r="C5" s="738"/>
      <c r="D5" s="50"/>
      <c r="E5" s="50"/>
      <c r="F5" s="50"/>
      <c r="G5" s="776"/>
      <c r="H5" s="776"/>
      <c r="I5" s="776"/>
      <c r="J5" s="776"/>
      <c r="K5" s="500"/>
    </row>
    <row r="6" spans="1:11" s="53" customFormat="1" ht="15.75" customHeight="1" thickBot="1">
      <c r="A6" s="51"/>
      <c r="B6" s="783" t="s">
        <v>118</v>
      </c>
      <c r="C6" s="783"/>
      <c r="D6" s="783"/>
      <c r="E6" s="783"/>
      <c r="F6" s="52"/>
      <c r="G6" s="783" t="s">
        <v>116</v>
      </c>
      <c r="H6" s="783"/>
      <c r="I6" s="783"/>
      <c r="J6" s="783"/>
      <c r="K6" s="501"/>
    </row>
    <row r="7" spans="1:11" s="57" customFormat="1" ht="12.75" customHeight="1">
      <c r="A7" s="54"/>
      <c r="B7" s="1"/>
      <c r="C7" s="56" t="s">
        <v>87</v>
      </c>
      <c r="D7" s="1"/>
      <c r="E7" s="1" t="s">
        <v>90</v>
      </c>
      <c r="F7" s="1" t="s">
        <v>92</v>
      </c>
      <c r="G7" s="784"/>
      <c r="H7" s="784"/>
      <c r="I7" s="55" t="s">
        <v>102</v>
      </c>
      <c r="J7" s="55"/>
      <c r="K7" s="502"/>
    </row>
    <row r="8" spans="1:11" s="57" customFormat="1" ht="13.5" thickBot="1">
      <c r="A8" s="58"/>
      <c r="B8" s="60" t="s">
        <v>9</v>
      </c>
      <c r="C8" s="61" t="s">
        <v>88</v>
      </c>
      <c r="D8" s="62" t="s">
        <v>1</v>
      </c>
      <c r="E8" s="62" t="s">
        <v>89</v>
      </c>
      <c r="F8" s="62" t="s">
        <v>87</v>
      </c>
      <c r="G8" s="59" t="s">
        <v>7</v>
      </c>
      <c r="H8" s="59" t="s">
        <v>6</v>
      </c>
      <c r="I8" s="59" t="s">
        <v>103</v>
      </c>
      <c r="J8" s="59"/>
      <c r="K8" s="502"/>
    </row>
    <row r="9" spans="1:11" s="71" customFormat="1" ht="12.75" customHeight="1">
      <c r="A9" s="66"/>
      <c r="B9" s="66"/>
      <c r="C9" s="67" t="s">
        <v>94</v>
      </c>
      <c r="D9" s="66"/>
      <c r="E9" s="66" t="s">
        <v>97</v>
      </c>
      <c r="F9" s="66" t="s">
        <v>100</v>
      </c>
      <c r="G9" s="70"/>
      <c r="H9" s="70"/>
      <c r="I9" s="68" t="s">
        <v>108</v>
      </c>
      <c r="J9" s="68"/>
      <c r="K9" s="503"/>
    </row>
    <row r="10" spans="1:11" s="71" customFormat="1" ht="13.5" thickBot="1">
      <c r="A10" s="256"/>
      <c r="B10" s="254" t="s">
        <v>93</v>
      </c>
      <c r="C10" s="255" t="s">
        <v>95</v>
      </c>
      <c r="D10" s="256" t="s">
        <v>96</v>
      </c>
      <c r="E10" s="256" t="s">
        <v>98</v>
      </c>
      <c r="F10" s="256" t="s">
        <v>101</v>
      </c>
      <c r="G10" s="260" t="s">
        <v>107</v>
      </c>
      <c r="H10" s="260" t="s">
        <v>109</v>
      </c>
      <c r="I10" s="260" t="s">
        <v>109</v>
      </c>
      <c r="J10" s="72"/>
      <c r="K10" s="503"/>
    </row>
    <row r="11" spans="1:11" s="83" customFormat="1" ht="12" customHeight="1">
      <c r="A11" s="530">
        <v>1</v>
      </c>
      <c r="B11" s="565" t="s">
        <v>24</v>
      </c>
      <c r="C11" s="250">
        <v>40550</v>
      </c>
      <c r="D11" s="531" t="s">
        <v>23</v>
      </c>
      <c r="E11" s="555">
        <v>356</v>
      </c>
      <c r="F11" s="555">
        <v>31</v>
      </c>
      <c r="G11" s="614">
        <v>36644880</v>
      </c>
      <c r="H11" s="615">
        <v>3952651</v>
      </c>
      <c r="I11" s="589">
        <f aca="true" t="shared" si="0" ref="I11:I17">+G11/H11</f>
        <v>9.270962703259155</v>
      </c>
      <c r="J11" s="82">
        <v>1</v>
      </c>
      <c r="K11" s="504"/>
    </row>
    <row r="12" spans="1:11" s="83" customFormat="1" ht="12" customHeight="1">
      <c r="A12" s="84">
        <v>2</v>
      </c>
      <c r="B12" s="560" t="s">
        <v>22</v>
      </c>
      <c r="C12" s="100">
        <v>40578</v>
      </c>
      <c r="D12" s="537" t="s">
        <v>23</v>
      </c>
      <c r="E12" s="25">
        <v>224</v>
      </c>
      <c r="F12" s="25">
        <v>27</v>
      </c>
      <c r="G12" s="314">
        <v>21881639</v>
      </c>
      <c r="H12" s="311">
        <v>2410719</v>
      </c>
      <c r="I12" s="298">
        <f t="shared" si="0"/>
        <v>9.076810279422862</v>
      </c>
      <c r="J12" s="90">
        <v>2</v>
      </c>
      <c r="K12" s="504">
        <v>1</v>
      </c>
    </row>
    <row r="13" spans="1:11" s="83" customFormat="1" ht="12" customHeight="1">
      <c r="A13" s="84">
        <v>3</v>
      </c>
      <c r="B13" s="559" t="s">
        <v>381</v>
      </c>
      <c r="C13" s="100">
        <v>40571</v>
      </c>
      <c r="D13" s="541" t="s">
        <v>29</v>
      </c>
      <c r="E13" s="25">
        <v>364</v>
      </c>
      <c r="F13" s="25">
        <v>18</v>
      </c>
      <c r="G13" s="610">
        <f>9270289+4217769.25+1762200.5+76.25+863944.5+635392-7+421743.5+30+17848+42283+4475+2710+9188.5+236+9382+7318+3597+3597+3597+3048+6645</f>
        <v>17285362.5</v>
      </c>
      <c r="H13" s="311">
        <f>1060415+493112+207846+16+104665+81570-1+60457+6+2952+6890+337+594+1519+29+1560+1216+600+600+600+508+1107</f>
        <v>2026598</v>
      </c>
      <c r="I13" s="309">
        <f t="shared" si="0"/>
        <v>8.529250744350877</v>
      </c>
      <c r="J13" s="90">
        <v>3</v>
      </c>
      <c r="K13" s="504">
        <v>1</v>
      </c>
    </row>
    <row r="14" spans="1:11" s="83" customFormat="1" ht="12" customHeight="1">
      <c r="A14" s="84">
        <v>4</v>
      </c>
      <c r="B14" s="560" t="s">
        <v>67</v>
      </c>
      <c r="C14" s="100">
        <v>40682</v>
      </c>
      <c r="D14" s="537" t="s">
        <v>23</v>
      </c>
      <c r="E14" s="25">
        <v>115</v>
      </c>
      <c r="F14" s="25">
        <v>13</v>
      </c>
      <c r="G14" s="314">
        <v>13086987</v>
      </c>
      <c r="H14" s="311">
        <v>1161618</v>
      </c>
      <c r="I14" s="309">
        <f t="shared" si="0"/>
        <v>11.266170978755495</v>
      </c>
      <c r="J14" s="82">
        <v>4</v>
      </c>
      <c r="K14" s="504"/>
    </row>
    <row r="15" spans="1:11" s="83" customFormat="1" ht="12" customHeight="1">
      <c r="A15" s="84">
        <v>5</v>
      </c>
      <c r="B15" s="182" t="s">
        <v>15</v>
      </c>
      <c r="C15" s="2">
        <v>40599</v>
      </c>
      <c r="D15" s="537" t="s">
        <v>10</v>
      </c>
      <c r="E15" s="25">
        <v>246</v>
      </c>
      <c r="F15" s="25">
        <v>19</v>
      </c>
      <c r="G15" s="312">
        <v>7536675</v>
      </c>
      <c r="H15" s="313">
        <v>844470</v>
      </c>
      <c r="I15" s="298">
        <f t="shared" si="0"/>
        <v>8.924739777611993</v>
      </c>
      <c r="J15" s="90">
        <v>5</v>
      </c>
      <c r="K15" s="504">
        <v>1</v>
      </c>
    </row>
    <row r="16" spans="1:11" s="83" customFormat="1" ht="12" customHeight="1">
      <c r="A16" s="84">
        <v>6</v>
      </c>
      <c r="B16" s="566" t="s">
        <v>385</v>
      </c>
      <c r="C16" s="523">
        <v>40739</v>
      </c>
      <c r="D16" s="537" t="s">
        <v>10</v>
      </c>
      <c r="E16" s="16">
        <v>277</v>
      </c>
      <c r="F16" s="16">
        <v>4</v>
      </c>
      <c r="G16" s="312">
        <v>7331807</v>
      </c>
      <c r="H16" s="313">
        <v>723527</v>
      </c>
      <c r="I16" s="309">
        <f t="shared" si="0"/>
        <v>10.133425566703108</v>
      </c>
      <c r="J16" s="90">
        <v>6</v>
      </c>
      <c r="K16" s="504"/>
    </row>
    <row r="17" spans="1:11" s="83" customFormat="1" ht="12" customHeight="1">
      <c r="A17" s="84">
        <v>7</v>
      </c>
      <c r="B17" s="559" t="s">
        <v>179</v>
      </c>
      <c r="C17" s="100">
        <v>40550</v>
      </c>
      <c r="D17" s="541" t="s">
        <v>29</v>
      </c>
      <c r="E17" s="25">
        <v>243</v>
      </c>
      <c r="F17" s="25">
        <v>17</v>
      </c>
      <c r="G17" s="314">
        <f>3050831.5+2178855.5+1196710.5+496983-200+210922.5+72277.5+4+43197.5+17348.5+5963-21+911+2090+3211+288+13851+660+6810+66</f>
        <v>7300759.5</v>
      </c>
      <c r="H17" s="311">
        <f>393137+282255+156413+64920+60+27548+10641+7089+3227+1196+161+455+643+72+2547+132+1127+11</f>
        <v>951634</v>
      </c>
      <c r="I17" s="309">
        <f t="shared" si="0"/>
        <v>7.671814479095955</v>
      </c>
      <c r="J17" s="82">
        <v>7</v>
      </c>
      <c r="K17" s="504"/>
    </row>
    <row r="18" spans="1:11" s="83" customFormat="1" ht="12" customHeight="1">
      <c r="A18" s="84">
        <v>8</v>
      </c>
      <c r="B18" s="566" t="s">
        <v>261</v>
      </c>
      <c r="C18" s="100">
        <v>40723</v>
      </c>
      <c r="D18" s="537" t="s">
        <v>23</v>
      </c>
      <c r="E18" s="25">
        <v>323</v>
      </c>
      <c r="F18" s="25">
        <v>6</v>
      </c>
      <c r="G18" s="314">
        <v>6598898</v>
      </c>
      <c r="H18" s="311">
        <v>609304</v>
      </c>
      <c r="I18" s="298">
        <f>G18/H18</f>
        <v>10.830222680304084</v>
      </c>
      <c r="J18" s="90">
        <v>8</v>
      </c>
      <c r="K18" s="504"/>
    </row>
    <row r="19" spans="1:11" s="83" customFormat="1" ht="12" customHeight="1">
      <c r="A19" s="84">
        <v>9</v>
      </c>
      <c r="B19" s="560" t="s">
        <v>49</v>
      </c>
      <c r="C19" s="100">
        <v>40613</v>
      </c>
      <c r="D19" s="537" t="s">
        <v>10</v>
      </c>
      <c r="E19" s="540">
        <v>280</v>
      </c>
      <c r="F19" s="16">
        <v>17</v>
      </c>
      <c r="G19" s="312">
        <v>6559712</v>
      </c>
      <c r="H19" s="313">
        <v>736320</v>
      </c>
      <c r="I19" s="298">
        <f>G19/H19</f>
        <v>8.90877879182964</v>
      </c>
      <c r="J19" s="82">
        <v>9</v>
      </c>
      <c r="K19" s="504"/>
    </row>
    <row r="20" spans="1:11" s="83" customFormat="1" ht="12" customHeight="1">
      <c r="A20" s="84">
        <v>10</v>
      </c>
      <c r="B20" s="560" t="s">
        <v>53</v>
      </c>
      <c r="C20" s="100">
        <v>40662</v>
      </c>
      <c r="D20" s="537" t="s">
        <v>23</v>
      </c>
      <c r="E20" s="25">
        <v>172</v>
      </c>
      <c r="F20" s="25">
        <v>15</v>
      </c>
      <c r="G20" s="314">
        <v>6029167</v>
      </c>
      <c r="H20" s="311">
        <v>664185</v>
      </c>
      <c r="I20" s="298">
        <f>G20/H20</f>
        <v>9.077541648787612</v>
      </c>
      <c r="J20" s="90">
        <v>10</v>
      </c>
      <c r="K20" s="504"/>
    </row>
    <row r="21" spans="1:11" s="83" customFormat="1" ht="12" customHeight="1">
      <c r="A21" s="84">
        <v>11</v>
      </c>
      <c r="B21" s="567" t="s">
        <v>25</v>
      </c>
      <c r="C21" s="100">
        <v>40627</v>
      </c>
      <c r="D21" s="537" t="s">
        <v>32</v>
      </c>
      <c r="E21" s="543">
        <v>137</v>
      </c>
      <c r="F21" s="543">
        <v>19</v>
      </c>
      <c r="G21" s="611">
        <f>1066061.5+1061275+813239.75+606216+468367.5+266511+137274.5+89937.5+9478+4671.5+2215.5+593.5+2273.5+2234+1858+10514.5+2603+2122+2001</f>
        <v>4549447.25</v>
      </c>
      <c r="H21" s="612">
        <f>110278+106719+82858+62672+50883+32012+17904+13463+1427+637+352+91+261+268+240+2410+402+325+272</f>
        <v>483474</v>
      </c>
      <c r="I21" s="298">
        <f>G21/H21</f>
        <v>9.409910874214539</v>
      </c>
      <c r="J21" s="90">
        <v>11</v>
      </c>
      <c r="K21" s="504"/>
    </row>
    <row r="22" spans="1:11" s="83" customFormat="1" ht="12" customHeight="1">
      <c r="A22" s="84">
        <v>12</v>
      </c>
      <c r="B22" s="182" t="s">
        <v>412</v>
      </c>
      <c r="C22" s="2">
        <v>40760</v>
      </c>
      <c r="D22" s="537" t="s">
        <v>10</v>
      </c>
      <c r="E22" s="25">
        <v>184</v>
      </c>
      <c r="F22" s="16">
        <v>1</v>
      </c>
      <c r="G22" s="312">
        <v>4253612</v>
      </c>
      <c r="H22" s="313">
        <v>396620</v>
      </c>
      <c r="I22" s="298">
        <f>+G22/H22</f>
        <v>10.724653320558721</v>
      </c>
      <c r="J22" s="82">
        <v>12</v>
      </c>
      <c r="K22" s="504"/>
    </row>
    <row r="23" spans="1:11" s="83" customFormat="1" ht="12" customHeight="1">
      <c r="A23" s="84">
        <v>13</v>
      </c>
      <c r="B23" s="249" t="s">
        <v>12</v>
      </c>
      <c r="C23" s="100">
        <v>40564</v>
      </c>
      <c r="D23" s="101" t="s">
        <v>10</v>
      </c>
      <c r="E23" s="106">
        <v>109</v>
      </c>
      <c r="F23" s="4">
        <v>20</v>
      </c>
      <c r="G23" s="39">
        <f>3982498+1190</f>
        <v>3983688</v>
      </c>
      <c r="H23" s="40">
        <f>404938+238</f>
        <v>405176</v>
      </c>
      <c r="I23" s="92">
        <f>G23/H23</f>
        <v>9.831993997670148</v>
      </c>
      <c r="J23" s="90">
        <v>13</v>
      </c>
      <c r="K23" s="504"/>
    </row>
    <row r="24" spans="1:11" s="83" customFormat="1" ht="12" customHeight="1">
      <c r="A24" s="84">
        <v>14</v>
      </c>
      <c r="B24" s="560" t="s">
        <v>401</v>
      </c>
      <c r="C24" s="100">
        <v>40662</v>
      </c>
      <c r="D24" s="537" t="s">
        <v>23</v>
      </c>
      <c r="E24" s="25">
        <v>241</v>
      </c>
      <c r="F24" s="25">
        <v>14</v>
      </c>
      <c r="G24" s="314">
        <v>3640745</v>
      </c>
      <c r="H24" s="311">
        <v>319460</v>
      </c>
      <c r="I24" s="298">
        <f>+G24/H24</f>
        <v>11.396559819695737</v>
      </c>
      <c r="J24" s="82">
        <v>14</v>
      </c>
      <c r="K24" s="504"/>
    </row>
    <row r="25" spans="1:11" s="83" customFormat="1" ht="12" customHeight="1">
      <c r="A25" s="84">
        <v>15</v>
      </c>
      <c r="B25" s="568" t="s">
        <v>232</v>
      </c>
      <c r="C25" s="100">
        <v>40704</v>
      </c>
      <c r="D25" s="537" t="s">
        <v>23</v>
      </c>
      <c r="E25" s="25">
        <v>144</v>
      </c>
      <c r="F25" s="25">
        <v>9</v>
      </c>
      <c r="G25" s="314">
        <v>3632808</v>
      </c>
      <c r="H25" s="311">
        <v>327586</v>
      </c>
      <c r="I25" s="309">
        <f>+G25/H25</f>
        <v>11.089631425030374</v>
      </c>
      <c r="J25" s="90">
        <v>15</v>
      </c>
      <c r="K25" s="504"/>
    </row>
    <row r="26" spans="1:11" s="83" customFormat="1" ht="12" customHeight="1">
      <c r="A26" s="84">
        <v>16</v>
      </c>
      <c r="B26" s="499" t="s">
        <v>31</v>
      </c>
      <c r="C26" s="26">
        <v>40641</v>
      </c>
      <c r="D26" s="537" t="s">
        <v>32</v>
      </c>
      <c r="E26" s="25">
        <v>137</v>
      </c>
      <c r="F26" s="25">
        <v>18</v>
      </c>
      <c r="G26" s="611">
        <f>1093950.25+883807.25+882248.49+232093.5+101981.5+57830.5+19947.5+33359.5+10973.5+10465+4630+3501.5+10659+9758.5+3633+5790+6145.5+1329.5</f>
        <v>3372103.99</v>
      </c>
      <c r="H26" s="612">
        <f>103570+88345+90215+25333+13427+8958+3731+5336+2366+2057+997+691+1831+2140+654+1021+736+207</f>
        <v>351615</v>
      </c>
      <c r="I26" s="298">
        <f>+G26/H26</f>
        <v>9.590330304452314</v>
      </c>
      <c r="J26" s="90">
        <v>16</v>
      </c>
      <c r="K26" s="504"/>
    </row>
    <row r="27" spans="1:11" s="83" customFormat="1" ht="12" customHeight="1">
      <c r="A27" s="84">
        <v>17</v>
      </c>
      <c r="B27" s="566" t="s">
        <v>255</v>
      </c>
      <c r="C27" s="171">
        <v>40697</v>
      </c>
      <c r="D27" s="537" t="s">
        <v>10</v>
      </c>
      <c r="E27" s="16">
        <v>101</v>
      </c>
      <c r="F27" s="16">
        <v>9</v>
      </c>
      <c r="G27" s="312">
        <v>3326823</v>
      </c>
      <c r="H27" s="313">
        <v>312867</v>
      </c>
      <c r="I27" s="298">
        <f>G27/H27</f>
        <v>10.633345798694014</v>
      </c>
      <c r="J27" s="82">
        <v>17</v>
      </c>
      <c r="K27" s="504"/>
    </row>
    <row r="28" spans="1:11" s="83" customFormat="1" ht="12" customHeight="1">
      <c r="A28" s="84">
        <v>18</v>
      </c>
      <c r="B28" s="158" t="s">
        <v>180</v>
      </c>
      <c r="C28" s="26">
        <v>40905</v>
      </c>
      <c r="D28" s="222" t="s">
        <v>23</v>
      </c>
      <c r="E28" s="27">
        <v>200</v>
      </c>
      <c r="F28" s="27">
        <v>12</v>
      </c>
      <c r="G28" s="37">
        <v>2981369</v>
      </c>
      <c r="H28" s="38">
        <v>243539</v>
      </c>
      <c r="I28" s="213">
        <f>+G28/H28</f>
        <v>12.241854487371633</v>
      </c>
      <c r="J28" s="90">
        <v>18</v>
      </c>
      <c r="K28" s="504"/>
    </row>
    <row r="29" spans="1:11" s="83" customFormat="1" ht="12" customHeight="1">
      <c r="A29" s="84">
        <v>19</v>
      </c>
      <c r="B29" s="570" t="s">
        <v>181</v>
      </c>
      <c r="C29" s="515">
        <v>40578</v>
      </c>
      <c r="D29" s="514" t="s">
        <v>21</v>
      </c>
      <c r="E29" s="516">
        <v>79</v>
      </c>
      <c r="F29" s="516">
        <v>10</v>
      </c>
      <c r="G29" s="41">
        <v>2674923.5</v>
      </c>
      <c r="H29" s="261">
        <v>221196</v>
      </c>
      <c r="I29" s="188">
        <v>12.093001229678656</v>
      </c>
      <c r="J29" s="82">
        <v>19</v>
      </c>
      <c r="K29" s="504">
        <v>1</v>
      </c>
    </row>
    <row r="30" spans="1:11" s="83" customFormat="1" ht="12" customHeight="1">
      <c r="A30" s="84">
        <v>20</v>
      </c>
      <c r="B30" s="182" t="s">
        <v>20</v>
      </c>
      <c r="C30" s="2">
        <v>40620</v>
      </c>
      <c r="D30" s="537" t="s">
        <v>21</v>
      </c>
      <c r="E30" s="16">
        <v>218</v>
      </c>
      <c r="F30" s="16">
        <v>21</v>
      </c>
      <c r="G30" s="582">
        <f>868723.5+629960.75+471670+272432+164061+97109.5+34971.5+29195+10591.5+4973+1214+25859.5+8228+5222+126+1321+161+8414+5940+170+7722</f>
        <v>2648065.25</v>
      </c>
      <c r="H30" s="311">
        <f>93361+70981+54177+33865+22657+14644+6278+5343+1965+923+199+3609+1160+736+18+257+23+1598+1188+23+1386</f>
        <v>314391</v>
      </c>
      <c r="I30" s="309">
        <f>+G30/H30</f>
        <v>8.42284050752089</v>
      </c>
      <c r="J30" s="90">
        <v>20</v>
      </c>
      <c r="K30" s="504"/>
    </row>
    <row r="31" spans="1:11" s="83" customFormat="1" ht="12" customHeight="1">
      <c r="A31" s="84">
        <v>21</v>
      </c>
      <c r="B31" s="185" t="s">
        <v>182</v>
      </c>
      <c r="C31" s="2">
        <v>40557</v>
      </c>
      <c r="D31" s="15" t="s">
        <v>8</v>
      </c>
      <c r="E31" s="4">
        <v>66</v>
      </c>
      <c r="F31" s="4">
        <v>13</v>
      </c>
      <c r="G31" s="10">
        <v>2599014</v>
      </c>
      <c r="H31" s="11">
        <v>251543</v>
      </c>
      <c r="I31" s="267">
        <f>+G31/H31</f>
        <v>10.332285136139745</v>
      </c>
      <c r="J31" s="90">
        <v>21</v>
      </c>
      <c r="K31" s="504"/>
    </row>
    <row r="32" spans="1:11" s="83" customFormat="1" ht="12" customHeight="1">
      <c r="A32" s="84">
        <v>22</v>
      </c>
      <c r="B32" s="571" t="s">
        <v>16</v>
      </c>
      <c r="C32" s="171">
        <v>40599</v>
      </c>
      <c r="D32" s="101" t="s">
        <v>32</v>
      </c>
      <c r="E32" s="172">
        <v>58</v>
      </c>
      <c r="F32" s="172">
        <v>16</v>
      </c>
      <c r="G32" s="12">
        <f>949627.55+646695.25+355755.95+109363.25+47014.5+33893+37764+26018+18120.5+5385+3265+2580+4844+2732.5+917+1899+1425.5</f>
        <v>2247300</v>
      </c>
      <c r="H32" s="9">
        <f>77399+54036+29350+9290+5968+4492+5157+3726+2500+804+552+417+1095+683+110+228+357</f>
        <v>196164</v>
      </c>
      <c r="I32" s="89">
        <f>+G32/H32</f>
        <v>11.45623050100936</v>
      </c>
      <c r="J32" s="82">
        <v>22</v>
      </c>
      <c r="K32" s="504">
        <v>1</v>
      </c>
    </row>
    <row r="33" spans="1:11" s="83" customFormat="1" ht="12" customHeight="1">
      <c r="A33" s="84">
        <v>23</v>
      </c>
      <c r="B33" s="182" t="s">
        <v>26</v>
      </c>
      <c r="C33" s="2">
        <v>40606</v>
      </c>
      <c r="D33" s="537" t="s">
        <v>21</v>
      </c>
      <c r="E33" s="16">
        <v>152</v>
      </c>
      <c r="F33" s="16">
        <v>18</v>
      </c>
      <c r="G33" s="582">
        <f>1064857.25+602581.25+269086.5+86552+70688+40243.5+15124.5+5534.5+5248.5+1364+305+140+147+994+250+240+70+55</f>
        <v>2163481</v>
      </c>
      <c r="H33" s="311">
        <f>118954+67997+33243+12973+11521+6623+2561+922+800+239+45+20+21+199+36+34+14+11</f>
        <v>256213</v>
      </c>
      <c r="I33" s="309">
        <f>+G33/H33</f>
        <v>8.444071924531542</v>
      </c>
      <c r="J33" s="90">
        <v>23</v>
      </c>
      <c r="K33" s="504"/>
    </row>
    <row r="34" spans="1:11" s="83" customFormat="1" ht="12" customHeight="1">
      <c r="A34" s="84">
        <v>24</v>
      </c>
      <c r="B34" s="499" t="s">
        <v>222</v>
      </c>
      <c r="C34" s="26">
        <v>40697</v>
      </c>
      <c r="D34" s="537" t="s">
        <v>32</v>
      </c>
      <c r="E34" s="25">
        <v>111</v>
      </c>
      <c r="F34" s="25">
        <v>10</v>
      </c>
      <c r="G34" s="611">
        <f>1292+812789+521835.5+296398.75+210726.75+106359.5+46956.5+15908+8715+4517.5+1879</f>
        <v>2027377.5</v>
      </c>
      <c r="H34" s="612">
        <f>124+79271+51753+30277+22107+12041+6459+2442+1421+653+309</f>
        <v>206857</v>
      </c>
      <c r="I34" s="309">
        <f>+G34/H34</f>
        <v>9.80086484866357</v>
      </c>
      <c r="J34" s="82">
        <v>24</v>
      </c>
      <c r="K34" s="504"/>
    </row>
    <row r="35" spans="1:11" s="83" customFormat="1" ht="12" customHeight="1">
      <c r="A35" s="84">
        <v>25</v>
      </c>
      <c r="B35" s="560" t="s">
        <v>237</v>
      </c>
      <c r="C35" s="394">
        <v>40711</v>
      </c>
      <c r="D35" s="537" t="s">
        <v>23</v>
      </c>
      <c r="E35" s="25">
        <v>151</v>
      </c>
      <c r="F35" s="25">
        <v>8</v>
      </c>
      <c r="G35" s="314">
        <v>1942737</v>
      </c>
      <c r="H35" s="311">
        <v>216896</v>
      </c>
      <c r="I35" s="298">
        <f>G35/H35</f>
        <v>8.95699782384184</v>
      </c>
      <c r="J35" s="90">
        <v>25</v>
      </c>
      <c r="K35" s="504"/>
    </row>
    <row r="36" spans="1:11" s="83" customFormat="1" ht="12" customHeight="1">
      <c r="A36" s="84">
        <v>26</v>
      </c>
      <c r="B36" s="191" t="s">
        <v>134</v>
      </c>
      <c r="C36" s="26">
        <v>40592</v>
      </c>
      <c r="D36" s="537" t="s">
        <v>23</v>
      </c>
      <c r="E36" s="25">
        <v>27</v>
      </c>
      <c r="F36" s="25">
        <v>25</v>
      </c>
      <c r="G36" s="314">
        <v>1910628</v>
      </c>
      <c r="H36" s="311">
        <v>154398</v>
      </c>
      <c r="I36" s="309">
        <f>+G36/H36</f>
        <v>12.374693972719854</v>
      </c>
      <c r="J36" s="90">
        <v>26</v>
      </c>
      <c r="K36" s="504"/>
    </row>
    <row r="37" spans="1:11" s="83" customFormat="1" ht="12" customHeight="1">
      <c r="A37" s="84">
        <v>27</v>
      </c>
      <c r="B37" s="567" t="s">
        <v>33</v>
      </c>
      <c r="C37" s="171">
        <v>40641</v>
      </c>
      <c r="D37" s="537" t="s">
        <v>32</v>
      </c>
      <c r="E37" s="543">
        <v>128</v>
      </c>
      <c r="F37" s="543">
        <v>15</v>
      </c>
      <c r="G37" s="611">
        <f>740297.75+546709.5+343470.5+98979.5+54338.5+38190+7487.5+1828+3682+2538+1902+1842+1707+2347+1130</f>
        <v>1846449.25</v>
      </c>
      <c r="H37" s="612">
        <f>69545+52953+34357+10790+6857+5964+1318+450+785+380+463+294+268+587+226</f>
        <v>185237</v>
      </c>
      <c r="I37" s="298">
        <f>+G37/H37</f>
        <v>9.968036893277262</v>
      </c>
      <c r="J37" s="82">
        <v>27</v>
      </c>
      <c r="K37" s="504"/>
    </row>
    <row r="38" spans="1:11" s="83" customFormat="1" ht="12" customHeight="1">
      <c r="A38" s="84">
        <v>28</v>
      </c>
      <c r="B38" s="569" t="s">
        <v>13</v>
      </c>
      <c r="C38" s="100">
        <v>40585</v>
      </c>
      <c r="D38" s="537" t="s">
        <v>32</v>
      </c>
      <c r="E38" s="25">
        <v>58</v>
      </c>
      <c r="F38" s="25">
        <v>26</v>
      </c>
      <c r="G38" s="611">
        <f>236018+209847.25+105622+138051.5+64189.5+34454+20202.5+27754+16946+8179.5+9672.5+8494+21812+25095+12109+8066+3824+4092+15394+226700+172575.5+127465+93972+96529+77366.5+63475.5</f>
        <v>1827906.25</v>
      </c>
      <c r="H38" s="612">
        <f>25731+24506+13184+19079+9581+4996+3067+4392+3122+1175+1530+1410+3175+3587+1436+923+420+447+1629+25969+20073+15455+11876+13635+10490+9269</f>
        <v>230157</v>
      </c>
      <c r="I38" s="309">
        <f>+G38/H38</f>
        <v>7.9419972019100005</v>
      </c>
      <c r="J38" s="90">
        <v>28</v>
      </c>
      <c r="K38" s="504">
        <v>1</v>
      </c>
    </row>
    <row r="39" spans="1:11" s="83" customFormat="1" ht="12" customHeight="1">
      <c r="A39" s="84">
        <v>29</v>
      </c>
      <c r="B39" s="191" t="s">
        <v>35</v>
      </c>
      <c r="C39" s="26">
        <v>40648</v>
      </c>
      <c r="D39" s="537" t="s">
        <v>23</v>
      </c>
      <c r="E39" s="25">
        <v>65</v>
      </c>
      <c r="F39" s="25">
        <v>17</v>
      </c>
      <c r="G39" s="314">
        <v>1753113</v>
      </c>
      <c r="H39" s="311">
        <v>184994</v>
      </c>
      <c r="I39" s="309">
        <f>+G39/H39</f>
        <v>9.476593835475745</v>
      </c>
      <c r="J39" s="82">
        <v>29</v>
      </c>
      <c r="K39" s="504"/>
    </row>
    <row r="40" spans="1:11" s="83" customFormat="1" ht="12" customHeight="1">
      <c r="A40" s="84">
        <v>30</v>
      </c>
      <c r="B40" s="451" t="s">
        <v>131</v>
      </c>
      <c r="C40" s="171">
        <v>40564</v>
      </c>
      <c r="D40" s="101" t="s">
        <v>32</v>
      </c>
      <c r="E40" s="172">
        <v>160</v>
      </c>
      <c r="F40" s="172">
        <v>14</v>
      </c>
      <c r="G40" s="12">
        <f>1102015+435620.5+74279.5+50432+22961.5+6480+10204+220+1188+476+80+190+87+104</f>
        <v>1704337.5</v>
      </c>
      <c r="H40" s="9">
        <f>144071+60233+10598+7830+4045+1284+2234+29+297+67+11+26+12+14</f>
        <v>230751</v>
      </c>
      <c r="I40" s="89">
        <f>+G40/H40</f>
        <v>7.386045997633813</v>
      </c>
      <c r="J40" s="90">
        <v>30</v>
      </c>
      <c r="K40" s="504"/>
    </row>
    <row r="41" spans="1:11" s="83" customFormat="1" ht="12" customHeight="1">
      <c r="A41" s="84">
        <v>31</v>
      </c>
      <c r="B41" s="249" t="s">
        <v>258</v>
      </c>
      <c r="C41" s="100">
        <v>40627</v>
      </c>
      <c r="D41" s="101" t="s">
        <v>10</v>
      </c>
      <c r="E41" s="106">
        <v>73</v>
      </c>
      <c r="F41" s="4">
        <v>11</v>
      </c>
      <c r="G41" s="39">
        <v>1684954</v>
      </c>
      <c r="H41" s="40">
        <v>154099</v>
      </c>
      <c r="I41" s="92">
        <f>G41/H41</f>
        <v>10.934230592022011</v>
      </c>
      <c r="J41" s="90">
        <v>31</v>
      </c>
      <c r="K41" s="504"/>
    </row>
    <row r="42" spans="1:11" s="83" customFormat="1" ht="12" customHeight="1">
      <c r="A42" s="84">
        <v>32</v>
      </c>
      <c r="B42" s="180" t="s">
        <v>183</v>
      </c>
      <c r="C42" s="2">
        <v>40585</v>
      </c>
      <c r="D42" s="13" t="s">
        <v>10</v>
      </c>
      <c r="E42" s="3">
        <v>89</v>
      </c>
      <c r="F42" s="3">
        <v>13</v>
      </c>
      <c r="G42" s="39">
        <v>1439120</v>
      </c>
      <c r="H42" s="40">
        <v>144531</v>
      </c>
      <c r="I42" s="181">
        <f>+G42/H42</f>
        <v>9.957171817810712</v>
      </c>
      <c r="J42" s="82">
        <v>32</v>
      </c>
      <c r="K42" s="504"/>
    </row>
    <row r="43" spans="1:11" s="83" customFormat="1" ht="12" customHeight="1">
      <c r="A43" s="84">
        <v>33</v>
      </c>
      <c r="B43" s="180" t="s">
        <v>253</v>
      </c>
      <c r="C43" s="2">
        <v>40627</v>
      </c>
      <c r="D43" s="13" t="s">
        <v>10</v>
      </c>
      <c r="E43" s="3">
        <v>126</v>
      </c>
      <c r="F43" s="3">
        <v>6</v>
      </c>
      <c r="G43" s="39">
        <v>1419139</v>
      </c>
      <c r="H43" s="40">
        <v>127317</v>
      </c>
      <c r="I43" s="268">
        <f>+G43/H43</f>
        <v>11.146500467337434</v>
      </c>
      <c r="J43" s="90">
        <v>33</v>
      </c>
      <c r="K43" s="504">
        <v>1</v>
      </c>
    </row>
    <row r="44" spans="1:11" s="83" customFormat="1" ht="12" customHeight="1">
      <c r="A44" s="84">
        <v>34</v>
      </c>
      <c r="B44" s="499" t="s">
        <v>128</v>
      </c>
      <c r="C44" s="26">
        <v>40543</v>
      </c>
      <c r="D44" s="537" t="s">
        <v>32</v>
      </c>
      <c r="E44" s="25">
        <v>99</v>
      </c>
      <c r="F44" s="25">
        <v>23</v>
      </c>
      <c r="G44" s="611">
        <f>74157.5+721285.5+410076+112730.5+28262.5+6646+19483.5+940+1245+2674.5+7128+1782+331+245+6545.5+694+1782+1782+1782+1188+306+1188+3340+316</f>
        <v>1405910.5</v>
      </c>
      <c r="H44" s="612">
        <f>7361+62279+35611+10987+4077+689+3901+125+178+502+1781+445+78+59+1496+114+446+446+446+297+61+297+668+53</f>
        <v>132397</v>
      </c>
      <c r="I44" s="298">
        <f>+G44/H44</f>
        <v>10.618899975074964</v>
      </c>
      <c r="J44" s="82">
        <v>34</v>
      </c>
      <c r="K44" s="504"/>
    </row>
    <row r="45" spans="1:11" s="83" customFormat="1" ht="12" customHeight="1">
      <c r="A45" s="84">
        <v>35</v>
      </c>
      <c r="B45" s="191" t="s">
        <v>184</v>
      </c>
      <c r="C45" s="592">
        <v>40557</v>
      </c>
      <c r="D45" s="537" t="s">
        <v>23</v>
      </c>
      <c r="E45" s="25">
        <v>129</v>
      </c>
      <c r="F45" s="25">
        <v>39</v>
      </c>
      <c r="G45" s="314">
        <v>1386825</v>
      </c>
      <c r="H45" s="311">
        <v>124473</v>
      </c>
      <c r="I45" s="298">
        <f>+G45/H45</f>
        <v>11.141572871225085</v>
      </c>
      <c r="J45" s="90">
        <v>35</v>
      </c>
      <c r="K45" s="504"/>
    </row>
    <row r="46" spans="1:11" s="83" customFormat="1" ht="12" customHeight="1">
      <c r="A46" s="84">
        <v>36</v>
      </c>
      <c r="B46" s="180" t="s">
        <v>368</v>
      </c>
      <c r="C46" s="2">
        <v>40613</v>
      </c>
      <c r="D46" s="13" t="s">
        <v>21</v>
      </c>
      <c r="E46" s="3">
        <v>89</v>
      </c>
      <c r="F46" s="3">
        <v>8</v>
      </c>
      <c r="G46" s="41">
        <f>621196.5+432703+128317.5+127575.5+6914.5+46+54+128</f>
        <v>1316935</v>
      </c>
      <c r="H46" s="38">
        <f>55015+39897+12333+11559+853+5+10+19</f>
        <v>119691</v>
      </c>
      <c r="I46" s="188">
        <f>IF(G46&lt;&gt;0,G46/H46,"")</f>
        <v>11.002790518919552</v>
      </c>
      <c r="J46" s="90">
        <v>36</v>
      </c>
      <c r="K46" s="504">
        <v>1</v>
      </c>
    </row>
    <row r="47" spans="1:11" s="83" customFormat="1" ht="12" customHeight="1">
      <c r="A47" s="84">
        <v>37</v>
      </c>
      <c r="B47" s="567" t="s">
        <v>185</v>
      </c>
      <c r="C47" s="171">
        <v>40557</v>
      </c>
      <c r="D47" s="537" t="s">
        <v>32</v>
      </c>
      <c r="E47" s="543">
        <v>50</v>
      </c>
      <c r="F47" s="543">
        <v>20</v>
      </c>
      <c r="G47" s="611">
        <f>462199.75+464711.5+220315+61757.25+29707.5+19286.5+8649+8790+1188+2323+1706+5301+3087+570+1164+1417+434+1188+504</f>
        <v>1294298.5</v>
      </c>
      <c r="H47" s="612">
        <f>36851+37511+17353+5020+3902+3186+1212+1112+297+256+244+743+557+80+151+194+70+297+85</f>
        <v>109121</v>
      </c>
      <c r="I47" s="298">
        <f aca="true" t="shared" si="1" ref="I47:I52">+G47/H47</f>
        <v>11.86113122130479</v>
      </c>
      <c r="J47" s="82">
        <v>37</v>
      </c>
      <c r="K47" s="504"/>
    </row>
    <row r="48" spans="1:11" s="83" customFormat="1" ht="12" customHeight="1">
      <c r="A48" s="84">
        <v>38</v>
      </c>
      <c r="B48" s="513" t="s">
        <v>260</v>
      </c>
      <c r="C48" s="100">
        <v>40606</v>
      </c>
      <c r="D48" s="101" t="s">
        <v>23</v>
      </c>
      <c r="E48" s="27">
        <v>35</v>
      </c>
      <c r="F48" s="27">
        <v>20</v>
      </c>
      <c r="G48" s="327">
        <v>1281869</v>
      </c>
      <c r="H48" s="328">
        <v>132529</v>
      </c>
      <c r="I48" s="89">
        <f t="shared" si="1"/>
        <v>9.67236604818568</v>
      </c>
      <c r="J48" s="90">
        <v>38</v>
      </c>
      <c r="K48" s="504"/>
    </row>
    <row r="49" spans="1:11" s="83" customFormat="1" ht="12" customHeight="1">
      <c r="A49" s="84">
        <v>39</v>
      </c>
      <c r="B49" s="399" t="s">
        <v>231</v>
      </c>
      <c r="C49" s="100">
        <v>40606</v>
      </c>
      <c r="D49" s="101" t="s">
        <v>23</v>
      </c>
      <c r="E49" s="192">
        <v>93</v>
      </c>
      <c r="F49" s="192">
        <v>14</v>
      </c>
      <c r="G49" s="327">
        <v>1221986</v>
      </c>
      <c r="H49" s="328">
        <v>109451</v>
      </c>
      <c r="I49" s="89">
        <f t="shared" si="1"/>
        <v>11.164685567057404</v>
      </c>
      <c r="J49" s="82">
        <v>39</v>
      </c>
      <c r="K49" s="504"/>
    </row>
    <row r="50" spans="1:11" s="83" customFormat="1" ht="12" customHeight="1">
      <c r="A50" s="84">
        <v>40</v>
      </c>
      <c r="B50" s="191" t="s">
        <v>358</v>
      </c>
      <c r="C50" s="26">
        <v>40732</v>
      </c>
      <c r="D50" s="537" t="s">
        <v>23</v>
      </c>
      <c r="E50" s="25">
        <v>81</v>
      </c>
      <c r="F50" s="25">
        <v>5</v>
      </c>
      <c r="G50" s="314">
        <v>1191624</v>
      </c>
      <c r="H50" s="311">
        <v>110921</v>
      </c>
      <c r="I50" s="590">
        <f t="shared" si="1"/>
        <v>10.742997268326105</v>
      </c>
      <c r="J50" s="90">
        <v>40</v>
      </c>
      <c r="K50" s="504"/>
    </row>
    <row r="51" spans="1:11" s="83" customFormat="1" ht="12" customHeight="1">
      <c r="A51" s="84">
        <v>41</v>
      </c>
      <c r="B51" s="560" t="s">
        <v>61</v>
      </c>
      <c r="C51" s="100">
        <v>40676</v>
      </c>
      <c r="D51" s="537" t="s">
        <v>23</v>
      </c>
      <c r="E51" s="25">
        <v>100</v>
      </c>
      <c r="F51" s="25">
        <v>13</v>
      </c>
      <c r="G51" s="314">
        <v>1170206</v>
      </c>
      <c r="H51" s="311">
        <v>127488</v>
      </c>
      <c r="I51" s="309">
        <f t="shared" si="1"/>
        <v>9.178950175702811</v>
      </c>
      <c r="J51" s="90">
        <v>41</v>
      </c>
      <c r="K51" s="504"/>
    </row>
    <row r="52" spans="1:11" s="83" customFormat="1" ht="12" customHeight="1">
      <c r="A52" s="84">
        <v>42</v>
      </c>
      <c r="B52" s="451" t="s">
        <v>249</v>
      </c>
      <c r="C52" s="171">
        <v>40627</v>
      </c>
      <c r="D52" s="101" t="s">
        <v>29</v>
      </c>
      <c r="E52" s="172">
        <v>71</v>
      </c>
      <c r="F52" s="192">
        <v>26</v>
      </c>
      <c r="G52" s="331">
        <f>432486.25+301574+151308+7+112893+51222.5+22996.5+15680+18589.5+18584+12838+4788+1663+4208+490+365+2398+36+790+1056+718+2330+3855+1170+2143+1876+3597</f>
        <v>1169661.75</v>
      </c>
      <c r="H52" s="386">
        <f>50407+35095+18523+1+15427+7108+3545+2281+2896+2839+2036+884+288+738+98+73+400+6+143+184+126+381+556+123+222+369+600</f>
        <v>145349</v>
      </c>
      <c r="I52" s="89">
        <f t="shared" si="1"/>
        <v>8.047263827064514</v>
      </c>
      <c r="J52" s="82">
        <v>42</v>
      </c>
      <c r="K52" s="504"/>
    </row>
    <row r="53" spans="1:11" s="83" customFormat="1" ht="12" customHeight="1">
      <c r="A53" s="84">
        <v>43</v>
      </c>
      <c r="B53" s="249" t="s">
        <v>42</v>
      </c>
      <c r="C53" s="100">
        <v>40655</v>
      </c>
      <c r="D53" s="101" t="s">
        <v>10</v>
      </c>
      <c r="E53" s="106">
        <v>70</v>
      </c>
      <c r="F53" s="4">
        <v>7</v>
      </c>
      <c r="G53" s="39">
        <v>1151198</v>
      </c>
      <c r="H53" s="40">
        <v>109336</v>
      </c>
      <c r="I53" s="92">
        <f>G53/H53</f>
        <v>10.528993195287919</v>
      </c>
      <c r="J53" s="90">
        <v>43</v>
      </c>
      <c r="K53" s="504"/>
    </row>
    <row r="54" spans="1:11" s="83" customFormat="1" ht="12" customHeight="1">
      <c r="A54" s="84">
        <v>44</v>
      </c>
      <c r="B54" s="249" t="s">
        <v>251</v>
      </c>
      <c r="C54" s="100">
        <v>40620</v>
      </c>
      <c r="D54" s="101" t="s">
        <v>10</v>
      </c>
      <c r="E54" s="102">
        <v>89</v>
      </c>
      <c r="F54" s="102">
        <v>11</v>
      </c>
      <c r="G54" s="312">
        <v>1137795</v>
      </c>
      <c r="H54" s="313">
        <v>113358</v>
      </c>
      <c r="I54" s="298">
        <f>G54/H54</f>
        <v>10.037183083681787</v>
      </c>
      <c r="J54" s="82">
        <v>44</v>
      </c>
      <c r="K54" s="504"/>
    </row>
    <row r="55" spans="1:11" s="83" customFormat="1" ht="12" customHeight="1">
      <c r="A55" s="84">
        <v>45</v>
      </c>
      <c r="B55" s="499" t="s">
        <v>417</v>
      </c>
      <c r="C55" s="100">
        <v>40760</v>
      </c>
      <c r="D55" s="537" t="s">
        <v>32</v>
      </c>
      <c r="E55" s="25">
        <v>101</v>
      </c>
      <c r="F55" s="25">
        <v>1</v>
      </c>
      <c r="G55" s="611">
        <f>1123387</f>
        <v>1123387</v>
      </c>
      <c r="H55" s="612">
        <f>108166</f>
        <v>108166</v>
      </c>
      <c r="I55" s="298">
        <f>+G55/H55</f>
        <v>10.385768171144353</v>
      </c>
      <c r="J55" s="90">
        <v>45</v>
      </c>
      <c r="K55" s="504">
        <v>1</v>
      </c>
    </row>
    <row r="56" spans="1:11" s="83" customFormat="1" ht="12" customHeight="1">
      <c r="A56" s="84">
        <v>46</v>
      </c>
      <c r="B56" s="185" t="s">
        <v>186</v>
      </c>
      <c r="C56" s="2">
        <v>40613</v>
      </c>
      <c r="D56" s="14" t="s">
        <v>141</v>
      </c>
      <c r="E56" s="4">
        <v>105</v>
      </c>
      <c r="F56" s="4">
        <v>10</v>
      </c>
      <c r="G56" s="198">
        <v>895090.5</v>
      </c>
      <c r="H56" s="199">
        <v>101557</v>
      </c>
      <c r="I56" s="181">
        <f>+G56/H56</f>
        <v>8.813676063688373</v>
      </c>
      <c r="J56" s="90">
        <v>46</v>
      </c>
      <c r="K56" s="504">
        <v>1</v>
      </c>
    </row>
    <row r="57" spans="1:11" s="83" customFormat="1" ht="12" customHeight="1">
      <c r="A57" s="84">
        <v>47</v>
      </c>
      <c r="B57" s="560" t="s">
        <v>60</v>
      </c>
      <c r="C57" s="100">
        <v>40676</v>
      </c>
      <c r="D57" s="537" t="s">
        <v>10</v>
      </c>
      <c r="E57" s="540">
        <v>112</v>
      </c>
      <c r="F57" s="16">
        <v>12</v>
      </c>
      <c r="G57" s="312">
        <v>889611</v>
      </c>
      <c r="H57" s="313">
        <v>94485</v>
      </c>
      <c r="I57" s="298">
        <f>G57/H57</f>
        <v>9.415367518653754</v>
      </c>
      <c r="J57" s="82">
        <v>47</v>
      </c>
      <c r="K57" s="504">
        <v>1</v>
      </c>
    </row>
    <row r="58" spans="1:11" s="83" customFormat="1" ht="12" customHeight="1">
      <c r="A58" s="84">
        <v>48</v>
      </c>
      <c r="B58" s="499" t="s">
        <v>36</v>
      </c>
      <c r="C58" s="26">
        <v>40648</v>
      </c>
      <c r="D58" s="537" t="s">
        <v>32</v>
      </c>
      <c r="E58" s="25">
        <v>72</v>
      </c>
      <c r="F58" s="25">
        <v>17</v>
      </c>
      <c r="G58" s="611">
        <f>313705+218661+94172+73484.5+60319.5+15976+18868+7512+25645.5+15093+6591+2599+2683+1937.5+1629+2257+1715</f>
        <v>862848</v>
      </c>
      <c r="H58" s="612">
        <f>29673+21437+10530+10169+8845+2631+2981+1155+3600+2641+1030+393+512+262+251+329+256</f>
        <v>96695</v>
      </c>
      <c r="I58" s="298">
        <f>+G58/H58</f>
        <v>8.923398314287192</v>
      </c>
      <c r="J58" s="90">
        <v>48</v>
      </c>
      <c r="K58" s="504"/>
    </row>
    <row r="59" spans="1:11" s="83" customFormat="1" ht="12" customHeight="1">
      <c r="A59" s="84">
        <v>49</v>
      </c>
      <c r="B59" s="249" t="s">
        <v>391</v>
      </c>
      <c r="C59" s="401">
        <v>40620</v>
      </c>
      <c r="D59" s="101" t="s">
        <v>23</v>
      </c>
      <c r="E59" s="192">
        <v>104</v>
      </c>
      <c r="F59" s="192">
        <v>21</v>
      </c>
      <c r="G59" s="327">
        <v>855220</v>
      </c>
      <c r="H59" s="328">
        <v>73757</v>
      </c>
      <c r="I59" s="89">
        <f>+G59/H59</f>
        <v>11.59510283769676</v>
      </c>
      <c r="J59" s="82">
        <v>49</v>
      </c>
      <c r="K59" s="504"/>
    </row>
    <row r="60" spans="1:11" s="83" customFormat="1" ht="12" customHeight="1">
      <c r="A60" s="84">
        <v>50</v>
      </c>
      <c r="B60" s="559" t="s">
        <v>18</v>
      </c>
      <c r="C60" s="100">
        <v>40620</v>
      </c>
      <c r="D60" s="541" t="s">
        <v>8</v>
      </c>
      <c r="E60" s="18">
        <v>37</v>
      </c>
      <c r="F60" s="18">
        <v>18</v>
      </c>
      <c r="G60" s="583">
        <v>852433</v>
      </c>
      <c r="H60" s="584">
        <v>76685</v>
      </c>
      <c r="I60" s="309">
        <f>+G60/H60</f>
        <v>11.116033122514182</v>
      </c>
      <c r="J60" s="90">
        <v>50</v>
      </c>
      <c r="K60" s="504">
        <v>1</v>
      </c>
    </row>
    <row r="61" spans="1:11" s="83" customFormat="1" ht="12" customHeight="1">
      <c r="A61" s="84">
        <v>51</v>
      </c>
      <c r="B61" s="499" t="s">
        <v>41</v>
      </c>
      <c r="C61" s="26">
        <v>40655</v>
      </c>
      <c r="D61" s="537" t="s">
        <v>32</v>
      </c>
      <c r="E61" s="25">
        <v>156</v>
      </c>
      <c r="F61" s="25">
        <v>16</v>
      </c>
      <c r="G61" s="611">
        <f>633760.5+136320.5+35218.5+12632+4659.5+2946+8058+2678+3172+3399.5+598+564+1471+2243+357+860</f>
        <v>848937.5</v>
      </c>
      <c r="H61" s="612">
        <f>74640+17307+4811+1875+917+522+1372+426+632+730+116+93+159+384+67+172</f>
        <v>104223</v>
      </c>
      <c r="I61" s="298">
        <f>+G61/H61</f>
        <v>8.145394970400007</v>
      </c>
      <c r="J61" s="90">
        <v>51</v>
      </c>
      <c r="K61" s="504"/>
    </row>
    <row r="62" spans="1:11" s="83" customFormat="1" ht="12" customHeight="1">
      <c r="A62" s="84">
        <v>52</v>
      </c>
      <c r="B62" s="569" t="s">
        <v>62</v>
      </c>
      <c r="C62" s="100">
        <v>40669</v>
      </c>
      <c r="D62" s="537" t="s">
        <v>32</v>
      </c>
      <c r="E62" s="25">
        <v>58</v>
      </c>
      <c r="F62" s="25">
        <v>14</v>
      </c>
      <c r="G62" s="611">
        <f>283662.5+204713+63694+61522.5+37976+46923.5+23377.5+15917+7067.5+2523.5+6128.5+15179.5+11086.5+9981</f>
        <v>789752.5</v>
      </c>
      <c r="H62" s="612">
        <f>29595+21640+7444+8447+5671+7156+3524+2414+1006+405+822+1862+1355+1194</f>
        <v>92535</v>
      </c>
      <c r="I62" s="309">
        <f>+G62/H62</f>
        <v>8.534635543307937</v>
      </c>
      <c r="J62" s="82">
        <v>52</v>
      </c>
      <c r="K62" s="504"/>
    </row>
    <row r="63" spans="1:11" s="83" customFormat="1" ht="12" customHeight="1">
      <c r="A63" s="84">
        <v>53</v>
      </c>
      <c r="B63" s="566" t="s">
        <v>216</v>
      </c>
      <c r="C63" s="100">
        <v>40690</v>
      </c>
      <c r="D63" s="537" t="s">
        <v>10</v>
      </c>
      <c r="E63" s="16">
        <v>65</v>
      </c>
      <c r="F63" s="16">
        <v>11</v>
      </c>
      <c r="G63" s="312">
        <v>768994</v>
      </c>
      <c r="H63" s="313">
        <v>80783</v>
      </c>
      <c r="I63" s="298">
        <f>G63/H63</f>
        <v>9.51925528886028</v>
      </c>
      <c r="J63" s="90">
        <v>53</v>
      </c>
      <c r="K63" s="504"/>
    </row>
    <row r="64" spans="1:11" s="83" customFormat="1" ht="12" customHeight="1">
      <c r="A64" s="84">
        <v>54</v>
      </c>
      <c r="B64" s="158" t="s">
        <v>188</v>
      </c>
      <c r="C64" s="26">
        <v>40627</v>
      </c>
      <c r="D64" s="222" t="s">
        <v>23</v>
      </c>
      <c r="E64" s="159">
        <v>80</v>
      </c>
      <c r="F64" s="27">
        <v>8</v>
      </c>
      <c r="G64" s="37">
        <v>689625</v>
      </c>
      <c r="H64" s="160">
        <v>71616</v>
      </c>
      <c r="I64" s="213">
        <f>+G64/H64</f>
        <v>9.629482238605899</v>
      </c>
      <c r="J64" s="82">
        <v>54</v>
      </c>
      <c r="K64" s="504">
        <v>1</v>
      </c>
    </row>
    <row r="65" spans="1:11" s="83" customFormat="1" ht="12" customHeight="1">
      <c r="A65" s="84">
        <v>55</v>
      </c>
      <c r="B65" s="249" t="s">
        <v>28</v>
      </c>
      <c r="C65" s="100">
        <v>40634</v>
      </c>
      <c r="D65" s="101" t="s">
        <v>10</v>
      </c>
      <c r="E65" s="102">
        <v>76</v>
      </c>
      <c r="F65" s="102">
        <v>9</v>
      </c>
      <c r="G65" s="312">
        <v>681170</v>
      </c>
      <c r="H65" s="313">
        <v>69882</v>
      </c>
      <c r="I65" s="298">
        <f>G65/H65</f>
        <v>9.747431384333591</v>
      </c>
      <c r="J65" s="90">
        <v>55</v>
      </c>
      <c r="K65" s="504"/>
    </row>
    <row r="66" spans="1:11" s="83" customFormat="1" ht="12" customHeight="1">
      <c r="A66" s="84">
        <v>56</v>
      </c>
      <c r="B66" s="249" t="s">
        <v>78</v>
      </c>
      <c r="C66" s="100">
        <v>40634</v>
      </c>
      <c r="D66" s="101" t="s">
        <v>46</v>
      </c>
      <c r="E66" s="102">
        <v>149</v>
      </c>
      <c r="F66" s="102">
        <v>9</v>
      </c>
      <c r="G66" s="314">
        <v>674482</v>
      </c>
      <c r="H66" s="581">
        <v>96075</v>
      </c>
      <c r="I66" s="298">
        <f>G66/H66</f>
        <v>7.0203695029924535</v>
      </c>
      <c r="J66" s="90">
        <v>56</v>
      </c>
      <c r="K66" s="504">
        <v>1</v>
      </c>
    </row>
    <row r="67" spans="1:11" s="83" customFormat="1" ht="12" customHeight="1">
      <c r="A67" s="84">
        <v>57</v>
      </c>
      <c r="B67" s="451" t="s">
        <v>133</v>
      </c>
      <c r="C67" s="171">
        <v>40599</v>
      </c>
      <c r="D67" s="101" t="s">
        <v>32</v>
      </c>
      <c r="E67" s="172">
        <v>60</v>
      </c>
      <c r="F67" s="172">
        <v>14</v>
      </c>
      <c r="G67" s="12">
        <f>324952+205669.75+36076.25+7149.5+4976+6474+8888+8102.5+7995.5+1904.5+2442.5+3379+326+230</f>
        <v>618565.5</v>
      </c>
      <c r="H67" s="9">
        <f>28582+18445+3670+1269+845+865+1858+1230+1292+340+347+689+52+38</f>
        <v>59522</v>
      </c>
      <c r="I67" s="92">
        <f>G67/H67</f>
        <v>10.39221632337623</v>
      </c>
      <c r="J67" s="82">
        <v>57</v>
      </c>
      <c r="K67" s="504"/>
    </row>
    <row r="68" spans="1:11" s="83" customFormat="1" ht="12" customHeight="1">
      <c r="A68" s="84">
        <v>58</v>
      </c>
      <c r="B68" s="569" t="s">
        <v>244</v>
      </c>
      <c r="C68" s="100">
        <v>40718</v>
      </c>
      <c r="D68" s="537" t="s">
        <v>32</v>
      </c>
      <c r="E68" s="25">
        <v>42</v>
      </c>
      <c r="F68" s="25">
        <v>7</v>
      </c>
      <c r="G68" s="611">
        <f>206744+133125+83915.5+50898.5+53053.5+49526+20766</f>
        <v>598028.5</v>
      </c>
      <c r="H68" s="612">
        <f>19325+12664+8208+6197+7341+6951+3245</f>
        <v>63931</v>
      </c>
      <c r="I68" s="309">
        <f>+G68/H68</f>
        <v>9.354280396051994</v>
      </c>
      <c r="J68" s="90">
        <v>58</v>
      </c>
      <c r="K68" s="504"/>
    </row>
    <row r="69" spans="1:11" s="83" customFormat="1" ht="12" customHeight="1">
      <c r="A69" s="84">
        <v>59</v>
      </c>
      <c r="B69" s="560" t="s">
        <v>68</v>
      </c>
      <c r="C69" s="100">
        <v>40682</v>
      </c>
      <c r="D69" s="537" t="s">
        <v>10</v>
      </c>
      <c r="E69" s="192">
        <v>164</v>
      </c>
      <c r="F69" s="192">
        <v>10</v>
      </c>
      <c r="G69" s="39">
        <v>576292</v>
      </c>
      <c r="H69" s="40">
        <v>63169</v>
      </c>
      <c r="I69" s="89">
        <f>+G69/H69</f>
        <v>9.123019202456902</v>
      </c>
      <c r="J69" s="82">
        <v>59</v>
      </c>
      <c r="K69" s="504"/>
    </row>
    <row r="70" spans="1:11" s="83" customFormat="1" ht="12" customHeight="1">
      <c r="A70" s="84">
        <v>60</v>
      </c>
      <c r="B70" s="570" t="s">
        <v>254</v>
      </c>
      <c r="C70" s="515">
        <v>40592</v>
      </c>
      <c r="D70" s="514" t="s">
        <v>10</v>
      </c>
      <c r="E70" s="516">
        <v>168</v>
      </c>
      <c r="F70" s="516">
        <v>3</v>
      </c>
      <c r="G70" s="39">
        <v>572572</v>
      </c>
      <c r="H70" s="40">
        <v>51135</v>
      </c>
      <c r="I70" s="181">
        <v>11.197262149212868</v>
      </c>
      <c r="J70" s="90">
        <v>60</v>
      </c>
      <c r="K70" s="504">
        <v>1</v>
      </c>
    </row>
    <row r="71" spans="1:11" s="83" customFormat="1" ht="12" customHeight="1">
      <c r="A71" s="84">
        <v>61</v>
      </c>
      <c r="B71" s="566" t="s">
        <v>233</v>
      </c>
      <c r="C71" s="100">
        <v>40704</v>
      </c>
      <c r="D71" s="537" t="s">
        <v>10</v>
      </c>
      <c r="E71" s="16">
        <v>70</v>
      </c>
      <c r="F71" s="16">
        <v>9</v>
      </c>
      <c r="G71" s="312">
        <v>565677</v>
      </c>
      <c r="H71" s="313">
        <v>57969</v>
      </c>
      <c r="I71" s="309">
        <f aca="true" t="shared" si="2" ref="I71:I81">+G71/H71</f>
        <v>9.758267349790405</v>
      </c>
      <c r="J71" s="90">
        <v>61</v>
      </c>
      <c r="K71" s="504"/>
    </row>
    <row r="72" spans="1:11" s="83" customFormat="1" ht="12" customHeight="1">
      <c r="A72" s="84">
        <v>62</v>
      </c>
      <c r="B72" s="191" t="s">
        <v>38</v>
      </c>
      <c r="C72" s="26">
        <v>40648</v>
      </c>
      <c r="D72" s="537" t="s">
        <v>23</v>
      </c>
      <c r="E72" s="25">
        <v>75</v>
      </c>
      <c r="F72" s="25">
        <v>17</v>
      </c>
      <c r="G72" s="314">
        <v>562824</v>
      </c>
      <c r="H72" s="311">
        <v>59800</v>
      </c>
      <c r="I72" s="309">
        <f t="shared" si="2"/>
        <v>9.411772575250836</v>
      </c>
      <c r="J72" s="82">
        <v>62</v>
      </c>
      <c r="K72" s="504"/>
    </row>
    <row r="73" spans="1:11" s="83" customFormat="1" ht="12" customHeight="1">
      <c r="A73" s="84">
        <v>63</v>
      </c>
      <c r="B73" s="249" t="s">
        <v>37</v>
      </c>
      <c r="C73" s="100">
        <v>40648</v>
      </c>
      <c r="D73" s="101" t="s">
        <v>10</v>
      </c>
      <c r="E73" s="102">
        <v>76</v>
      </c>
      <c r="F73" s="102">
        <v>6</v>
      </c>
      <c r="G73" s="385">
        <v>545267</v>
      </c>
      <c r="H73" s="517">
        <v>56316</v>
      </c>
      <c r="I73" s="107">
        <f t="shared" si="2"/>
        <v>9.682275019532637</v>
      </c>
      <c r="J73" s="90">
        <v>63</v>
      </c>
      <c r="K73" s="504"/>
    </row>
    <row r="74" spans="1:11" s="83" customFormat="1" ht="12" customHeight="1">
      <c r="A74" s="84">
        <v>64</v>
      </c>
      <c r="B74" s="158" t="s">
        <v>189</v>
      </c>
      <c r="C74" s="26">
        <v>40592</v>
      </c>
      <c r="D74" s="222" t="s">
        <v>23</v>
      </c>
      <c r="E74" s="27">
        <v>80</v>
      </c>
      <c r="F74" s="27">
        <v>8</v>
      </c>
      <c r="G74" s="37">
        <v>520522</v>
      </c>
      <c r="H74" s="160">
        <v>59736</v>
      </c>
      <c r="I74" s="269">
        <f t="shared" si="2"/>
        <v>8.713706977367082</v>
      </c>
      <c r="J74" s="82">
        <v>64</v>
      </c>
      <c r="K74" s="504"/>
    </row>
    <row r="75" spans="1:11" s="83" customFormat="1" ht="12" customHeight="1">
      <c r="A75" s="84">
        <v>65</v>
      </c>
      <c r="B75" s="450" t="s">
        <v>230</v>
      </c>
      <c r="C75" s="100">
        <v>40564</v>
      </c>
      <c r="D75" s="101" t="s">
        <v>21</v>
      </c>
      <c r="E75" s="3">
        <v>100</v>
      </c>
      <c r="F75" s="3">
        <v>10</v>
      </c>
      <c r="G75" s="41">
        <f>351928.5+109593.5+20592.5+6351+8236+2820+477+622+1188+128</f>
        <v>501936.5</v>
      </c>
      <c r="H75" s="160">
        <f>40887+13714+2624+866+1497+479+81+311+238+23</f>
        <v>60720</v>
      </c>
      <c r="I75" s="89">
        <f t="shared" si="2"/>
        <v>8.26641139657444</v>
      </c>
      <c r="J75" s="90">
        <v>65</v>
      </c>
      <c r="K75" s="504">
        <v>1</v>
      </c>
    </row>
    <row r="76" spans="1:11" s="83" customFormat="1" ht="12" customHeight="1">
      <c r="A76" s="84">
        <v>66</v>
      </c>
      <c r="B76" s="451" t="s">
        <v>14</v>
      </c>
      <c r="C76" s="171">
        <v>40592</v>
      </c>
      <c r="D76" s="101" t="s">
        <v>32</v>
      </c>
      <c r="E76" s="172">
        <v>26</v>
      </c>
      <c r="F76" s="172">
        <v>19</v>
      </c>
      <c r="G76" s="12">
        <f>237198+117355.25+39279+7609+10490+5994.5+4177+5529+13722.5+15666+5837+4401.5+5554+1816.5+656+560+364+822+284</f>
        <v>477315.25</v>
      </c>
      <c r="H76" s="9">
        <f>20106+9312+4270+1420+2469+1087+657+754+2056+2109+1033+786+862+334+111+80+52+126+44</f>
        <v>47668</v>
      </c>
      <c r="I76" s="92">
        <f t="shared" si="2"/>
        <v>10.013326550306285</v>
      </c>
      <c r="J76" s="90">
        <v>66</v>
      </c>
      <c r="K76" s="504">
        <v>1</v>
      </c>
    </row>
    <row r="77" spans="1:11" s="83" customFormat="1" ht="12" customHeight="1">
      <c r="A77" s="84">
        <v>67</v>
      </c>
      <c r="B77" s="559" t="s">
        <v>389</v>
      </c>
      <c r="C77" s="100">
        <v>40620</v>
      </c>
      <c r="D77" s="541" t="s">
        <v>8</v>
      </c>
      <c r="E77" s="18">
        <v>51</v>
      </c>
      <c r="F77" s="18">
        <v>13</v>
      </c>
      <c r="G77" s="583">
        <v>471066</v>
      </c>
      <c r="H77" s="584">
        <v>47895</v>
      </c>
      <c r="I77" s="309">
        <f t="shared" si="2"/>
        <v>9.835389915440025</v>
      </c>
      <c r="J77" s="82">
        <v>67</v>
      </c>
      <c r="K77" s="504">
        <v>1</v>
      </c>
    </row>
    <row r="78" spans="1:11" s="83" customFormat="1" ht="12" customHeight="1">
      <c r="A78" s="84">
        <v>68</v>
      </c>
      <c r="B78" s="499" t="s">
        <v>223</v>
      </c>
      <c r="C78" s="26">
        <v>40697</v>
      </c>
      <c r="D78" s="537" t="s">
        <v>32</v>
      </c>
      <c r="E78" s="25">
        <v>71</v>
      </c>
      <c r="F78" s="25">
        <v>10</v>
      </c>
      <c r="G78" s="611">
        <f>204018.5+92011.75+38624.5+27400+22817+12697.5+8373+8455.5+6781+2290</f>
        <v>423468.75</v>
      </c>
      <c r="H78" s="612">
        <f>20915+10991+4900+3855+3433+1986+1329+1415+1032+399</f>
        <v>50255</v>
      </c>
      <c r="I78" s="309">
        <f t="shared" si="2"/>
        <v>8.426400358173316</v>
      </c>
      <c r="J78" s="90">
        <v>68</v>
      </c>
      <c r="K78" s="504">
        <v>1</v>
      </c>
    </row>
    <row r="79" spans="1:11" s="83" customFormat="1" ht="12" customHeight="1">
      <c r="A79" s="84">
        <v>69</v>
      </c>
      <c r="B79" s="451" t="s">
        <v>257</v>
      </c>
      <c r="C79" s="171">
        <v>40634</v>
      </c>
      <c r="D79" s="388" t="s">
        <v>137</v>
      </c>
      <c r="E79" s="172">
        <v>36</v>
      </c>
      <c r="F79" s="172">
        <v>11</v>
      </c>
      <c r="G79" s="12">
        <f>246204.5+109370+33780.5+17153+1902+8321+3738+833+560+246+350</f>
        <v>422458</v>
      </c>
      <c r="H79" s="9">
        <f>18876+8155+2662+1743+244+979+452+94+110+39+35</f>
        <v>33389</v>
      </c>
      <c r="I79" s="89">
        <f t="shared" si="2"/>
        <v>12.652610141064422</v>
      </c>
      <c r="J79" s="82">
        <v>69</v>
      </c>
      <c r="K79" s="504"/>
    </row>
    <row r="80" spans="1:11" s="83" customFormat="1" ht="12" customHeight="1">
      <c r="A80" s="84">
        <v>70</v>
      </c>
      <c r="B80" s="499" t="s">
        <v>54</v>
      </c>
      <c r="C80" s="26">
        <v>40669</v>
      </c>
      <c r="D80" s="537" t="s">
        <v>32</v>
      </c>
      <c r="E80" s="25">
        <v>31</v>
      </c>
      <c r="F80" s="25">
        <v>14</v>
      </c>
      <c r="G80" s="611">
        <f>175019+105176.5+33821+39610.5+24959.5+21794.5+6227+4449+362+706+2230+1369.5+1342.5+950.5</f>
        <v>418017.5</v>
      </c>
      <c r="H80" s="612">
        <f>19673+11998+4200+5352+3807+3790+1054+773+55+128+469+229+219+157</f>
        <v>51904</v>
      </c>
      <c r="I80" s="298">
        <f t="shared" si="2"/>
        <v>8.053666384093711</v>
      </c>
      <c r="J80" s="90">
        <v>70</v>
      </c>
      <c r="K80" s="504"/>
    </row>
    <row r="81" spans="1:11" s="83" customFormat="1" ht="12" customHeight="1">
      <c r="A81" s="84">
        <v>71</v>
      </c>
      <c r="B81" s="560" t="s">
        <v>224</v>
      </c>
      <c r="C81" s="26">
        <v>40697</v>
      </c>
      <c r="D81" s="537" t="s">
        <v>23</v>
      </c>
      <c r="E81" s="25">
        <v>20</v>
      </c>
      <c r="F81" s="25">
        <v>10</v>
      </c>
      <c r="G81" s="314">
        <v>383086</v>
      </c>
      <c r="H81" s="311">
        <v>39711</v>
      </c>
      <c r="I81" s="309">
        <f t="shared" si="2"/>
        <v>9.64684848026995</v>
      </c>
      <c r="J81" s="90">
        <v>71</v>
      </c>
      <c r="K81" s="504"/>
    </row>
    <row r="82" spans="1:11" s="83" customFormat="1" ht="12" customHeight="1">
      <c r="A82" s="84">
        <v>72</v>
      </c>
      <c r="B82" s="499" t="s">
        <v>229</v>
      </c>
      <c r="C82" s="26">
        <v>40704</v>
      </c>
      <c r="D82" s="537" t="s">
        <v>32</v>
      </c>
      <c r="E82" s="25">
        <v>25</v>
      </c>
      <c r="F82" s="25">
        <v>9</v>
      </c>
      <c r="G82" s="611">
        <f>1507.5+116073+64240.5+36865+26116.5+23857.5+27298.75+30562+27213.5+14091</f>
        <v>367825.25</v>
      </c>
      <c r="H82" s="612">
        <f>73+10003+5758+3705+3172+2912+3100+4082+3485+1779</f>
        <v>38069</v>
      </c>
      <c r="I82" s="298">
        <f>G82/H82</f>
        <v>9.662067561533005</v>
      </c>
      <c r="J82" s="82">
        <v>72</v>
      </c>
      <c r="K82" s="504"/>
    </row>
    <row r="83" spans="1:11" s="83" customFormat="1" ht="12" customHeight="1">
      <c r="A83" s="84">
        <v>73</v>
      </c>
      <c r="B83" s="499" t="s">
        <v>52</v>
      </c>
      <c r="C83" s="26">
        <v>40662</v>
      </c>
      <c r="D83" s="537" t="s">
        <v>32</v>
      </c>
      <c r="E83" s="25">
        <v>19</v>
      </c>
      <c r="F83" s="25">
        <v>15</v>
      </c>
      <c r="G83" s="611">
        <f>101742.25+50164.5+51750+9401+13450.5+18562.5+28682+16047.5+15912+8384+5213+12043+3980+9461+6303.5</f>
        <v>351096.75</v>
      </c>
      <c r="H83" s="612">
        <f>8064+3844+5093+985+1765+2797+3793+2133+2232+1161+795+1735+578+1201+748</f>
        <v>36924</v>
      </c>
      <c r="I83" s="298">
        <f>+G83/H83</f>
        <v>9.508632596685082</v>
      </c>
      <c r="J83" s="90">
        <v>73</v>
      </c>
      <c r="K83" s="504"/>
    </row>
    <row r="84" spans="1:11" s="83" customFormat="1" ht="12" customHeight="1">
      <c r="A84" s="84">
        <v>74</v>
      </c>
      <c r="B84" s="559" t="s">
        <v>421</v>
      </c>
      <c r="C84" s="100">
        <v>40585</v>
      </c>
      <c r="D84" s="541" t="s">
        <v>8</v>
      </c>
      <c r="E84" s="18">
        <v>41</v>
      </c>
      <c r="F84" s="18">
        <v>12</v>
      </c>
      <c r="G84" s="583">
        <v>348221</v>
      </c>
      <c r="H84" s="584">
        <v>29730</v>
      </c>
      <c r="I84" s="309">
        <f>+G84/H84</f>
        <v>11.712781701984527</v>
      </c>
      <c r="J84" s="82">
        <v>74</v>
      </c>
      <c r="K84" s="504"/>
    </row>
    <row r="85" spans="1:11" s="83" customFormat="1" ht="12" customHeight="1">
      <c r="A85" s="84">
        <v>75</v>
      </c>
      <c r="B85" s="422" t="s">
        <v>82</v>
      </c>
      <c r="C85" s="100">
        <v>40585</v>
      </c>
      <c r="D85" s="105" t="s">
        <v>8</v>
      </c>
      <c r="E85" s="4">
        <v>41</v>
      </c>
      <c r="F85" s="4">
        <v>11</v>
      </c>
      <c r="G85" s="10">
        <v>346343</v>
      </c>
      <c r="H85" s="11">
        <v>29491</v>
      </c>
      <c r="I85" s="92">
        <f>G85/H85</f>
        <v>11.744023600420467</v>
      </c>
      <c r="J85" s="90">
        <v>75</v>
      </c>
      <c r="K85" s="504">
        <v>1</v>
      </c>
    </row>
    <row r="86" spans="1:11" s="83" customFormat="1" ht="12" customHeight="1">
      <c r="A86" s="84">
        <v>76</v>
      </c>
      <c r="B86" s="559" t="s">
        <v>395</v>
      </c>
      <c r="C86" s="523">
        <v>40746</v>
      </c>
      <c r="D86" s="541" t="s">
        <v>8</v>
      </c>
      <c r="E86" s="18">
        <v>26</v>
      </c>
      <c r="F86" s="18">
        <v>3</v>
      </c>
      <c r="G86" s="583">
        <v>340620</v>
      </c>
      <c r="H86" s="584">
        <v>28247</v>
      </c>
      <c r="I86" s="298">
        <f>G86/H86</f>
        <v>12.058625694764046</v>
      </c>
      <c r="J86" s="90">
        <v>76</v>
      </c>
      <c r="K86" s="504">
        <v>1</v>
      </c>
    </row>
    <row r="87" spans="1:11" s="83" customFormat="1" ht="12" customHeight="1">
      <c r="A87" s="84">
        <v>77</v>
      </c>
      <c r="B87" s="572" t="s">
        <v>190</v>
      </c>
      <c r="C87" s="518">
        <v>40606</v>
      </c>
      <c r="D87" s="519" t="s">
        <v>23</v>
      </c>
      <c r="E87" s="520">
        <v>52</v>
      </c>
      <c r="F87" s="520">
        <v>5</v>
      </c>
      <c r="G87" s="730">
        <v>327940</v>
      </c>
      <c r="H87" s="731">
        <v>26292</v>
      </c>
      <c r="I87" s="181">
        <v>12.472995588011562</v>
      </c>
      <c r="J87" s="82">
        <v>77</v>
      </c>
      <c r="K87" s="504"/>
    </row>
    <row r="88" spans="1:11" s="83" customFormat="1" ht="12" customHeight="1">
      <c r="A88" s="84">
        <v>78</v>
      </c>
      <c r="B88" s="568" t="s">
        <v>43</v>
      </c>
      <c r="C88" s="521">
        <v>40655</v>
      </c>
      <c r="D88" s="548" t="s">
        <v>64</v>
      </c>
      <c r="E88" s="547">
        <v>35</v>
      </c>
      <c r="F88" s="547">
        <v>15</v>
      </c>
      <c r="G88" s="314">
        <v>313689.5</v>
      </c>
      <c r="H88" s="311">
        <v>30914</v>
      </c>
      <c r="I88" s="309">
        <f aca="true" t="shared" si="3" ref="I88:I94">+G88/H88</f>
        <v>10.14716633240603</v>
      </c>
      <c r="J88" s="90">
        <v>78</v>
      </c>
      <c r="K88" s="504"/>
    </row>
    <row r="89" spans="1:11" s="83" customFormat="1" ht="12" customHeight="1">
      <c r="A89" s="84">
        <v>79</v>
      </c>
      <c r="B89" s="499" t="s">
        <v>17</v>
      </c>
      <c r="C89" s="26">
        <v>40613</v>
      </c>
      <c r="D89" s="537" t="s">
        <v>32</v>
      </c>
      <c r="E89" s="25">
        <v>25</v>
      </c>
      <c r="F89" s="25">
        <v>19</v>
      </c>
      <c r="G89" s="611">
        <f>75934+53479.5+29060+17465+26762+20460.5+20847+12710+19039+8622+2147+3636+459+653+4560+770+4752+402+297</f>
        <v>302055</v>
      </c>
      <c r="H89" s="612">
        <f>9554+7103+4053+2490+4055+3124+3295+2389+2957+1767+459+626+92+107+609+124+1188+40+48</f>
        <v>44080</v>
      </c>
      <c r="I89" s="298">
        <f t="shared" si="3"/>
        <v>6.852427404718694</v>
      </c>
      <c r="J89" s="82">
        <v>79</v>
      </c>
      <c r="K89" s="504"/>
    </row>
    <row r="90" spans="1:11" s="83" customFormat="1" ht="12" customHeight="1">
      <c r="A90" s="84">
        <v>80</v>
      </c>
      <c r="B90" s="499" t="s">
        <v>34</v>
      </c>
      <c r="C90" s="26">
        <v>40641</v>
      </c>
      <c r="D90" s="537" t="s">
        <v>32</v>
      </c>
      <c r="E90" s="25">
        <v>22</v>
      </c>
      <c r="F90" s="25">
        <v>17</v>
      </c>
      <c r="G90" s="611">
        <f>116634.25+59106.5+23134.5+13753.5+15970+8455.5+1576+1761+10125.5+2018+2376+1505+1606+4951.5+5289.5+5175+120</f>
        <v>273557.75</v>
      </c>
      <c r="H90" s="612">
        <f>8833+4531+2274+1803+2249+1097+201+284+1149+305+594+210+182+582+643+704+20</f>
        <v>25661</v>
      </c>
      <c r="I90" s="298">
        <f t="shared" si="3"/>
        <v>10.66044776119403</v>
      </c>
      <c r="J90" s="90">
        <v>80</v>
      </c>
      <c r="K90" s="504"/>
    </row>
    <row r="91" spans="1:11" s="83" customFormat="1" ht="12" customHeight="1">
      <c r="A91" s="84">
        <v>81</v>
      </c>
      <c r="B91" s="158" t="s">
        <v>191</v>
      </c>
      <c r="C91" s="26">
        <v>40599</v>
      </c>
      <c r="D91" s="222" t="s">
        <v>23</v>
      </c>
      <c r="E91" s="27">
        <v>30</v>
      </c>
      <c r="F91" s="27">
        <v>12</v>
      </c>
      <c r="G91" s="37">
        <v>273347</v>
      </c>
      <c r="H91" s="160">
        <v>22741</v>
      </c>
      <c r="I91" s="213">
        <f t="shared" si="3"/>
        <v>12.020007915219207</v>
      </c>
      <c r="J91" s="90">
        <v>81</v>
      </c>
      <c r="K91" s="504">
        <v>1</v>
      </c>
    </row>
    <row r="92" spans="1:11" s="83" customFormat="1" ht="12" customHeight="1">
      <c r="A92" s="84">
        <v>82</v>
      </c>
      <c r="B92" s="569" t="s">
        <v>404</v>
      </c>
      <c r="C92" s="100">
        <v>40753</v>
      </c>
      <c r="D92" s="537" t="s">
        <v>32</v>
      </c>
      <c r="E92" s="25">
        <v>58</v>
      </c>
      <c r="F92" s="25">
        <v>2</v>
      </c>
      <c r="G92" s="611">
        <f>159826+108118.5</f>
        <v>267944.5</v>
      </c>
      <c r="H92" s="612">
        <f>16534+11741</f>
        <v>28275</v>
      </c>
      <c r="I92" s="309">
        <f t="shared" si="3"/>
        <v>9.476374889478338</v>
      </c>
      <c r="J92" s="82">
        <v>82</v>
      </c>
      <c r="K92" s="504">
        <v>1</v>
      </c>
    </row>
    <row r="93" spans="1:11" s="83" customFormat="1" ht="12" customHeight="1">
      <c r="A93" s="84">
        <v>83</v>
      </c>
      <c r="B93" s="422" t="s">
        <v>44</v>
      </c>
      <c r="C93" s="100">
        <v>40641</v>
      </c>
      <c r="D93" s="104" t="s">
        <v>74</v>
      </c>
      <c r="E93" s="106">
        <v>20</v>
      </c>
      <c r="F93" s="167">
        <v>12</v>
      </c>
      <c r="G93" s="10">
        <v>245782</v>
      </c>
      <c r="H93" s="11">
        <v>32811</v>
      </c>
      <c r="I93" s="89">
        <f t="shared" si="3"/>
        <v>7.490841486086983</v>
      </c>
      <c r="J93" s="90">
        <v>83</v>
      </c>
      <c r="K93" s="504"/>
    </row>
    <row r="94" spans="1:11" s="83" customFormat="1" ht="12" customHeight="1">
      <c r="A94" s="84">
        <v>84</v>
      </c>
      <c r="B94" s="573" t="s">
        <v>192</v>
      </c>
      <c r="C94" s="2">
        <v>40543</v>
      </c>
      <c r="D94" s="15" t="s">
        <v>74</v>
      </c>
      <c r="E94" s="522" t="s">
        <v>193</v>
      </c>
      <c r="F94" s="522" t="s">
        <v>194</v>
      </c>
      <c r="G94" s="10">
        <v>241335</v>
      </c>
      <c r="H94" s="11">
        <v>20302</v>
      </c>
      <c r="I94" s="181">
        <f t="shared" si="3"/>
        <v>11.88725248743966</v>
      </c>
      <c r="J94" s="82">
        <v>84</v>
      </c>
      <c r="K94" s="504"/>
    </row>
    <row r="95" spans="1:11" s="83" customFormat="1" ht="12" customHeight="1">
      <c r="A95" s="84">
        <v>85</v>
      </c>
      <c r="B95" s="422" t="s">
        <v>50</v>
      </c>
      <c r="C95" s="100">
        <v>40662</v>
      </c>
      <c r="D95" s="105" t="s">
        <v>8</v>
      </c>
      <c r="E95" s="4">
        <v>68</v>
      </c>
      <c r="F95" s="4">
        <v>12</v>
      </c>
      <c r="G95" s="10">
        <v>238390</v>
      </c>
      <c r="H95" s="11">
        <v>28900</v>
      </c>
      <c r="I95" s="92">
        <f>G95/H95</f>
        <v>8.24878892733564</v>
      </c>
      <c r="J95" s="90">
        <v>85</v>
      </c>
      <c r="K95" s="504"/>
    </row>
    <row r="96" spans="1:11" s="83" customFormat="1" ht="12" customHeight="1">
      <c r="A96" s="84">
        <v>86</v>
      </c>
      <c r="B96" s="721">
        <v>40</v>
      </c>
      <c r="C96" s="523">
        <v>40739</v>
      </c>
      <c r="D96" s="537" t="s">
        <v>32</v>
      </c>
      <c r="E96" s="25">
        <v>17</v>
      </c>
      <c r="F96" s="25">
        <v>4</v>
      </c>
      <c r="G96" s="611">
        <f>100961+78170+39198.5+17146.5</f>
        <v>235476</v>
      </c>
      <c r="H96" s="612">
        <f>10897+8433+4553+2347</f>
        <v>26230</v>
      </c>
      <c r="I96" s="298">
        <f>G96/H96</f>
        <v>8.977354174609227</v>
      </c>
      <c r="J96" s="90">
        <v>86</v>
      </c>
      <c r="K96" s="504">
        <v>1</v>
      </c>
    </row>
    <row r="97" spans="1:11" s="83" customFormat="1" ht="12" customHeight="1">
      <c r="A97" s="84">
        <v>87</v>
      </c>
      <c r="B97" s="569" t="s">
        <v>45</v>
      </c>
      <c r="C97" s="100">
        <v>40655</v>
      </c>
      <c r="D97" s="537" t="s">
        <v>32</v>
      </c>
      <c r="E97" s="25">
        <v>15</v>
      </c>
      <c r="F97" s="25">
        <v>16</v>
      </c>
      <c r="G97" s="611">
        <f>41594+16674.5+20041.5+21789.5+6150+7886+17173.5+27384+16704.5+16122.5+8157+5086+2378+11487+5687.5+2577</f>
        <v>226892.5</v>
      </c>
      <c r="H97" s="612">
        <f>4913+2342+2355+2524+869+1326+2610+3337+2297+2315+1175+747+414+1699+885+370</f>
        <v>30178</v>
      </c>
      <c r="I97" s="298">
        <f>G97/H97</f>
        <v>7.518473722579363</v>
      </c>
      <c r="J97" s="82">
        <v>87</v>
      </c>
      <c r="K97" s="504"/>
    </row>
    <row r="98" spans="1:11" s="83" customFormat="1" ht="12" customHeight="1">
      <c r="A98" s="84">
        <v>88</v>
      </c>
      <c r="B98" s="560" t="s">
        <v>217</v>
      </c>
      <c r="C98" s="100">
        <v>40606</v>
      </c>
      <c r="D98" s="537" t="s">
        <v>23</v>
      </c>
      <c r="E98" s="25">
        <v>35</v>
      </c>
      <c r="F98" s="25">
        <v>10</v>
      </c>
      <c r="G98" s="314">
        <v>218737</v>
      </c>
      <c r="H98" s="311">
        <v>22067</v>
      </c>
      <c r="I98" s="309">
        <f>+G98/H98</f>
        <v>9.912403135904292</v>
      </c>
      <c r="J98" s="90">
        <v>88</v>
      </c>
      <c r="K98" s="504"/>
    </row>
    <row r="99" spans="1:11" s="83" customFormat="1" ht="12" customHeight="1">
      <c r="A99" s="84">
        <v>89</v>
      </c>
      <c r="B99" s="451" t="s">
        <v>367</v>
      </c>
      <c r="C99" s="171">
        <v>40543</v>
      </c>
      <c r="D99" s="101" t="s">
        <v>32</v>
      </c>
      <c r="E99" s="172">
        <v>77</v>
      </c>
      <c r="F99" s="172">
        <v>11</v>
      </c>
      <c r="G99" s="12">
        <f>163528+30551+13366.5+447+2034+736+438+615.5+1401.5+258+42</f>
        <v>213417.5</v>
      </c>
      <c r="H99" s="9">
        <f>16190+3500+1888+71+488+168+61+118+314+42+7</f>
        <v>22847</v>
      </c>
      <c r="I99" s="92">
        <f>+G99/H99</f>
        <v>9.341160765089509</v>
      </c>
      <c r="J99" s="82">
        <v>89</v>
      </c>
      <c r="K99" s="504"/>
    </row>
    <row r="100" spans="1:11" s="83" customFormat="1" ht="12" customHeight="1">
      <c r="A100" s="84">
        <v>90</v>
      </c>
      <c r="B100" s="450" t="s">
        <v>127</v>
      </c>
      <c r="C100" s="523">
        <v>40613</v>
      </c>
      <c r="D100" s="509" t="s">
        <v>64</v>
      </c>
      <c r="E100" s="507">
        <v>25</v>
      </c>
      <c r="F100" s="192">
        <v>15</v>
      </c>
      <c r="G100" s="330">
        <v>208275.5</v>
      </c>
      <c r="H100" s="328">
        <v>27836</v>
      </c>
      <c r="I100" s="92">
        <f>G100/H100</f>
        <v>7.48223523494755</v>
      </c>
      <c r="J100" s="90">
        <v>90</v>
      </c>
      <c r="K100" s="504"/>
    </row>
    <row r="101" spans="1:11" s="83" customFormat="1" ht="12" customHeight="1">
      <c r="A101" s="84">
        <v>91</v>
      </c>
      <c r="B101" s="574" t="s">
        <v>195</v>
      </c>
      <c r="C101" s="515">
        <v>40557</v>
      </c>
      <c r="D101" s="524" t="s">
        <v>8</v>
      </c>
      <c r="E101" s="525">
        <v>66</v>
      </c>
      <c r="F101" s="525">
        <v>8</v>
      </c>
      <c r="G101" s="10">
        <v>207906</v>
      </c>
      <c r="H101" s="11">
        <v>24812</v>
      </c>
      <c r="I101" s="181">
        <v>8.37925197485088</v>
      </c>
      <c r="J101" s="90">
        <v>91</v>
      </c>
      <c r="K101" s="504"/>
    </row>
    <row r="102" spans="1:11" s="83" customFormat="1" ht="12" customHeight="1">
      <c r="A102" s="84">
        <v>92</v>
      </c>
      <c r="B102" s="191" t="s">
        <v>411</v>
      </c>
      <c r="C102" s="592">
        <v>40543</v>
      </c>
      <c r="D102" s="537" t="s">
        <v>23</v>
      </c>
      <c r="E102" s="25">
        <v>118</v>
      </c>
      <c r="F102" s="25">
        <v>31</v>
      </c>
      <c r="G102" s="314">
        <v>203048</v>
      </c>
      <c r="H102" s="311">
        <v>22699</v>
      </c>
      <c r="I102" s="298">
        <f>+G102/H102</f>
        <v>8.94523987840874</v>
      </c>
      <c r="J102" s="82">
        <v>92</v>
      </c>
      <c r="K102" s="504"/>
    </row>
    <row r="103" spans="1:11" s="83" customFormat="1" ht="12" customHeight="1">
      <c r="A103" s="84">
        <v>93</v>
      </c>
      <c r="B103" s="559" t="s">
        <v>55</v>
      </c>
      <c r="C103" s="100">
        <v>40669</v>
      </c>
      <c r="D103" s="541" t="s">
        <v>8</v>
      </c>
      <c r="E103" s="18">
        <v>20</v>
      </c>
      <c r="F103" s="18">
        <v>13</v>
      </c>
      <c r="G103" s="583">
        <v>201103</v>
      </c>
      <c r="H103" s="584">
        <v>19521</v>
      </c>
      <c r="I103" s="298">
        <f>+G103/H103</f>
        <v>10.30188002663798</v>
      </c>
      <c r="J103" s="90">
        <v>93</v>
      </c>
      <c r="K103" s="504"/>
    </row>
    <row r="104" spans="1:11" s="83" customFormat="1" ht="12" customHeight="1">
      <c r="A104" s="84">
        <v>94</v>
      </c>
      <c r="B104" s="499" t="s">
        <v>132</v>
      </c>
      <c r="C104" s="26">
        <v>40613</v>
      </c>
      <c r="D104" s="537" t="s">
        <v>32</v>
      </c>
      <c r="E104" s="25">
        <v>22</v>
      </c>
      <c r="F104" s="25">
        <v>17</v>
      </c>
      <c r="G104" s="611">
        <f>116753+45641.5+1507+3664+4533+723.5+456.5+2184+2545+520.5+610+1419+1872+2025.5+1249+6798+2626.5</f>
        <v>195128</v>
      </c>
      <c r="H104" s="612">
        <f>8727+3759+162+393+667+140+67+296+333+73+92+210+173+255+140+905+299</f>
        <v>16691</v>
      </c>
      <c r="I104" s="298">
        <f>+G104/H104</f>
        <v>11.690611706907914</v>
      </c>
      <c r="J104" s="82">
        <v>94</v>
      </c>
      <c r="K104" s="504"/>
    </row>
    <row r="105" spans="1:11" s="83" customFormat="1" ht="12" customHeight="1">
      <c r="A105" s="84">
        <v>95</v>
      </c>
      <c r="B105" s="191" t="s">
        <v>226</v>
      </c>
      <c r="C105" s="394">
        <v>40697</v>
      </c>
      <c r="D105" s="548" t="s">
        <v>64</v>
      </c>
      <c r="E105" s="547">
        <v>15</v>
      </c>
      <c r="F105" s="547">
        <v>10</v>
      </c>
      <c r="G105" s="314">
        <v>194548</v>
      </c>
      <c r="H105" s="311">
        <v>24804</v>
      </c>
      <c r="I105" s="298">
        <f>G105/H105</f>
        <v>7.8434123528463155</v>
      </c>
      <c r="J105" s="90">
        <v>95</v>
      </c>
      <c r="K105" s="504"/>
    </row>
    <row r="106" spans="1:11" s="83" customFormat="1" ht="12" customHeight="1">
      <c r="A106" s="84">
        <v>96</v>
      </c>
      <c r="B106" s="566" t="s">
        <v>70</v>
      </c>
      <c r="C106" s="100">
        <v>40682</v>
      </c>
      <c r="D106" s="537" t="s">
        <v>21</v>
      </c>
      <c r="E106" s="16">
        <v>45</v>
      </c>
      <c r="F106" s="16">
        <v>12</v>
      </c>
      <c r="G106" s="582">
        <f>13185+73231+37777+23268.5+18693.5+7384+9469.5+1890+288+1214+2255+1460+319</f>
        <v>190434.5</v>
      </c>
      <c r="H106" s="311">
        <f>1138+8298+4612+3436+2782+1275+1363+239+41+242+308+191+51</f>
        <v>23976</v>
      </c>
      <c r="I106" s="298">
        <f>G106/H106</f>
        <v>7.9427135468802135</v>
      </c>
      <c r="J106" s="90">
        <v>96</v>
      </c>
      <c r="K106" s="504"/>
    </row>
    <row r="107" spans="1:11" s="83" customFormat="1" ht="12" customHeight="1">
      <c r="A107" s="84">
        <v>97</v>
      </c>
      <c r="B107" s="569" t="s">
        <v>245</v>
      </c>
      <c r="C107" s="100">
        <v>40718</v>
      </c>
      <c r="D107" s="537" t="s">
        <v>32</v>
      </c>
      <c r="E107" s="25">
        <v>25</v>
      </c>
      <c r="F107" s="25">
        <v>7</v>
      </c>
      <c r="G107" s="611">
        <f>57373+29138.5+18608.5+18274+18081+33158.5+15047</f>
        <v>189680.5</v>
      </c>
      <c r="H107" s="612">
        <f>5353+2775+2460+2094+2184+3706+2068</f>
        <v>20640</v>
      </c>
      <c r="I107" s="591">
        <f>G107/H107</f>
        <v>9.189946705426356</v>
      </c>
      <c r="J107" s="82">
        <v>97</v>
      </c>
      <c r="K107" s="504">
        <v>1</v>
      </c>
    </row>
    <row r="108" spans="1:11" s="83" customFormat="1" ht="12" customHeight="1">
      <c r="A108" s="84">
        <v>98</v>
      </c>
      <c r="B108" s="559" t="s">
        <v>409</v>
      </c>
      <c r="C108" s="100">
        <v>40655</v>
      </c>
      <c r="D108" s="541" t="s">
        <v>29</v>
      </c>
      <c r="E108" s="25">
        <v>25</v>
      </c>
      <c r="F108" s="25">
        <v>14</v>
      </c>
      <c r="G108" s="314">
        <f>94030+36665.5+19228.5+15274+9884.5+3195.5+2792+1795+3042.5+1500+1095+266+180+156</f>
        <v>189104.5</v>
      </c>
      <c r="H108" s="311">
        <f>8677+3579+2658+2286+1470+489+408+244+413+249+211+52+30+26</f>
        <v>20792</v>
      </c>
      <c r="I108" s="309">
        <f>+G108/H108</f>
        <v>9.095060600230857</v>
      </c>
      <c r="J108" s="90">
        <v>98</v>
      </c>
      <c r="K108" s="504"/>
    </row>
    <row r="109" spans="1:11" s="83" customFormat="1" ht="12" customHeight="1">
      <c r="A109" s="84">
        <v>99</v>
      </c>
      <c r="B109" s="185" t="s">
        <v>196</v>
      </c>
      <c r="C109" s="2">
        <v>40634</v>
      </c>
      <c r="D109" s="14" t="s">
        <v>141</v>
      </c>
      <c r="E109" s="4">
        <v>44</v>
      </c>
      <c r="F109" s="4">
        <v>7</v>
      </c>
      <c r="G109" s="198">
        <v>189001.75</v>
      </c>
      <c r="H109" s="199">
        <v>21097</v>
      </c>
      <c r="I109" s="181">
        <f>+G109/H109</f>
        <v>8.95870265914585</v>
      </c>
      <c r="J109" s="82">
        <v>99</v>
      </c>
      <c r="K109" s="504">
        <v>1</v>
      </c>
    </row>
    <row r="110" spans="1:11" s="83" customFormat="1" ht="12" customHeight="1">
      <c r="A110" s="84">
        <v>100</v>
      </c>
      <c r="B110" s="567" t="s">
        <v>69</v>
      </c>
      <c r="C110" s="171">
        <v>40682</v>
      </c>
      <c r="D110" s="537" t="s">
        <v>32</v>
      </c>
      <c r="E110" s="543">
        <v>101</v>
      </c>
      <c r="F110" s="543">
        <v>10</v>
      </c>
      <c r="G110" s="611">
        <f>27003.5+85794+43816.5+12611.5+5021+2538+922+420+6989.5+224+445</f>
        <v>185785</v>
      </c>
      <c r="H110" s="612">
        <f>3081+10215+5836+1972+779+451+155+94+1736+32+81</f>
        <v>24432</v>
      </c>
      <c r="I110" s="298">
        <f>+G110/H110</f>
        <v>7.604166666666667</v>
      </c>
      <c r="J110" s="90">
        <v>100</v>
      </c>
      <c r="K110" s="504"/>
    </row>
    <row r="111" spans="1:11" s="83" customFormat="1" ht="12" customHeight="1">
      <c r="A111" s="84">
        <v>101</v>
      </c>
      <c r="B111" s="566" t="s">
        <v>360</v>
      </c>
      <c r="C111" s="100">
        <v>40732</v>
      </c>
      <c r="D111" s="537" t="s">
        <v>21</v>
      </c>
      <c r="E111" s="16">
        <v>23</v>
      </c>
      <c r="F111" s="16">
        <v>5</v>
      </c>
      <c r="G111" s="582">
        <f>63653+42613.5+25162+24678+27035</f>
        <v>183141.5</v>
      </c>
      <c r="H111" s="311">
        <f>5385+3679+2937+3272+3739</f>
        <v>19012</v>
      </c>
      <c r="I111" s="298">
        <f>G111/H111</f>
        <v>9.632942352198612</v>
      </c>
      <c r="J111" s="90">
        <v>101</v>
      </c>
      <c r="K111" s="504">
        <v>1</v>
      </c>
    </row>
    <row r="112" spans="1:11" s="83" customFormat="1" ht="12" customHeight="1">
      <c r="A112" s="84">
        <v>102</v>
      </c>
      <c r="B112" s="499" t="s">
        <v>19</v>
      </c>
      <c r="C112" s="26">
        <v>40620</v>
      </c>
      <c r="D112" s="537" t="s">
        <v>32</v>
      </c>
      <c r="E112" s="25">
        <v>18</v>
      </c>
      <c r="F112" s="25">
        <v>11</v>
      </c>
      <c r="G112" s="611">
        <f>39453.5+44225+30459.5+23462+13989+8982.5+6844+2370+4120+2588+1886</f>
        <v>178379.5</v>
      </c>
      <c r="H112" s="612">
        <f>5345+6302+4080+3427+1964+1106+1298+366+730+571+456</f>
        <v>25645</v>
      </c>
      <c r="I112" s="298">
        <f>+G112/H112</f>
        <v>6.95572236303373</v>
      </c>
      <c r="J112" s="82">
        <v>102</v>
      </c>
      <c r="K112" s="504"/>
    </row>
    <row r="113" spans="1:11" s="83" customFormat="1" ht="12" customHeight="1">
      <c r="A113" s="84">
        <v>103</v>
      </c>
      <c r="B113" s="559" t="s">
        <v>39</v>
      </c>
      <c r="C113" s="100">
        <v>40648</v>
      </c>
      <c r="D113" s="541" t="s">
        <v>8</v>
      </c>
      <c r="E113" s="18">
        <v>10</v>
      </c>
      <c r="F113" s="18">
        <v>16</v>
      </c>
      <c r="G113" s="583">
        <v>177931</v>
      </c>
      <c r="H113" s="584">
        <v>16942</v>
      </c>
      <c r="I113" s="309">
        <f>+G113/H113</f>
        <v>10.502360996340455</v>
      </c>
      <c r="J113" s="90">
        <v>103</v>
      </c>
      <c r="K113" s="504"/>
    </row>
    <row r="114" spans="1:11" s="83" customFormat="1" ht="12" customHeight="1">
      <c r="A114" s="84">
        <v>104</v>
      </c>
      <c r="B114" s="249" t="s">
        <v>372</v>
      </c>
      <c r="C114" s="100">
        <v>40725</v>
      </c>
      <c r="D114" s="537" t="s">
        <v>64</v>
      </c>
      <c r="E114" s="547">
        <v>18</v>
      </c>
      <c r="F114" s="547">
        <v>6</v>
      </c>
      <c r="G114" s="314">
        <v>177418</v>
      </c>
      <c r="H114" s="311">
        <v>17719</v>
      </c>
      <c r="I114" s="309">
        <f>+G114/H114</f>
        <v>10.012867543315085</v>
      </c>
      <c r="J114" s="82">
        <v>104</v>
      </c>
      <c r="K114" s="504"/>
    </row>
    <row r="115" spans="1:11" s="83" customFormat="1" ht="12" customHeight="1">
      <c r="A115" s="84">
        <v>105</v>
      </c>
      <c r="B115" s="422" t="s">
        <v>370</v>
      </c>
      <c r="C115" s="100">
        <v>40725</v>
      </c>
      <c r="D115" s="540" t="s">
        <v>74</v>
      </c>
      <c r="E115" s="540">
        <v>32</v>
      </c>
      <c r="F115" s="577">
        <v>6</v>
      </c>
      <c r="G115" s="583">
        <v>175887</v>
      </c>
      <c r="H115" s="584">
        <v>20226</v>
      </c>
      <c r="I115" s="298">
        <f>G115/H115</f>
        <v>8.696084247997627</v>
      </c>
      <c r="J115" s="90">
        <v>105</v>
      </c>
      <c r="K115" s="504"/>
    </row>
    <row r="116" spans="1:11" s="83" customFormat="1" ht="12" customHeight="1">
      <c r="A116" s="84">
        <v>106</v>
      </c>
      <c r="B116" s="513" t="s">
        <v>56</v>
      </c>
      <c r="C116" s="100">
        <v>40669</v>
      </c>
      <c r="D116" s="101" t="s">
        <v>23</v>
      </c>
      <c r="E116" s="106">
        <v>71</v>
      </c>
      <c r="F116" s="27">
        <v>8</v>
      </c>
      <c r="G116" s="327">
        <v>168950</v>
      </c>
      <c r="H116" s="328">
        <v>18267</v>
      </c>
      <c r="I116" s="89">
        <f aca="true" t="shared" si="4" ref="I116:I121">+G116/H116</f>
        <v>9.248918815350084</v>
      </c>
      <c r="J116" s="90">
        <v>106</v>
      </c>
      <c r="K116" s="504"/>
    </row>
    <row r="117" spans="1:11" s="83" customFormat="1" ht="12" customHeight="1">
      <c r="A117" s="84">
        <v>107</v>
      </c>
      <c r="B117" s="559" t="s">
        <v>218</v>
      </c>
      <c r="C117" s="100">
        <v>40690</v>
      </c>
      <c r="D117" s="541" t="s">
        <v>29</v>
      </c>
      <c r="E117" s="25">
        <v>50</v>
      </c>
      <c r="F117" s="25">
        <v>11</v>
      </c>
      <c r="G117" s="314">
        <f>158493+654+221+564+90+36</f>
        <v>160058</v>
      </c>
      <c r="H117" s="311">
        <f>17460+97+38+91+15+6</f>
        <v>17707</v>
      </c>
      <c r="I117" s="309">
        <f t="shared" si="4"/>
        <v>9.03925001411871</v>
      </c>
      <c r="J117" s="82">
        <v>107</v>
      </c>
      <c r="K117" s="504"/>
    </row>
    <row r="118" spans="1:11" s="83" customFormat="1" ht="12" customHeight="1">
      <c r="A118" s="84">
        <v>108</v>
      </c>
      <c r="B118" s="499" t="s">
        <v>40</v>
      </c>
      <c r="C118" s="26">
        <v>40648</v>
      </c>
      <c r="D118" s="537" t="s">
        <v>32</v>
      </c>
      <c r="E118" s="25">
        <v>28</v>
      </c>
      <c r="F118" s="25">
        <v>16</v>
      </c>
      <c r="G118" s="611">
        <f>67573+47761.5+14206.5+4949+3617+1080.5+492+714+1413.5+3743.5+735+1502.5+825+1147+1818+154</f>
        <v>151732</v>
      </c>
      <c r="H118" s="612">
        <f>6695+4901+2068+559+504+215+178+122+205+836+119+235+131+174+400+22</f>
        <v>17364</v>
      </c>
      <c r="I118" s="298">
        <f t="shared" si="4"/>
        <v>8.738309145358212</v>
      </c>
      <c r="J118" s="90">
        <v>108</v>
      </c>
      <c r="K118" s="504"/>
    </row>
    <row r="119" spans="1:11" s="83" customFormat="1" ht="12" customHeight="1">
      <c r="A119" s="84">
        <v>109</v>
      </c>
      <c r="B119" s="249" t="s">
        <v>57</v>
      </c>
      <c r="C119" s="100">
        <v>40655</v>
      </c>
      <c r="D119" s="101" t="s">
        <v>29</v>
      </c>
      <c r="E119" s="27">
        <v>67</v>
      </c>
      <c r="F119" s="27">
        <v>11</v>
      </c>
      <c r="G119" s="331">
        <f>67248.5+45099.5+15076+5484+3476+6884.5+3289+1008+1347+56+29</f>
        <v>148997.5</v>
      </c>
      <c r="H119" s="328">
        <f>9201+6328+2377+887+535+1078+734+154+231+8+4</f>
        <v>21537</v>
      </c>
      <c r="I119" s="89">
        <f t="shared" si="4"/>
        <v>6.9182105214282394</v>
      </c>
      <c r="J119" s="82">
        <v>109</v>
      </c>
      <c r="K119" s="504">
        <v>1</v>
      </c>
    </row>
    <row r="120" spans="1:11" s="83" customFormat="1" ht="12" customHeight="1">
      <c r="A120" s="84">
        <v>110</v>
      </c>
      <c r="B120" s="185" t="s">
        <v>197</v>
      </c>
      <c r="C120" s="2">
        <v>40592</v>
      </c>
      <c r="D120" s="15" t="s">
        <v>8</v>
      </c>
      <c r="E120" s="4">
        <v>68</v>
      </c>
      <c r="F120" s="4">
        <v>6</v>
      </c>
      <c r="G120" s="10">
        <v>148435</v>
      </c>
      <c r="H120" s="11">
        <v>15321</v>
      </c>
      <c r="I120" s="188">
        <f t="shared" si="4"/>
        <v>9.688336270478429</v>
      </c>
      <c r="J120" s="90">
        <v>110</v>
      </c>
      <c r="K120" s="504">
        <v>1</v>
      </c>
    </row>
    <row r="121" spans="1:11" s="83" customFormat="1" ht="12" customHeight="1">
      <c r="A121" s="84">
        <v>111</v>
      </c>
      <c r="B121" s="451" t="s">
        <v>198</v>
      </c>
      <c r="C121" s="171">
        <v>40662</v>
      </c>
      <c r="D121" s="101" t="s">
        <v>32</v>
      </c>
      <c r="E121" s="167">
        <v>8</v>
      </c>
      <c r="F121" s="167">
        <v>5</v>
      </c>
      <c r="G121" s="12">
        <f>67674.75+46830+18110+1476+5524</f>
        <v>139614.75</v>
      </c>
      <c r="H121" s="9">
        <f>4668+3128+1120+94+406</f>
        <v>9416</v>
      </c>
      <c r="I121" s="89">
        <f t="shared" si="4"/>
        <v>14.827394859813085</v>
      </c>
      <c r="J121" s="90">
        <v>111</v>
      </c>
      <c r="K121" s="504">
        <v>1</v>
      </c>
    </row>
    <row r="122" spans="1:11" s="83" customFormat="1" ht="12" customHeight="1">
      <c r="A122" s="84">
        <v>112</v>
      </c>
      <c r="B122" s="569" t="s">
        <v>65</v>
      </c>
      <c r="C122" s="100">
        <v>40676</v>
      </c>
      <c r="D122" s="537" t="s">
        <v>32</v>
      </c>
      <c r="E122" s="25">
        <v>10</v>
      </c>
      <c r="F122" s="25">
        <v>13</v>
      </c>
      <c r="G122" s="611">
        <f>25538+8567.5+9964.5+12234+14938.5+9476+11986.5+8134.5+5758+8917.5+7919+5060.5+2172</f>
        <v>130666.5</v>
      </c>
      <c r="H122" s="612">
        <f>2653+1137+1115+1743+2142+1338+1216+1069+896+1180+1242+698+379</f>
        <v>16808</v>
      </c>
      <c r="I122" s="298">
        <f>G122/H122</f>
        <v>7.7740659209900045</v>
      </c>
      <c r="J122" s="82">
        <v>112</v>
      </c>
      <c r="K122" s="504">
        <v>1</v>
      </c>
    </row>
    <row r="123" spans="1:11" s="83" customFormat="1" ht="12" customHeight="1">
      <c r="A123" s="84">
        <v>113</v>
      </c>
      <c r="B123" s="570" t="s">
        <v>199</v>
      </c>
      <c r="C123" s="515">
        <v>40634</v>
      </c>
      <c r="D123" s="514" t="s">
        <v>200</v>
      </c>
      <c r="E123" s="516">
        <v>1</v>
      </c>
      <c r="F123" s="516">
        <v>6</v>
      </c>
      <c r="G123" s="262">
        <v>128300</v>
      </c>
      <c r="H123" s="263">
        <v>14008</v>
      </c>
      <c r="I123" s="181">
        <f>+G123/H123</f>
        <v>9.159051970302684</v>
      </c>
      <c r="J123" s="90">
        <v>113</v>
      </c>
      <c r="K123" s="504">
        <v>1</v>
      </c>
    </row>
    <row r="124" spans="1:11" s="83" customFormat="1" ht="12" customHeight="1">
      <c r="A124" s="84">
        <v>114</v>
      </c>
      <c r="B124" s="568" t="s">
        <v>71</v>
      </c>
      <c r="C124" s="523">
        <v>40683</v>
      </c>
      <c r="D124" s="548" t="s">
        <v>64</v>
      </c>
      <c r="E124" s="547">
        <v>33</v>
      </c>
      <c r="F124" s="547">
        <v>11</v>
      </c>
      <c r="G124" s="314">
        <v>112451.75</v>
      </c>
      <c r="H124" s="311">
        <v>13719</v>
      </c>
      <c r="I124" s="309">
        <f>+G124/H124</f>
        <v>8.196789124571762</v>
      </c>
      <c r="J124" s="82">
        <v>114</v>
      </c>
      <c r="K124" s="504">
        <v>1</v>
      </c>
    </row>
    <row r="125" spans="1:11" s="83" customFormat="1" ht="12" customHeight="1">
      <c r="A125" s="84">
        <v>115</v>
      </c>
      <c r="B125" s="569" t="s">
        <v>386</v>
      </c>
      <c r="C125" s="523">
        <v>40739</v>
      </c>
      <c r="D125" s="537" t="s">
        <v>32</v>
      </c>
      <c r="E125" s="25">
        <v>156</v>
      </c>
      <c r="F125" s="25">
        <v>4</v>
      </c>
      <c r="G125" s="611">
        <f>42541+25929.5+29063+12725.5</f>
        <v>110259</v>
      </c>
      <c r="H125" s="612">
        <f>3864+2719+2642+1433</f>
        <v>10658</v>
      </c>
      <c r="I125" s="309">
        <f>+G125/H125</f>
        <v>10.345186714205292</v>
      </c>
      <c r="J125" s="90">
        <v>115</v>
      </c>
      <c r="K125" s="504"/>
    </row>
    <row r="126" spans="1:11" s="83" customFormat="1" ht="12" customHeight="1">
      <c r="A126" s="84">
        <v>116</v>
      </c>
      <c r="B126" s="450" t="s">
        <v>369</v>
      </c>
      <c r="C126" s="625">
        <v>40704</v>
      </c>
      <c r="D126" s="541" t="s">
        <v>29</v>
      </c>
      <c r="E126" s="25">
        <v>25</v>
      </c>
      <c r="F126" s="25">
        <v>9</v>
      </c>
      <c r="G126" s="580">
        <f>43219+22056.5+14006+11048+8484+3910+2043+1766+1438.5</f>
        <v>107971</v>
      </c>
      <c r="H126" s="581">
        <f>5354+2999+1948+1502+1234+633+338+284+205</f>
        <v>14497</v>
      </c>
      <c r="I126" s="309">
        <f>+G126/H126</f>
        <v>7.4478167896806236</v>
      </c>
      <c r="J126" s="90">
        <v>116</v>
      </c>
      <c r="K126" s="504"/>
    </row>
    <row r="127" spans="1:11" s="83" customFormat="1" ht="12" customHeight="1">
      <c r="A127" s="84">
        <v>117</v>
      </c>
      <c r="B127" s="568" t="s">
        <v>63</v>
      </c>
      <c r="C127" s="523">
        <v>40676</v>
      </c>
      <c r="D127" s="548" t="s">
        <v>64</v>
      </c>
      <c r="E127" s="547">
        <v>15</v>
      </c>
      <c r="F127" s="554">
        <v>13</v>
      </c>
      <c r="G127" s="580">
        <v>107879.75</v>
      </c>
      <c r="H127" s="581">
        <v>9902</v>
      </c>
      <c r="I127" s="298">
        <f>G127/H127</f>
        <v>10.894743486164412</v>
      </c>
      <c r="J127" s="82">
        <v>117</v>
      </c>
      <c r="K127" s="504"/>
    </row>
    <row r="128" spans="1:11" s="83" customFormat="1" ht="12" customHeight="1">
      <c r="A128" s="84">
        <v>118</v>
      </c>
      <c r="B128" s="158" t="s">
        <v>201</v>
      </c>
      <c r="C128" s="394">
        <v>40557</v>
      </c>
      <c r="D128" s="398" t="s">
        <v>64</v>
      </c>
      <c r="E128" s="159">
        <v>7</v>
      </c>
      <c r="F128" s="732">
        <v>13</v>
      </c>
      <c r="G128" s="733">
        <v>106233</v>
      </c>
      <c r="H128" s="556">
        <v>8418</v>
      </c>
      <c r="I128" s="316">
        <f>G128/H128</f>
        <v>12.619743406985032</v>
      </c>
      <c r="J128" s="90">
        <v>118</v>
      </c>
      <c r="K128" s="504">
        <v>1</v>
      </c>
    </row>
    <row r="129" spans="1:11" s="83" customFormat="1" ht="12" customHeight="1">
      <c r="A129" s="84">
        <v>119</v>
      </c>
      <c r="B129" s="191" t="s">
        <v>361</v>
      </c>
      <c r="C129" s="394">
        <v>40732</v>
      </c>
      <c r="D129" s="548" t="s">
        <v>64</v>
      </c>
      <c r="E129" s="547">
        <v>15</v>
      </c>
      <c r="F129" s="554">
        <v>5</v>
      </c>
      <c r="G129" s="580">
        <v>105102.5</v>
      </c>
      <c r="H129" s="581">
        <v>12071</v>
      </c>
      <c r="I129" s="298">
        <f>G129/H129</f>
        <v>8.707025101482893</v>
      </c>
      <c r="J129" s="82">
        <v>119</v>
      </c>
      <c r="K129" s="504">
        <v>1</v>
      </c>
    </row>
    <row r="130" spans="1:11" s="83" customFormat="1" ht="12" customHeight="1">
      <c r="A130" s="84">
        <v>120</v>
      </c>
      <c r="B130" s="559" t="s">
        <v>73</v>
      </c>
      <c r="C130" s="100">
        <v>40683</v>
      </c>
      <c r="D130" s="540" t="s">
        <v>74</v>
      </c>
      <c r="E130" s="540">
        <v>10</v>
      </c>
      <c r="F130" s="577">
        <v>12</v>
      </c>
      <c r="G130" s="583">
        <v>103579</v>
      </c>
      <c r="H130" s="584">
        <v>12626</v>
      </c>
      <c r="I130" s="298">
        <f>G130/H130</f>
        <v>8.203627435450658</v>
      </c>
      <c r="J130" s="90">
        <v>120</v>
      </c>
      <c r="K130" s="504">
        <v>1</v>
      </c>
    </row>
    <row r="131" spans="1:11" s="83" customFormat="1" ht="12" customHeight="1">
      <c r="A131" s="84">
        <v>121</v>
      </c>
      <c r="B131" s="499" t="s">
        <v>129</v>
      </c>
      <c r="C131" s="26">
        <v>40627</v>
      </c>
      <c r="D131" s="537" t="s">
        <v>32</v>
      </c>
      <c r="E131" s="25">
        <v>28</v>
      </c>
      <c r="F131" s="25">
        <v>16</v>
      </c>
      <c r="G131" s="611">
        <f>43236.5+18123.5+2183+2517+14418.5+7091+2412+1549+490+210+952+2955+475+189+1225.5+4251.5+245</f>
        <v>102523.5</v>
      </c>
      <c r="H131" s="612">
        <f>4478+2475+287+545+1573+1026+361+242+70+30+145+654+78+27+178+568+31</f>
        <v>12768</v>
      </c>
      <c r="I131" s="298">
        <f>G131/H131</f>
        <v>8.029722744360901</v>
      </c>
      <c r="J131" s="90">
        <v>121</v>
      </c>
      <c r="K131" s="504">
        <v>1</v>
      </c>
    </row>
    <row r="132" spans="1:11" s="83" customFormat="1" ht="12" customHeight="1">
      <c r="A132" s="84">
        <v>122</v>
      </c>
      <c r="B132" s="384" t="s">
        <v>202</v>
      </c>
      <c r="C132" s="2">
        <v>40543</v>
      </c>
      <c r="D132" s="101" t="s">
        <v>21</v>
      </c>
      <c r="E132" s="3">
        <v>20</v>
      </c>
      <c r="F132" s="3">
        <v>14</v>
      </c>
      <c r="G132" s="41">
        <f>66843.5+17122+2473.5+3354+459+3105+2586+96+1107+715+177+672.5+455+1188</f>
        <v>100353.5</v>
      </c>
      <c r="H132" s="38">
        <f>6779+1684+271+528+66+413+401+16+171+108+29+104+65+238</f>
        <v>10873</v>
      </c>
      <c r="I132" s="89">
        <f>+G132/H132</f>
        <v>9.229605444679482</v>
      </c>
      <c r="J132" s="82">
        <v>122</v>
      </c>
      <c r="K132" s="504">
        <v>1</v>
      </c>
    </row>
    <row r="133" spans="1:11" s="83" customFormat="1" ht="12" customHeight="1">
      <c r="A133" s="84">
        <v>123</v>
      </c>
      <c r="B133" s="566" t="s">
        <v>187</v>
      </c>
      <c r="C133" s="100">
        <v>40571</v>
      </c>
      <c r="D133" s="537" t="s">
        <v>140</v>
      </c>
      <c r="E133" s="540">
        <v>20</v>
      </c>
      <c r="F133" s="25">
        <v>11</v>
      </c>
      <c r="G133" s="578">
        <v>94854</v>
      </c>
      <c r="H133" s="579">
        <v>7697</v>
      </c>
      <c r="I133" s="309">
        <f>+G133/H133</f>
        <v>12.323502663375342</v>
      </c>
      <c r="J133" s="90">
        <v>123</v>
      </c>
      <c r="K133" s="504">
        <v>1</v>
      </c>
    </row>
    <row r="134" spans="1:11" s="83" customFormat="1" ht="12" customHeight="1">
      <c r="A134" s="84">
        <v>124</v>
      </c>
      <c r="B134" s="249" t="s">
        <v>371</v>
      </c>
      <c r="C134" s="100">
        <v>40655</v>
      </c>
      <c r="D134" s="101" t="s">
        <v>81</v>
      </c>
      <c r="E134" s="4">
        <v>10</v>
      </c>
      <c r="F134" s="4">
        <v>9</v>
      </c>
      <c r="G134" s="10">
        <v>93373.5</v>
      </c>
      <c r="H134" s="11">
        <v>8637</v>
      </c>
      <c r="I134" s="89">
        <f>+G134/H134</f>
        <v>10.8108718304967</v>
      </c>
      <c r="J134" s="82">
        <v>124</v>
      </c>
      <c r="K134" s="504">
        <v>1</v>
      </c>
    </row>
    <row r="135" spans="1:11" s="83" customFormat="1" ht="12" customHeight="1">
      <c r="A135" s="84">
        <v>125</v>
      </c>
      <c r="B135" s="399" t="s">
        <v>204</v>
      </c>
      <c r="C135" s="400">
        <v>40620</v>
      </c>
      <c r="D135" s="101" t="s">
        <v>140</v>
      </c>
      <c r="E135" s="27">
        <v>15</v>
      </c>
      <c r="F135" s="27">
        <v>10</v>
      </c>
      <c r="G135" s="372">
        <v>92635</v>
      </c>
      <c r="H135" s="373">
        <v>7488</v>
      </c>
      <c r="I135" s="92">
        <f>G135/H135</f>
        <v>12.371127136752136</v>
      </c>
      <c r="J135" s="90">
        <v>125</v>
      </c>
      <c r="K135" s="504">
        <v>1</v>
      </c>
    </row>
    <row r="136" spans="1:11" s="83" customFormat="1" ht="12" customHeight="1">
      <c r="A136" s="84">
        <v>126</v>
      </c>
      <c r="B136" s="566" t="s">
        <v>396</v>
      </c>
      <c r="C136" s="523">
        <v>40746</v>
      </c>
      <c r="D136" s="537" t="s">
        <v>21</v>
      </c>
      <c r="E136" s="16">
        <v>23</v>
      </c>
      <c r="F136" s="16">
        <v>3</v>
      </c>
      <c r="G136" s="582">
        <f>47685+27229.5+17697.5</f>
        <v>92612</v>
      </c>
      <c r="H136" s="311">
        <f>4321+2419+2108</f>
        <v>8848</v>
      </c>
      <c r="I136" s="298">
        <f>G136/H136</f>
        <v>10.466998191681736</v>
      </c>
      <c r="J136" s="90">
        <v>126</v>
      </c>
      <c r="K136" s="504">
        <v>1</v>
      </c>
    </row>
    <row r="137" spans="1:11" s="83" customFormat="1" ht="12" customHeight="1">
      <c r="A137" s="84">
        <v>127</v>
      </c>
      <c r="B137" s="499" t="s">
        <v>238</v>
      </c>
      <c r="C137" s="26">
        <v>40711</v>
      </c>
      <c r="D137" s="537" t="s">
        <v>32</v>
      </c>
      <c r="E137" s="25">
        <v>35</v>
      </c>
      <c r="F137" s="25">
        <v>8</v>
      </c>
      <c r="G137" s="611">
        <f>42716+18359+6954+4671+7219+4213.5+7453.5+115</f>
        <v>91701</v>
      </c>
      <c r="H137" s="612">
        <f>3820+1772+995+686+1245+656+919+17</f>
        <v>10110</v>
      </c>
      <c r="I137" s="298">
        <f>G137/H137</f>
        <v>9.070326409495548</v>
      </c>
      <c r="J137" s="82">
        <v>127</v>
      </c>
      <c r="K137" s="504">
        <v>1</v>
      </c>
    </row>
    <row r="138" spans="1:11" s="83" customFormat="1" ht="12" customHeight="1">
      <c r="A138" s="84">
        <v>128</v>
      </c>
      <c r="B138" s="191" t="s">
        <v>239</v>
      </c>
      <c r="C138" s="394">
        <v>40711</v>
      </c>
      <c r="D138" s="548" t="s">
        <v>64</v>
      </c>
      <c r="E138" s="547">
        <v>10</v>
      </c>
      <c r="F138" s="547">
        <v>8</v>
      </c>
      <c r="G138" s="314">
        <v>91223</v>
      </c>
      <c r="H138" s="311">
        <v>9788</v>
      </c>
      <c r="I138" s="298">
        <f>G138/H138</f>
        <v>9.319881487535758</v>
      </c>
      <c r="J138" s="90">
        <v>128</v>
      </c>
      <c r="K138" s="504">
        <v>1</v>
      </c>
    </row>
    <row r="139" spans="1:11" s="83" customFormat="1" ht="12" customHeight="1">
      <c r="A139" s="84">
        <v>129</v>
      </c>
      <c r="B139" s="571" t="s">
        <v>203</v>
      </c>
      <c r="C139" s="171">
        <v>40564</v>
      </c>
      <c r="D139" s="101" t="s">
        <v>32</v>
      </c>
      <c r="E139" s="172">
        <v>13</v>
      </c>
      <c r="F139" s="172">
        <v>10</v>
      </c>
      <c r="G139" s="12">
        <f>64028+21223+629+205+489+141+1188+2376+335+485</f>
        <v>91099</v>
      </c>
      <c r="H139" s="9">
        <f>5321+1577+38+24+63+17+297+594+36+47</f>
        <v>8014</v>
      </c>
      <c r="I139" s="92">
        <f>G139/H139</f>
        <v>11.36748190666334</v>
      </c>
      <c r="J139" s="82">
        <v>129</v>
      </c>
      <c r="K139" s="504"/>
    </row>
    <row r="140" spans="1:11" s="83" customFormat="1" ht="12" customHeight="1">
      <c r="A140" s="84">
        <v>130</v>
      </c>
      <c r="B140" s="450" t="s">
        <v>394</v>
      </c>
      <c r="C140" s="523">
        <v>40690</v>
      </c>
      <c r="D140" s="548" t="s">
        <v>64</v>
      </c>
      <c r="E140" s="547">
        <v>17</v>
      </c>
      <c r="F140" s="547">
        <v>11</v>
      </c>
      <c r="G140" s="314">
        <v>86387.5</v>
      </c>
      <c r="H140" s="311">
        <v>10707</v>
      </c>
      <c r="I140" s="309">
        <f>+G140/H140</f>
        <v>8.06831979079107</v>
      </c>
      <c r="J140" s="90">
        <v>130</v>
      </c>
      <c r="K140" s="504"/>
    </row>
    <row r="141" spans="1:11" s="83" customFormat="1" ht="12" customHeight="1">
      <c r="A141" s="84">
        <v>131</v>
      </c>
      <c r="B141" s="566" t="s">
        <v>387</v>
      </c>
      <c r="C141" s="523">
        <v>40739</v>
      </c>
      <c r="D141" s="537" t="s">
        <v>64</v>
      </c>
      <c r="E141" s="540">
        <v>15</v>
      </c>
      <c r="F141" s="547">
        <v>4</v>
      </c>
      <c r="G141" s="314">
        <v>84776.5</v>
      </c>
      <c r="H141" s="311">
        <v>8418</v>
      </c>
      <c r="I141" s="309">
        <f>+G141/H141</f>
        <v>10.070860061772393</v>
      </c>
      <c r="J141" s="90">
        <v>131</v>
      </c>
      <c r="K141" s="504"/>
    </row>
    <row r="142" spans="1:11" s="83" customFormat="1" ht="12" customHeight="1">
      <c r="A142" s="84">
        <v>132</v>
      </c>
      <c r="B142" s="568" t="s">
        <v>72</v>
      </c>
      <c r="C142" s="523">
        <v>40683</v>
      </c>
      <c r="D142" s="548" t="s">
        <v>64</v>
      </c>
      <c r="E142" s="547">
        <v>15</v>
      </c>
      <c r="F142" s="547">
        <v>12</v>
      </c>
      <c r="G142" s="314">
        <v>77786.25</v>
      </c>
      <c r="H142" s="311">
        <v>7307</v>
      </c>
      <c r="I142" s="309">
        <f>+G142/H142</f>
        <v>10.645442726153004</v>
      </c>
      <c r="J142" s="82">
        <v>132</v>
      </c>
      <c r="K142" s="504"/>
    </row>
    <row r="143" spans="1:11" s="83" customFormat="1" ht="12" customHeight="1">
      <c r="A143" s="84">
        <v>133</v>
      </c>
      <c r="B143" s="249" t="s">
        <v>373</v>
      </c>
      <c r="C143" s="26">
        <v>40690</v>
      </c>
      <c r="D143" s="537" t="s">
        <v>32</v>
      </c>
      <c r="E143" s="25">
        <v>11</v>
      </c>
      <c r="F143" s="25">
        <v>11</v>
      </c>
      <c r="G143" s="611">
        <f>21135+10001+7203+6368+7720+4884+7428.5+4294.5+2616+4268+595</f>
        <v>76513</v>
      </c>
      <c r="H143" s="612">
        <f>2229+1334+989+996+1479+737+886+576+402+612+88</f>
        <v>10328</v>
      </c>
      <c r="I143" s="298">
        <f>+G143/H143</f>
        <v>7.408307513555384</v>
      </c>
      <c r="J143" s="90">
        <v>133</v>
      </c>
      <c r="K143" s="504">
        <v>1</v>
      </c>
    </row>
    <row r="144" spans="1:11" s="83" customFormat="1" ht="12" customHeight="1">
      <c r="A144" s="84">
        <v>134</v>
      </c>
      <c r="B144" s="513" t="s">
        <v>76</v>
      </c>
      <c r="C144" s="100">
        <v>40655</v>
      </c>
      <c r="D144" s="101" t="s">
        <v>77</v>
      </c>
      <c r="E144" s="27">
        <v>5</v>
      </c>
      <c r="F144" s="27">
        <v>14</v>
      </c>
      <c r="G144" s="327">
        <v>74008</v>
      </c>
      <c r="H144" s="328">
        <v>11689</v>
      </c>
      <c r="I144" s="89">
        <f>+G144/H144</f>
        <v>6.331422705107366</v>
      </c>
      <c r="J144" s="82">
        <v>134</v>
      </c>
      <c r="K144" s="504"/>
    </row>
    <row r="145" spans="1:11" s="83" customFormat="1" ht="12" customHeight="1">
      <c r="A145" s="84">
        <v>135</v>
      </c>
      <c r="B145" s="158" t="s">
        <v>205</v>
      </c>
      <c r="C145" s="26">
        <v>40543</v>
      </c>
      <c r="D145" s="24" t="s">
        <v>46</v>
      </c>
      <c r="E145" s="27">
        <v>37</v>
      </c>
      <c r="F145" s="27">
        <v>11</v>
      </c>
      <c r="G145" s="37">
        <v>70550.5</v>
      </c>
      <c r="H145" s="38">
        <v>10066</v>
      </c>
      <c r="I145" s="269">
        <f>G145/H145</f>
        <v>7.008791972978343</v>
      </c>
      <c r="J145" s="90">
        <v>135</v>
      </c>
      <c r="K145" s="504">
        <v>1</v>
      </c>
    </row>
    <row r="146" spans="1:11" s="83" customFormat="1" ht="12" customHeight="1">
      <c r="A146" s="84">
        <v>136</v>
      </c>
      <c r="B146" s="559" t="s">
        <v>419</v>
      </c>
      <c r="C146" s="100">
        <v>40760</v>
      </c>
      <c r="D146" s="541" t="s">
        <v>8</v>
      </c>
      <c r="E146" s="18">
        <v>15</v>
      </c>
      <c r="F146" s="18">
        <v>1</v>
      </c>
      <c r="G146" s="583">
        <v>70269</v>
      </c>
      <c r="H146" s="584">
        <v>5109</v>
      </c>
      <c r="I146" s="309">
        <f>+G146/H146</f>
        <v>13.75396359365825</v>
      </c>
      <c r="J146" s="90">
        <v>136</v>
      </c>
      <c r="K146" s="504"/>
    </row>
    <row r="147" spans="1:11" s="83" customFormat="1" ht="12" customHeight="1">
      <c r="A147" s="84">
        <v>137</v>
      </c>
      <c r="B147" s="575" t="s">
        <v>206</v>
      </c>
      <c r="C147" s="526">
        <v>40543</v>
      </c>
      <c r="D147" s="508" t="s">
        <v>64</v>
      </c>
      <c r="E147" s="192">
        <v>2</v>
      </c>
      <c r="F147" s="190">
        <v>13</v>
      </c>
      <c r="G147" s="330">
        <v>69613.5</v>
      </c>
      <c r="H147" s="328">
        <v>5640</v>
      </c>
      <c r="I147" s="92">
        <f>G147/H147</f>
        <v>12.34281914893617</v>
      </c>
      <c r="J147" s="82">
        <v>137</v>
      </c>
      <c r="K147" s="504"/>
    </row>
    <row r="148" spans="1:11" s="83" customFormat="1" ht="12" customHeight="1">
      <c r="A148" s="84">
        <v>138</v>
      </c>
      <c r="B148" s="569" t="s">
        <v>397</v>
      </c>
      <c r="C148" s="523">
        <v>40746</v>
      </c>
      <c r="D148" s="537" t="s">
        <v>32</v>
      </c>
      <c r="E148" s="25">
        <v>8</v>
      </c>
      <c r="F148" s="25">
        <v>3</v>
      </c>
      <c r="G148" s="611">
        <f>34995.5+29767+4050</f>
        <v>68812.5</v>
      </c>
      <c r="H148" s="612">
        <f>2476+2114+377</f>
        <v>4967</v>
      </c>
      <c r="I148" s="590">
        <f>+G148/H148</f>
        <v>13.853935977451178</v>
      </c>
      <c r="J148" s="90">
        <v>138</v>
      </c>
      <c r="K148" s="504"/>
    </row>
    <row r="149" spans="1:11" s="83" customFormat="1" ht="12" customHeight="1">
      <c r="A149" s="84">
        <v>139</v>
      </c>
      <c r="B149" s="499" t="s">
        <v>130</v>
      </c>
      <c r="C149" s="26">
        <v>40606</v>
      </c>
      <c r="D149" s="537" t="s">
        <v>32</v>
      </c>
      <c r="E149" s="25">
        <v>6</v>
      </c>
      <c r="F149" s="25">
        <v>19</v>
      </c>
      <c r="G149" s="611">
        <f>23509.5+4775.5+1638+419+8818.5+506+3133+2970+2646+2538+107+2062+2879.5+1195+1956+1584+3301+2206+2177</f>
        <v>68421</v>
      </c>
      <c r="H149" s="612">
        <f>1642+339+312+83+823+52+341+742+437+351+14+315+704+136+274+191+392+306+326</f>
        <v>7780</v>
      </c>
      <c r="I149" s="298">
        <f>+G149/H149</f>
        <v>8.794473007712082</v>
      </c>
      <c r="J149" s="82">
        <v>139</v>
      </c>
      <c r="K149" s="504"/>
    </row>
    <row r="150" spans="1:11" s="83" customFormat="1" ht="12" customHeight="1">
      <c r="A150" s="84">
        <v>140</v>
      </c>
      <c r="B150" s="566" t="s">
        <v>418</v>
      </c>
      <c r="C150" s="100">
        <v>40760</v>
      </c>
      <c r="D150" s="537" t="s">
        <v>21</v>
      </c>
      <c r="E150" s="16">
        <v>218</v>
      </c>
      <c r="F150" s="16">
        <v>1</v>
      </c>
      <c r="G150" s="582">
        <v>67535</v>
      </c>
      <c r="H150" s="581">
        <v>6900</v>
      </c>
      <c r="I150" s="298">
        <f>+G150/H150</f>
        <v>9.78768115942029</v>
      </c>
      <c r="J150" s="90">
        <v>140</v>
      </c>
      <c r="K150" s="504">
        <v>1</v>
      </c>
    </row>
    <row r="151" spans="1:11" s="83" customFormat="1" ht="12" customHeight="1">
      <c r="A151" s="84">
        <v>141</v>
      </c>
      <c r="B151" s="569" t="s">
        <v>264</v>
      </c>
      <c r="C151" s="100">
        <v>40725</v>
      </c>
      <c r="D151" s="537" t="s">
        <v>32</v>
      </c>
      <c r="E151" s="25">
        <v>6</v>
      </c>
      <c r="F151" s="25">
        <v>6</v>
      </c>
      <c r="G151" s="611">
        <f>16465+9500+5645+13030+10398+11692</f>
        <v>66730</v>
      </c>
      <c r="H151" s="612">
        <f>1904+1204+844+1431+1183+1312</f>
        <v>7878</v>
      </c>
      <c r="I151" s="309">
        <f>+G151/H151</f>
        <v>8.47042396547347</v>
      </c>
      <c r="J151" s="90">
        <v>141</v>
      </c>
      <c r="K151" s="504">
        <v>1</v>
      </c>
    </row>
    <row r="152" spans="1:11" s="83" customFormat="1" ht="12" customHeight="1">
      <c r="A152" s="84">
        <v>142</v>
      </c>
      <c r="B152" s="569" t="s">
        <v>75</v>
      </c>
      <c r="C152" s="100">
        <v>40683</v>
      </c>
      <c r="D152" s="537" t="s">
        <v>32</v>
      </c>
      <c r="E152" s="25">
        <v>6</v>
      </c>
      <c r="F152" s="25">
        <v>12</v>
      </c>
      <c r="G152" s="611">
        <f>16905.5+10044+3710+2342+9911.5+7248+6024+1678+1960+374+2139+2655.5</f>
        <v>64991.5</v>
      </c>
      <c r="H152" s="612">
        <f>1241+811+837+224+905+1125+738+283+277+57+267+346</f>
        <v>7111</v>
      </c>
      <c r="I152" s="298">
        <f>G152/H152</f>
        <v>9.139572493320209</v>
      </c>
      <c r="J152" s="82">
        <v>142</v>
      </c>
      <c r="K152" s="504"/>
    </row>
    <row r="153" spans="1:11" s="83" customFormat="1" ht="12" customHeight="1">
      <c r="A153" s="84">
        <v>143</v>
      </c>
      <c r="B153" s="566" t="s">
        <v>225</v>
      </c>
      <c r="C153" s="100">
        <v>40697</v>
      </c>
      <c r="D153" s="537" t="s">
        <v>46</v>
      </c>
      <c r="E153" s="16">
        <v>49</v>
      </c>
      <c r="F153" s="16">
        <v>7</v>
      </c>
      <c r="G153" s="314">
        <v>63967</v>
      </c>
      <c r="H153" s="311">
        <v>8542</v>
      </c>
      <c r="I153" s="309">
        <f>+G153/H153</f>
        <v>7.488527276984313</v>
      </c>
      <c r="J153" s="90">
        <v>143</v>
      </c>
      <c r="K153" s="504"/>
    </row>
    <row r="154" spans="1:11" s="83" customFormat="1" ht="12" customHeight="1">
      <c r="A154" s="84">
        <v>144</v>
      </c>
      <c r="B154" s="249" t="s">
        <v>47</v>
      </c>
      <c r="C154" s="100">
        <v>40655</v>
      </c>
      <c r="D154" s="101" t="s">
        <v>46</v>
      </c>
      <c r="E154" s="3">
        <v>26</v>
      </c>
      <c r="F154" s="497">
        <v>8</v>
      </c>
      <c r="G154" s="37">
        <v>60604</v>
      </c>
      <c r="H154" s="38">
        <v>9497</v>
      </c>
      <c r="I154" s="92">
        <f>G154/H154</f>
        <v>6.381383594819416</v>
      </c>
      <c r="J154" s="82">
        <v>144</v>
      </c>
      <c r="K154" s="504">
        <v>1</v>
      </c>
    </row>
    <row r="155" spans="1:11" s="83" customFormat="1" ht="12" customHeight="1">
      <c r="A155" s="84">
        <v>145</v>
      </c>
      <c r="B155" s="576" t="s">
        <v>207</v>
      </c>
      <c r="C155" s="389">
        <v>40585</v>
      </c>
      <c r="D155" s="527" t="s">
        <v>23</v>
      </c>
      <c r="E155" s="528">
        <v>13</v>
      </c>
      <c r="F155" s="528">
        <v>2</v>
      </c>
      <c r="G155" s="264">
        <v>60408</v>
      </c>
      <c r="H155" s="265">
        <v>4591</v>
      </c>
      <c r="I155" s="181">
        <v>13.157917664996733</v>
      </c>
      <c r="J155" s="90">
        <v>145</v>
      </c>
      <c r="K155" s="504"/>
    </row>
    <row r="156" spans="1:11" s="83" customFormat="1" ht="12" customHeight="1">
      <c r="A156" s="84">
        <v>146</v>
      </c>
      <c r="B156" s="499" t="s">
        <v>211</v>
      </c>
      <c r="C156" s="26">
        <v>40662</v>
      </c>
      <c r="D156" s="537" t="s">
        <v>32</v>
      </c>
      <c r="E156" s="25">
        <v>10</v>
      </c>
      <c r="F156" s="25">
        <v>14</v>
      </c>
      <c r="G156" s="611">
        <f>12741+4425+5437.5+2837.5+1398+7610.5+2745+1373+5773+1526+509+395+2116+2833</f>
        <v>51719.5</v>
      </c>
      <c r="H156" s="612">
        <f>1277+498+629+407+231+902+351+177+635+249+80+61+242+355</f>
        <v>6094</v>
      </c>
      <c r="I156" s="298">
        <f>G156/H156</f>
        <v>8.486954381358714</v>
      </c>
      <c r="J156" s="90">
        <v>146</v>
      </c>
      <c r="K156" s="504"/>
    </row>
    <row r="157" spans="1:11" s="83" customFormat="1" ht="12" customHeight="1">
      <c r="A157" s="84">
        <v>147</v>
      </c>
      <c r="B157" s="568" t="s">
        <v>58</v>
      </c>
      <c r="C157" s="523">
        <v>40669</v>
      </c>
      <c r="D157" s="548" t="s">
        <v>64</v>
      </c>
      <c r="E157" s="547">
        <v>10</v>
      </c>
      <c r="F157" s="547">
        <v>10</v>
      </c>
      <c r="G157" s="314">
        <v>51151.25</v>
      </c>
      <c r="H157" s="311">
        <v>4395</v>
      </c>
      <c r="I157" s="298">
        <f>G157/H157</f>
        <v>11.638509670079635</v>
      </c>
      <c r="J157" s="82">
        <v>147</v>
      </c>
      <c r="K157" s="504"/>
    </row>
    <row r="158" spans="1:11" s="83" customFormat="1" ht="12" customHeight="1">
      <c r="A158" s="84">
        <v>148</v>
      </c>
      <c r="B158" s="164" t="s">
        <v>405</v>
      </c>
      <c r="C158" s="26">
        <v>40753</v>
      </c>
      <c r="D158" s="537" t="s">
        <v>32</v>
      </c>
      <c r="E158" s="25">
        <v>13</v>
      </c>
      <c r="F158" s="25">
        <v>2</v>
      </c>
      <c r="G158" s="611">
        <f>37355+12427</f>
        <v>49782</v>
      </c>
      <c r="H158" s="612">
        <f>3112+1234</f>
        <v>4346</v>
      </c>
      <c r="I158" s="309">
        <f>+G158/H158</f>
        <v>11.454670961803957</v>
      </c>
      <c r="J158" s="90">
        <v>148</v>
      </c>
      <c r="K158" s="504"/>
    </row>
    <row r="159" spans="1:11" s="83" customFormat="1" ht="12" customHeight="1">
      <c r="A159" s="84">
        <v>149</v>
      </c>
      <c r="B159" s="559" t="s">
        <v>406</v>
      </c>
      <c r="C159" s="100">
        <v>40753</v>
      </c>
      <c r="D159" s="540" t="s">
        <v>74</v>
      </c>
      <c r="E159" s="540">
        <v>10</v>
      </c>
      <c r="F159" s="577">
        <v>2</v>
      </c>
      <c r="G159" s="314">
        <v>46724</v>
      </c>
      <c r="H159" s="311">
        <v>5392</v>
      </c>
      <c r="I159" s="309">
        <f>+G159/H159</f>
        <v>8.665430267062314</v>
      </c>
      <c r="J159" s="82">
        <v>149</v>
      </c>
      <c r="K159" s="504">
        <v>1</v>
      </c>
    </row>
    <row r="160" spans="1:11" s="83" customFormat="1" ht="12" customHeight="1">
      <c r="A160" s="84">
        <v>150</v>
      </c>
      <c r="B160" s="499" t="s">
        <v>66</v>
      </c>
      <c r="C160" s="26">
        <v>40676</v>
      </c>
      <c r="D160" s="537" t="s">
        <v>32</v>
      </c>
      <c r="E160" s="25">
        <v>10</v>
      </c>
      <c r="F160" s="25">
        <v>13</v>
      </c>
      <c r="G160" s="611">
        <f>19776.5+5289.5+3941.5+4149+6030.5+491+2263+886+669+235+576+182+578</f>
        <v>45067</v>
      </c>
      <c r="H160" s="612">
        <f>2214+710+772+646+1024+103+434+139+105+46+100+16+62</f>
        <v>6371</v>
      </c>
      <c r="I160" s="298">
        <f>G160/H160</f>
        <v>7.073771778370743</v>
      </c>
      <c r="J160" s="90">
        <v>150</v>
      </c>
      <c r="K160" s="504"/>
    </row>
    <row r="161" spans="1:11" s="83" customFormat="1" ht="12" customHeight="1">
      <c r="A161" s="84">
        <v>151</v>
      </c>
      <c r="B161" s="570" t="s">
        <v>208</v>
      </c>
      <c r="C161" s="515">
        <v>40634</v>
      </c>
      <c r="D161" s="514" t="s">
        <v>209</v>
      </c>
      <c r="E161" s="516">
        <v>10</v>
      </c>
      <c r="F161" s="516">
        <v>5</v>
      </c>
      <c r="G161" s="262">
        <v>42084</v>
      </c>
      <c r="H161" s="263">
        <v>6690</v>
      </c>
      <c r="I161" s="181">
        <f>+G161/H161</f>
        <v>6.290582959641256</v>
      </c>
      <c r="J161" s="90">
        <v>151</v>
      </c>
      <c r="K161" s="504"/>
    </row>
    <row r="162" spans="1:11" s="83" customFormat="1" ht="12" customHeight="1">
      <c r="A162" s="84">
        <v>152</v>
      </c>
      <c r="B162" s="451" t="s">
        <v>30</v>
      </c>
      <c r="C162" s="171">
        <v>40634</v>
      </c>
      <c r="D162" s="101" t="s">
        <v>32</v>
      </c>
      <c r="E162" s="172">
        <v>15</v>
      </c>
      <c r="F162" s="172">
        <v>12</v>
      </c>
      <c r="G162" s="12">
        <f>24857+8396+642+3588+1398.5+758+731+306+150+623+266</f>
        <v>41715.5</v>
      </c>
      <c r="H162" s="9">
        <f>1900+772+80+693+212+86+92+46+22+124+39</f>
        <v>4066</v>
      </c>
      <c r="I162" s="89">
        <f>+G162/H162</f>
        <v>10.259591736350222</v>
      </c>
      <c r="J162" s="82">
        <v>152</v>
      </c>
      <c r="K162" s="504"/>
    </row>
    <row r="163" spans="1:11" s="83" customFormat="1" ht="12" customHeight="1">
      <c r="A163" s="84">
        <v>153</v>
      </c>
      <c r="B163" s="566" t="s">
        <v>252</v>
      </c>
      <c r="C163" s="100">
        <v>40718</v>
      </c>
      <c r="D163" s="537" t="s">
        <v>140</v>
      </c>
      <c r="E163" s="25">
        <v>4</v>
      </c>
      <c r="F163" s="25">
        <v>7</v>
      </c>
      <c r="G163" s="734">
        <v>40123</v>
      </c>
      <c r="H163" s="735">
        <v>3622</v>
      </c>
      <c r="I163" s="298">
        <f>G163/H163</f>
        <v>11.077581446714522</v>
      </c>
      <c r="J163" s="90">
        <v>153</v>
      </c>
      <c r="K163" s="504">
        <v>1</v>
      </c>
    </row>
    <row r="164" spans="1:11" s="83" customFormat="1" ht="12" customHeight="1">
      <c r="A164" s="84">
        <v>154</v>
      </c>
      <c r="B164" s="499" t="s">
        <v>235</v>
      </c>
      <c r="C164" s="26">
        <v>40704</v>
      </c>
      <c r="D164" s="537" t="s">
        <v>32</v>
      </c>
      <c r="E164" s="25">
        <v>5</v>
      </c>
      <c r="F164" s="25">
        <v>9</v>
      </c>
      <c r="G164" s="611">
        <f>20401.5+5027+2422+1135.5+4917+1138.5+597+1238.5+1934</f>
        <v>38811</v>
      </c>
      <c r="H164" s="612">
        <f>1380+485+214+81+460+135+75+159+185</f>
        <v>3174</v>
      </c>
      <c r="I164" s="298">
        <f>G164/H164</f>
        <v>12.227788279773156</v>
      </c>
      <c r="J164" s="82">
        <v>154</v>
      </c>
      <c r="K164" s="504"/>
    </row>
    <row r="165" spans="1:11" s="83" customFormat="1" ht="12" customHeight="1">
      <c r="A165" s="84">
        <v>155</v>
      </c>
      <c r="B165" s="566" t="s">
        <v>59</v>
      </c>
      <c r="C165" s="100">
        <v>40669</v>
      </c>
      <c r="D165" s="537" t="s">
        <v>21</v>
      </c>
      <c r="E165" s="16">
        <v>9</v>
      </c>
      <c r="F165" s="16">
        <v>14</v>
      </c>
      <c r="G165" s="582">
        <f>10611.5+6246+3879+1660+2650+3829+1318+645+1041+24+977.5+84+1681+166</f>
        <v>34812</v>
      </c>
      <c r="H165" s="311">
        <f>1405+909+512+224+387+611+221+87+151+4+128+14+189+28</f>
        <v>4870</v>
      </c>
      <c r="I165" s="298">
        <f>G165/H165</f>
        <v>7.148254620123203</v>
      </c>
      <c r="J165" s="90">
        <v>155</v>
      </c>
      <c r="K165" s="504"/>
    </row>
    <row r="166" spans="1:11" s="83" customFormat="1" ht="12" customHeight="1">
      <c r="A166" s="84">
        <v>156</v>
      </c>
      <c r="B166" s="450" t="s">
        <v>375</v>
      </c>
      <c r="C166" s="100">
        <v>40725</v>
      </c>
      <c r="D166" s="548" t="s">
        <v>64</v>
      </c>
      <c r="E166" s="547">
        <v>3</v>
      </c>
      <c r="F166" s="547">
        <v>6</v>
      </c>
      <c r="G166" s="314">
        <v>34424</v>
      </c>
      <c r="H166" s="311">
        <v>3608</v>
      </c>
      <c r="I166" s="298">
        <f>G166/H166</f>
        <v>9.541019955654102</v>
      </c>
      <c r="J166" s="90">
        <v>156</v>
      </c>
      <c r="K166" s="504"/>
    </row>
    <row r="167" spans="1:11" s="83" customFormat="1" ht="12" customHeight="1">
      <c r="A167" s="84">
        <v>157</v>
      </c>
      <c r="B167" s="191" t="s">
        <v>51</v>
      </c>
      <c r="C167" s="625">
        <v>40662</v>
      </c>
      <c r="D167" s="548" t="s">
        <v>64</v>
      </c>
      <c r="E167" s="547">
        <v>4</v>
      </c>
      <c r="F167" s="547">
        <v>13</v>
      </c>
      <c r="G167" s="314">
        <v>33495.75</v>
      </c>
      <c r="H167" s="311">
        <v>4155</v>
      </c>
      <c r="I167" s="309">
        <f>+G167/H167</f>
        <v>8.061552346570398</v>
      </c>
      <c r="J167" s="82">
        <v>157</v>
      </c>
      <c r="K167" s="504"/>
    </row>
    <row r="168" spans="1:11" s="83" customFormat="1" ht="12" customHeight="1">
      <c r="A168" s="84">
        <v>158</v>
      </c>
      <c r="B168" s="576" t="s">
        <v>256</v>
      </c>
      <c r="C168" s="389">
        <v>40606</v>
      </c>
      <c r="D168" s="527" t="s">
        <v>29</v>
      </c>
      <c r="E168" s="528">
        <v>30</v>
      </c>
      <c r="F168" s="528">
        <v>4</v>
      </c>
      <c r="G168" s="264">
        <v>32873.5</v>
      </c>
      <c r="H168" s="261">
        <v>5254</v>
      </c>
      <c r="I168" s="181">
        <v>6.25685192234488</v>
      </c>
      <c r="J168" s="90">
        <v>158</v>
      </c>
      <c r="K168" s="504">
        <v>1</v>
      </c>
    </row>
    <row r="169" spans="1:11" s="83" customFormat="1" ht="12" customHeight="1">
      <c r="A169" s="84">
        <v>159</v>
      </c>
      <c r="B169" s="568" t="s">
        <v>420</v>
      </c>
      <c r="C169" s="521">
        <v>40760</v>
      </c>
      <c r="D169" s="548" t="s">
        <v>64</v>
      </c>
      <c r="E169" s="547">
        <v>15</v>
      </c>
      <c r="F169" s="547">
        <v>1</v>
      </c>
      <c r="G169" s="314">
        <v>31880</v>
      </c>
      <c r="H169" s="311">
        <v>3636</v>
      </c>
      <c r="I169" s="298">
        <f>G169/H169</f>
        <v>8.767876787678768</v>
      </c>
      <c r="J169" s="82">
        <v>159</v>
      </c>
      <c r="K169" s="504"/>
    </row>
    <row r="170" spans="1:11" s="83" customFormat="1" ht="12" customHeight="1">
      <c r="A170" s="84">
        <v>160</v>
      </c>
      <c r="B170" s="450" t="s">
        <v>374</v>
      </c>
      <c r="C170" s="523">
        <v>40627</v>
      </c>
      <c r="D170" s="548" t="s">
        <v>64</v>
      </c>
      <c r="E170" s="547">
        <v>2</v>
      </c>
      <c r="F170" s="547">
        <v>20</v>
      </c>
      <c r="G170" s="314">
        <v>31879</v>
      </c>
      <c r="H170" s="311">
        <v>4399</v>
      </c>
      <c r="I170" s="309">
        <f>+G170/H170</f>
        <v>7.246874289611275</v>
      </c>
      <c r="J170" s="90">
        <v>160</v>
      </c>
      <c r="K170" s="504"/>
    </row>
    <row r="171" spans="1:11" s="83" customFormat="1" ht="12" customHeight="1">
      <c r="A171" s="84">
        <v>161</v>
      </c>
      <c r="B171" s="721">
        <v>3</v>
      </c>
      <c r="C171" s="523">
        <v>40746</v>
      </c>
      <c r="D171" s="537" t="s">
        <v>32</v>
      </c>
      <c r="E171" s="25">
        <v>5</v>
      </c>
      <c r="F171" s="25">
        <v>3</v>
      </c>
      <c r="G171" s="611">
        <f>15287.5+10909.5+3453.5</f>
        <v>29650.5</v>
      </c>
      <c r="H171" s="612">
        <f>1370+1093+336</f>
        <v>2799</v>
      </c>
      <c r="I171" s="309">
        <f>+G171/H171</f>
        <v>10.593247588424438</v>
      </c>
      <c r="J171" s="90">
        <v>161</v>
      </c>
      <c r="K171" s="504"/>
    </row>
    <row r="172" spans="1:11" s="83" customFormat="1" ht="12" customHeight="1">
      <c r="A172" s="84">
        <v>162</v>
      </c>
      <c r="B172" s="249" t="s">
        <v>376</v>
      </c>
      <c r="C172" s="100">
        <v>40718</v>
      </c>
      <c r="D172" s="537" t="s">
        <v>64</v>
      </c>
      <c r="E172" s="547">
        <v>5</v>
      </c>
      <c r="F172" s="547">
        <v>7</v>
      </c>
      <c r="G172" s="314">
        <v>25390.75</v>
      </c>
      <c r="H172" s="311">
        <v>2449</v>
      </c>
      <c r="I172" s="298">
        <f>G172/H172</f>
        <v>10.367803184973459</v>
      </c>
      <c r="J172" s="82">
        <v>162</v>
      </c>
      <c r="K172" s="504"/>
    </row>
    <row r="173" spans="1:11" s="83" customFormat="1" ht="12" customHeight="1">
      <c r="A173" s="84">
        <v>163</v>
      </c>
      <c r="B173" s="191" t="s">
        <v>227</v>
      </c>
      <c r="C173" s="394">
        <v>40697</v>
      </c>
      <c r="D173" s="548" t="s">
        <v>64</v>
      </c>
      <c r="E173" s="547">
        <v>2</v>
      </c>
      <c r="F173" s="547">
        <v>10</v>
      </c>
      <c r="G173" s="314">
        <v>25178</v>
      </c>
      <c r="H173" s="581">
        <v>2841</v>
      </c>
      <c r="I173" s="298">
        <f>+G173/H173</f>
        <v>8.86237240408307</v>
      </c>
      <c r="J173" s="90">
        <v>163</v>
      </c>
      <c r="K173" s="504"/>
    </row>
    <row r="174" spans="1:11" s="83" customFormat="1" ht="12" customHeight="1">
      <c r="A174" s="84">
        <v>164</v>
      </c>
      <c r="B174" s="158" t="s">
        <v>210</v>
      </c>
      <c r="C174" s="26">
        <v>40557</v>
      </c>
      <c r="D174" s="24" t="s">
        <v>140</v>
      </c>
      <c r="E174" s="27">
        <v>12</v>
      </c>
      <c r="F174" s="27">
        <v>7</v>
      </c>
      <c r="G174" s="471">
        <v>25081</v>
      </c>
      <c r="H174" s="472">
        <v>2782</v>
      </c>
      <c r="I174" s="197">
        <v>9.015456506110711</v>
      </c>
      <c r="J174" s="90">
        <v>164</v>
      </c>
      <c r="K174" s="504"/>
    </row>
    <row r="175" spans="1:11" s="83" customFormat="1" ht="12" customHeight="1">
      <c r="A175" s="84">
        <v>165</v>
      </c>
      <c r="B175" s="568" t="s">
        <v>388</v>
      </c>
      <c r="C175" s="523">
        <v>40739</v>
      </c>
      <c r="D175" s="548" t="s">
        <v>64</v>
      </c>
      <c r="E175" s="554">
        <v>3</v>
      </c>
      <c r="F175" s="554">
        <v>4</v>
      </c>
      <c r="G175" s="580">
        <v>24124.5</v>
      </c>
      <c r="H175" s="581">
        <v>2326</v>
      </c>
      <c r="I175" s="298">
        <f>+G175/H175</f>
        <v>10.371668099742047</v>
      </c>
      <c r="J175" s="82">
        <v>165</v>
      </c>
      <c r="K175" s="504"/>
    </row>
    <row r="176" spans="1:11" s="83" customFormat="1" ht="12" customHeight="1">
      <c r="A176" s="84">
        <v>166</v>
      </c>
      <c r="B176" s="566" t="s">
        <v>220</v>
      </c>
      <c r="C176" s="100">
        <v>40690</v>
      </c>
      <c r="D176" s="537" t="s">
        <v>21</v>
      </c>
      <c r="E176" s="16">
        <v>5</v>
      </c>
      <c r="F176" s="16">
        <v>11</v>
      </c>
      <c r="G176" s="582">
        <f>10523.5+2274+1975+2483+1830+1012+648.5+1263+1016+808+150</f>
        <v>23983</v>
      </c>
      <c r="H176" s="581">
        <f>1295+340+276+411+209+137+95+167+160+122+24</f>
        <v>3236</v>
      </c>
      <c r="I176" s="309">
        <f>+G176/H176</f>
        <v>7.411310259579728</v>
      </c>
      <c r="J176" s="90">
        <v>166</v>
      </c>
      <c r="K176" s="504"/>
    </row>
    <row r="177" spans="1:11" s="83" customFormat="1" ht="12" customHeight="1">
      <c r="A177" s="84">
        <v>167</v>
      </c>
      <c r="B177" s="499" t="s">
        <v>213</v>
      </c>
      <c r="C177" s="26">
        <v>40662</v>
      </c>
      <c r="D177" s="537" t="s">
        <v>32</v>
      </c>
      <c r="E177" s="25">
        <v>10</v>
      </c>
      <c r="F177" s="25">
        <v>11</v>
      </c>
      <c r="G177" s="611">
        <f>12563.75+2983.5+2680+354+641+412+470+299+1405.5+1335+741</f>
        <v>23884.75</v>
      </c>
      <c r="H177" s="612">
        <f>1693+350+279+68+81+51+66+35+228+169+92</f>
        <v>3112</v>
      </c>
      <c r="I177" s="298">
        <f>G177/H177</f>
        <v>7.675048200514139</v>
      </c>
      <c r="J177" s="82">
        <v>167</v>
      </c>
      <c r="K177" s="504"/>
    </row>
    <row r="178" spans="1:11" s="83" customFormat="1" ht="12" customHeight="1">
      <c r="A178" s="84">
        <v>168</v>
      </c>
      <c r="B178" s="568" t="s">
        <v>243</v>
      </c>
      <c r="C178" s="394">
        <v>40711</v>
      </c>
      <c r="D178" s="548" t="s">
        <v>64</v>
      </c>
      <c r="E178" s="547">
        <v>4</v>
      </c>
      <c r="F178" s="547">
        <v>8</v>
      </c>
      <c r="G178" s="314">
        <v>23832.5</v>
      </c>
      <c r="H178" s="311">
        <v>2154</v>
      </c>
      <c r="I178" s="309">
        <f aca="true" t="shared" si="5" ref="I178:I184">+G178/H178</f>
        <v>11.064298978644382</v>
      </c>
      <c r="J178" s="90">
        <v>168</v>
      </c>
      <c r="K178" s="504"/>
    </row>
    <row r="179" spans="1:11" s="83" customFormat="1" ht="12" customHeight="1">
      <c r="A179" s="84">
        <v>169</v>
      </c>
      <c r="B179" s="451" t="s">
        <v>212</v>
      </c>
      <c r="C179" s="171">
        <v>40550</v>
      </c>
      <c r="D179" s="101" t="s">
        <v>32</v>
      </c>
      <c r="E179" s="172">
        <v>2</v>
      </c>
      <c r="F179" s="172">
        <v>11</v>
      </c>
      <c r="G179" s="12">
        <f>8356+3109+3208+1189+694+1140+96+624+1782+356.5+2856.5</f>
        <v>23411</v>
      </c>
      <c r="H179" s="9">
        <f>789+330+327+132+146+315+11+68+446+89+680</f>
        <v>3333</v>
      </c>
      <c r="I179" s="89">
        <f t="shared" si="5"/>
        <v>7.024002400240024</v>
      </c>
      <c r="J179" s="90">
        <v>169</v>
      </c>
      <c r="K179" s="504"/>
    </row>
    <row r="180" spans="1:11" s="83" customFormat="1" ht="12" customHeight="1">
      <c r="A180" s="84">
        <v>170</v>
      </c>
      <c r="B180" s="499" t="s">
        <v>425</v>
      </c>
      <c r="C180" s="26">
        <v>40760</v>
      </c>
      <c r="D180" s="537" t="s">
        <v>32</v>
      </c>
      <c r="E180" s="25">
        <v>8</v>
      </c>
      <c r="F180" s="25">
        <v>1</v>
      </c>
      <c r="G180" s="611">
        <f>23216</f>
        <v>23216</v>
      </c>
      <c r="H180" s="612">
        <f>1703</f>
        <v>1703</v>
      </c>
      <c r="I180" s="298">
        <f t="shared" si="5"/>
        <v>13.632413388138579</v>
      </c>
      <c r="J180" s="82">
        <v>170</v>
      </c>
      <c r="K180" s="504"/>
    </row>
    <row r="181" spans="1:11" s="83" customFormat="1" ht="12" customHeight="1">
      <c r="A181" s="84">
        <v>171</v>
      </c>
      <c r="B181" s="566" t="s">
        <v>236</v>
      </c>
      <c r="C181" s="394">
        <v>40704</v>
      </c>
      <c r="D181" s="537" t="s">
        <v>46</v>
      </c>
      <c r="E181" s="25">
        <v>35</v>
      </c>
      <c r="F181" s="25">
        <v>8</v>
      </c>
      <c r="G181" s="314">
        <v>22457.5</v>
      </c>
      <c r="H181" s="311">
        <v>2971</v>
      </c>
      <c r="I181" s="309">
        <f t="shared" si="5"/>
        <v>7.558902726354763</v>
      </c>
      <c r="J181" s="90">
        <v>171</v>
      </c>
      <c r="K181" s="504"/>
    </row>
    <row r="182" spans="1:11" s="83" customFormat="1" ht="12" customHeight="1">
      <c r="A182" s="84">
        <v>172</v>
      </c>
      <c r="B182" s="567" t="s">
        <v>228</v>
      </c>
      <c r="C182" s="171">
        <v>40697</v>
      </c>
      <c r="D182" s="537" t="s">
        <v>32</v>
      </c>
      <c r="E182" s="543">
        <v>6</v>
      </c>
      <c r="F182" s="543">
        <v>9</v>
      </c>
      <c r="G182" s="611">
        <f>7308.5+4183+1649+2054+1803+655+1433+1497+84</f>
        <v>20666.5</v>
      </c>
      <c r="H182" s="612">
        <f>676+456+178+256+234+96+216+221+14</f>
        <v>2347</v>
      </c>
      <c r="I182" s="298">
        <f t="shared" si="5"/>
        <v>8.805496378355347</v>
      </c>
      <c r="J182" s="82">
        <v>172</v>
      </c>
      <c r="K182" s="504"/>
    </row>
    <row r="183" spans="1:11" s="83" customFormat="1" ht="12" customHeight="1">
      <c r="A183" s="84">
        <v>173</v>
      </c>
      <c r="B183" s="499" t="s">
        <v>265</v>
      </c>
      <c r="C183" s="100">
        <v>40725</v>
      </c>
      <c r="D183" s="537" t="s">
        <v>32</v>
      </c>
      <c r="E183" s="25">
        <v>5</v>
      </c>
      <c r="F183" s="25">
        <v>6</v>
      </c>
      <c r="G183" s="611">
        <f>10816+3994+1279+2322+578+830</f>
        <v>19819</v>
      </c>
      <c r="H183" s="612">
        <f>727+361+121+270+90+111</f>
        <v>1680</v>
      </c>
      <c r="I183" s="298">
        <f t="shared" si="5"/>
        <v>11.79702380952381</v>
      </c>
      <c r="J183" s="90">
        <v>173</v>
      </c>
      <c r="K183" s="504"/>
    </row>
    <row r="184" spans="1:11" s="83" customFormat="1" ht="12" customHeight="1">
      <c r="A184" s="84">
        <v>174</v>
      </c>
      <c r="B184" s="566" t="s">
        <v>215</v>
      </c>
      <c r="C184" s="625">
        <v>40592</v>
      </c>
      <c r="D184" s="537" t="s">
        <v>46</v>
      </c>
      <c r="E184" s="25">
        <v>6</v>
      </c>
      <c r="F184" s="25">
        <v>10</v>
      </c>
      <c r="G184" s="314">
        <v>17394</v>
      </c>
      <c r="H184" s="311">
        <v>2352</v>
      </c>
      <c r="I184" s="309">
        <f t="shared" si="5"/>
        <v>7.395408163265306</v>
      </c>
      <c r="J184" s="90">
        <v>174</v>
      </c>
      <c r="K184" s="504"/>
    </row>
    <row r="185" spans="1:11" s="83" customFormat="1" ht="12" customHeight="1">
      <c r="A185" s="84">
        <v>175</v>
      </c>
      <c r="B185" s="249" t="s">
        <v>240</v>
      </c>
      <c r="C185" s="100">
        <v>40711</v>
      </c>
      <c r="D185" s="101" t="s">
        <v>21</v>
      </c>
      <c r="E185" s="3">
        <v>12</v>
      </c>
      <c r="F185" s="3">
        <v>4</v>
      </c>
      <c r="G185" s="41">
        <f>11028.25+3970.5+941+78</f>
        <v>16017.75</v>
      </c>
      <c r="H185" s="38">
        <f>879+413+152+13</f>
        <v>1457</v>
      </c>
      <c r="I185" s="92">
        <f>G185/H185</f>
        <v>10.993651338366506</v>
      </c>
      <c r="J185" s="82">
        <v>175</v>
      </c>
      <c r="K185" s="504"/>
    </row>
    <row r="186" spans="1:11" s="83" customFormat="1" ht="12" customHeight="1">
      <c r="A186" s="84">
        <v>176</v>
      </c>
      <c r="B186" s="559" t="s">
        <v>362</v>
      </c>
      <c r="C186" s="100">
        <v>40732</v>
      </c>
      <c r="D186" s="541" t="s">
        <v>8</v>
      </c>
      <c r="E186" s="18">
        <v>1</v>
      </c>
      <c r="F186" s="18">
        <v>5</v>
      </c>
      <c r="G186" s="583">
        <v>15628</v>
      </c>
      <c r="H186" s="584">
        <v>1126</v>
      </c>
      <c r="I186" s="298">
        <f>G186/H186</f>
        <v>13.879218472468917</v>
      </c>
      <c r="J186" s="90">
        <v>176</v>
      </c>
      <c r="K186" s="504"/>
    </row>
    <row r="187" spans="1:11" s="83" customFormat="1" ht="12" customHeight="1">
      <c r="A187" s="84">
        <v>177</v>
      </c>
      <c r="B187" s="566" t="s">
        <v>247</v>
      </c>
      <c r="C187" s="100">
        <v>40718</v>
      </c>
      <c r="D187" s="537" t="s">
        <v>21</v>
      </c>
      <c r="E187" s="16">
        <v>1</v>
      </c>
      <c r="F187" s="16">
        <v>7</v>
      </c>
      <c r="G187" s="582">
        <f>8627+3793+343+630+280+932+287</f>
        <v>14892</v>
      </c>
      <c r="H187" s="311">
        <f>544+238+67+126+42+81+41</f>
        <v>1139</v>
      </c>
      <c r="I187" s="309">
        <f>+G187/H187</f>
        <v>13.074626865671641</v>
      </c>
      <c r="J187" s="90">
        <v>177</v>
      </c>
      <c r="K187" s="504"/>
    </row>
    <row r="188" spans="1:11" s="83" customFormat="1" ht="12" customHeight="1">
      <c r="A188" s="84">
        <v>178</v>
      </c>
      <c r="B188" s="450" t="s">
        <v>214</v>
      </c>
      <c r="C188" s="400">
        <v>40564</v>
      </c>
      <c r="D188" s="509" t="s">
        <v>64</v>
      </c>
      <c r="E188" s="192">
        <v>1</v>
      </c>
      <c r="F188" s="192">
        <v>9</v>
      </c>
      <c r="G188" s="314">
        <v>14581</v>
      </c>
      <c r="H188" s="311">
        <v>1892</v>
      </c>
      <c r="I188" s="298">
        <f>G188/H188</f>
        <v>7.706659619450317</v>
      </c>
      <c r="J188" s="82">
        <v>178</v>
      </c>
      <c r="K188" s="504"/>
    </row>
    <row r="189" spans="1:11" s="83" customFormat="1" ht="12" customHeight="1">
      <c r="A189" s="84">
        <v>179</v>
      </c>
      <c r="B189" s="566" t="s">
        <v>428</v>
      </c>
      <c r="C189" s="100">
        <v>40767</v>
      </c>
      <c r="D189" s="537" t="s">
        <v>10</v>
      </c>
      <c r="E189" s="537">
        <v>56</v>
      </c>
      <c r="F189" s="537">
        <v>0</v>
      </c>
      <c r="G189" s="312">
        <v>12780</v>
      </c>
      <c r="H189" s="313">
        <v>1705</v>
      </c>
      <c r="I189" s="298">
        <f>G189/H189</f>
        <v>7.495601173020527</v>
      </c>
      <c r="J189" s="90">
        <v>179</v>
      </c>
      <c r="K189" s="504"/>
    </row>
    <row r="190" spans="1:11" s="83" customFormat="1" ht="12" customHeight="1">
      <c r="A190" s="84">
        <v>180</v>
      </c>
      <c r="B190" s="576" t="s">
        <v>377</v>
      </c>
      <c r="C190" s="736">
        <v>40564</v>
      </c>
      <c r="D190" s="527" t="s">
        <v>64</v>
      </c>
      <c r="E190" s="529">
        <v>3</v>
      </c>
      <c r="F190" s="529">
        <v>5</v>
      </c>
      <c r="G190" s="266">
        <v>12546.5</v>
      </c>
      <c r="H190" s="613">
        <v>891</v>
      </c>
      <c r="I190" s="181">
        <v>14.081369248035914</v>
      </c>
      <c r="J190" s="82">
        <v>180</v>
      </c>
      <c r="K190" s="504"/>
    </row>
    <row r="191" spans="1:11" s="83" customFormat="1" ht="12" customHeight="1">
      <c r="A191" s="84">
        <v>181</v>
      </c>
      <c r="B191" s="451" t="s">
        <v>378</v>
      </c>
      <c r="C191" s="171">
        <v>40676</v>
      </c>
      <c r="D191" s="537" t="s">
        <v>32</v>
      </c>
      <c r="E191" s="543">
        <v>3</v>
      </c>
      <c r="F191" s="543">
        <v>6</v>
      </c>
      <c r="G191" s="611">
        <f>6347+909.5+628+750+577.5+2136+808</f>
        <v>12156</v>
      </c>
      <c r="H191" s="612">
        <f>404+81+65+79+78+218+117</f>
        <v>1042</v>
      </c>
      <c r="I191" s="298">
        <f>+G191/H191</f>
        <v>11.66602687140115</v>
      </c>
      <c r="J191" s="90">
        <v>181</v>
      </c>
      <c r="K191" s="504"/>
    </row>
    <row r="192" spans="1:11" s="83" customFormat="1" ht="12" customHeight="1">
      <c r="A192" s="84">
        <v>182</v>
      </c>
      <c r="B192" s="568" t="s">
        <v>408</v>
      </c>
      <c r="C192" s="523">
        <v>40753</v>
      </c>
      <c r="D192" s="548" t="s">
        <v>64</v>
      </c>
      <c r="E192" s="547">
        <v>3</v>
      </c>
      <c r="F192" s="547">
        <v>2</v>
      </c>
      <c r="G192" s="314">
        <v>11586.5</v>
      </c>
      <c r="H192" s="311">
        <v>960</v>
      </c>
      <c r="I192" s="309">
        <f>+G192/H192</f>
        <v>12.069270833333333</v>
      </c>
      <c r="J192" s="90">
        <v>182</v>
      </c>
      <c r="K192" s="504"/>
    </row>
    <row r="193" spans="1:11" s="83" customFormat="1" ht="12" customHeight="1">
      <c r="A193" s="84">
        <v>183</v>
      </c>
      <c r="B193" s="568" t="s">
        <v>398</v>
      </c>
      <c r="C193" s="523">
        <v>40746</v>
      </c>
      <c r="D193" s="548" t="s">
        <v>64</v>
      </c>
      <c r="E193" s="547">
        <v>35</v>
      </c>
      <c r="F193" s="547">
        <v>3</v>
      </c>
      <c r="G193" s="314">
        <v>10977</v>
      </c>
      <c r="H193" s="311">
        <v>954</v>
      </c>
      <c r="I193" s="298">
        <f>G193/H193</f>
        <v>11.5062893081761</v>
      </c>
      <c r="J193" s="82">
        <v>183</v>
      </c>
      <c r="K193" s="504">
        <v>1</v>
      </c>
    </row>
    <row r="194" spans="1:11" s="83" customFormat="1" ht="12" customHeight="1">
      <c r="A194" s="84">
        <v>184</v>
      </c>
      <c r="B194" s="446" t="s">
        <v>379</v>
      </c>
      <c r="C194" s="171">
        <v>40606</v>
      </c>
      <c r="D194" s="101" t="s">
        <v>32</v>
      </c>
      <c r="E194" s="172">
        <v>3</v>
      </c>
      <c r="F194" s="172">
        <v>10</v>
      </c>
      <c r="G194" s="12">
        <f>3944+1062+155+222+677+559+950+399+2357.5+328+280</f>
        <v>10933.5</v>
      </c>
      <c r="H194" s="9">
        <f>424+116+24+26+92+116+142+57+222+50+33</f>
        <v>1302</v>
      </c>
      <c r="I194" s="89">
        <f>+G194/H194</f>
        <v>8.397465437788018</v>
      </c>
      <c r="J194" s="90">
        <v>184</v>
      </c>
      <c r="K194" s="504">
        <v>1</v>
      </c>
    </row>
    <row r="195" spans="1:11" s="83" customFormat="1" ht="12" customHeight="1">
      <c r="A195" s="84">
        <v>185</v>
      </c>
      <c r="B195" s="249" t="s">
        <v>79</v>
      </c>
      <c r="C195" s="100">
        <v>40655</v>
      </c>
      <c r="D195" s="101" t="s">
        <v>80</v>
      </c>
      <c r="E195" s="102">
        <v>1</v>
      </c>
      <c r="F195" s="102">
        <v>5</v>
      </c>
      <c r="G195" s="315">
        <v>10083</v>
      </c>
      <c r="H195" s="382">
        <v>1564</v>
      </c>
      <c r="I195" s="298">
        <f>G195/H195</f>
        <v>6.44693094629156</v>
      </c>
      <c r="J195" s="90">
        <v>185</v>
      </c>
      <c r="K195" s="504"/>
    </row>
    <row r="196" spans="1:11" s="83" customFormat="1" ht="12" customHeight="1">
      <c r="A196" s="84">
        <v>186</v>
      </c>
      <c r="B196" s="499" t="s">
        <v>399</v>
      </c>
      <c r="C196" s="523">
        <v>40746</v>
      </c>
      <c r="D196" s="537" t="s">
        <v>32</v>
      </c>
      <c r="E196" s="25">
        <v>1</v>
      </c>
      <c r="F196" s="25">
        <v>3</v>
      </c>
      <c r="G196" s="611">
        <f>5298+3611+922.5</f>
        <v>9831.5</v>
      </c>
      <c r="H196" s="612">
        <f>334+225+67</f>
        <v>626</v>
      </c>
      <c r="I196" s="298">
        <f>+G196/H196</f>
        <v>15.705271565495208</v>
      </c>
      <c r="J196" s="82">
        <v>186</v>
      </c>
      <c r="K196" s="504"/>
    </row>
    <row r="197" spans="1:11" s="83" customFormat="1" ht="12" customHeight="1">
      <c r="A197" s="84">
        <v>187</v>
      </c>
      <c r="B197" s="569" t="s">
        <v>407</v>
      </c>
      <c r="C197" s="100">
        <v>40753</v>
      </c>
      <c r="D197" s="537" t="s">
        <v>32</v>
      </c>
      <c r="E197" s="25">
        <v>1</v>
      </c>
      <c r="F197" s="25">
        <v>2</v>
      </c>
      <c r="G197" s="611">
        <f>8466+542</f>
        <v>9008</v>
      </c>
      <c r="H197" s="612">
        <f>472+64</f>
        <v>536</v>
      </c>
      <c r="I197" s="298">
        <f>G197/H197</f>
        <v>16.80597014925373</v>
      </c>
      <c r="J197" s="90">
        <v>187</v>
      </c>
      <c r="K197" s="504"/>
    </row>
    <row r="198" spans="1:11" s="83" customFormat="1" ht="12" customHeight="1">
      <c r="A198" s="84">
        <v>188</v>
      </c>
      <c r="B198" s="399" t="s">
        <v>380</v>
      </c>
      <c r="C198" s="400">
        <v>40613</v>
      </c>
      <c r="D198" s="509" t="s">
        <v>64</v>
      </c>
      <c r="E198" s="190">
        <v>2</v>
      </c>
      <c r="F198" s="192">
        <v>6</v>
      </c>
      <c r="G198" s="330">
        <v>7213.5</v>
      </c>
      <c r="H198" s="328">
        <v>966</v>
      </c>
      <c r="I198" s="89">
        <f>+G198/H198</f>
        <v>7.467391304347826</v>
      </c>
      <c r="J198" s="82">
        <v>188</v>
      </c>
      <c r="K198" s="504"/>
    </row>
    <row r="199" spans="1:11" s="83" customFormat="1" ht="12" customHeight="1">
      <c r="A199" s="84">
        <v>189</v>
      </c>
      <c r="B199" s="499" t="s">
        <v>364</v>
      </c>
      <c r="C199" s="26">
        <v>40732</v>
      </c>
      <c r="D199" s="537" t="s">
        <v>32</v>
      </c>
      <c r="E199" s="25">
        <v>2</v>
      </c>
      <c r="F199" s="25">
        <v>5</v>
      </c>
      <c r="G199" s="611">
        <f>3347.5+953+825.5+1396+514.5</f>
        <v>7036.5</v>
      </c>
      <c r="H199" s="612">
        <f>237+71+61+165+189</f>
        <v>723</v>
      </c>
      <c r="I199" s="298">
        <f>+G199/H199</f>
        <v>9.732365145228215</v>
      </c>
      <c r="J199" s="90">
        <v>189</v>
      </c>
      <c r="K199" s="504">
        <v>1</v>
      </c>
    </row>
    <row r="200" spans="1:11" s="83" customFormat="1" ht="12" customHeight="1">
      <c r="A200" s="84">
        <v>190</v>
      </c>
      <c r="B200" s="499" t="s">
        <v>241</v>
      </c>
      <c r="C200" s="26">
        <v>40711</v>
      </c>
      <c r="D200" s="537" t="s">
        <v>32</v>
      </c>
      <c r="E200" s="25">
        <v>1</v>
      </c>
      <c r="F200" s="25">
        <v>7</v>
      </c>
      <c r="G200" s="611">
        <f>2079+2156+600+711+244+159+324.5</f>
        <v>6273.5</v>
      </c>
      <c r="H200" s="612">
        <f>143+271+75+67+107+28+43</f>
        <v>734</v>
      </c>
      <c r="I200" s="298">
        <f>G200/H200</f>
        <v>8.54700272479564</v>
      </c>
      <c r="J200" s="90">
        <v>190</v>
      </c>
      <c r="K200" s="504">
        <v>1</v>
      </c>
    </row>
    <row r="201" spans="1:11" s="83" customFormat="1" ht="12" customHeight="1">
      <c r="A201" s="84">
        <v>191</v>
      </c>
      <c r="B201" s="249" t="s">
        <v>48</v>
      </c>
      <c r="C201" s="100">
        <v>40627</v>
      </c>
      <c r="D201" s="101" t="s">
        <v>21</v>
      </c>
      <c r="E201" s="3">
        <v>2</v>
      </c>
      <c r="F201" s="3">
        <v>12</v>
      </c>
      <c r="G201" s="41">
        <f>2223.5+279.5+324+90+90+114+120+14+1140+705+219+150</f>
        <v>5469</v>
      </c>
      <c r="H201" s="160">
        <f>155+19+39+15+15+20+20+2+154+141+30+25</f>
        <v>635</v>
      </c>
      <c r="I201" s="89">
        <f>+G201/H201</f>
        <v>8.61259842519685</v>
      </c>
      <c r="J201" s="82">
        <v>191</v>
      </c>
      <c r="K201" s="504"/>
    </row>
    <row r="202" spans="1:11" s="83" customFormat="1" ht="12" customHeight="1">
      <c r="A202" s="84">
        <v>192</v>
      </c>
      <c r="B202" s="158" t="s">
        <v>259</v>
      </c>
      <c r="C202" s="26">
        <v>40669</v>
      </c>
      <c r="D202" s="222" t="s">
        <v>23</v>
      </c>
      <c r="E202" s="27">
        <v>2</v>
      </c>
      <c r="F202" s="27">
        <v>1</v>
      </c>
      <c r="G202" s="37">
        <v>4244</v>
      </c>
      <c r="H202" s="160">
        <v>341</v>
      </c>
      <c r="I202" s="213">
        <f>+G202/H202</f>
        <v>12.44574780058651</v>
      </c>
      <c r="J202" s="90">
        <v>192</v>
      </c>
      <c r="K202" s="504"/>
    </row>
    <row r="203" spans="1:11" s="83" customFormat="1" ht="12" customHeight="1" thickBot="1">
      <c r="A203" s="84">
        <v>193</v>
      </c>
      <c r="B203" s="616" t="s">
        <v>242</v>
      </c>
      <c r="C203" s="110">
        <v>40711</v>
      </c>
      <c r="D203" s="617" t="s">
        <v>46</v>
      </c>
      <c r="E203" s="618">
        <v>4</v>
      </c>
      <c r="F203" s="618">
        <v>5</v>
      </c>
      <c r="G203" s="619">
        <v>2675.5</v>
      </c>
      <c r="H203" s="620">
        <v>384</v>
      </c>
      <c r="I203" s="621">
        <f>+G203/H203</f>
        <v>6.967447916666667</v>
      </c>
      <c r="J203" s="90">
        <v>193</v>
      </c>
      <c r="K203" s="504"/>
    </row>
    <row r="204" spans="1:11" s="83" customFormat="1" ht="15.75" thickBot="1">
      <c r="A204" s="113"/>
      <c r="C204" s="115"/>
      <c r="E204" s="114"/>
      <c r="F204" s="114"/>
      <c r="G204" s="116"/>
      <c r="H204" s="125"/>
      <c r="I204" s="120"/>
      <c r="K204" s="504"/>
    </row>
    <row r="205" spans="1:11" s="126" customFormat="1" ht="15.75" customHeight="1">
      <c r="A205" s="755" t="s">
        <v>86</v>
      </c>
      <c r="B205" s="756"/>
      <c r="C205" s="756"/>
      <c r="D205" s="756"/>
      <c r="E205" s="756"/>
      <c r="F205" s="756"/>
      <c r="G205" s="756"/>
      <c r="H205" s="756"/>
      <c r="I205" s="756"/>
      <c r="J205" s="757"/>
      <c r="K205" s="505"/>
    </row>
    <row r="206" spans="1:11" s="126" customFormat="1" ht="15.75" customHeight="1">
      <c r="A206" s="758"/>
      <c r="B206" s="759"/>
      <c r="C206" s="759"/>
      <c r="D206" s="759"/>
      <c r="E206" s="759"/>
      <c r="F206" s="759"/>
      <c r="G206" s="759"/>
      <c r="H206" s="759"/>
      <c r="I206" s="759"/>
      <c r="J206" s="760"/>
      <c r="K206" s="505"/>
    </row>
    <row r="207" spans="1:11" s="126" customFormat="1" ht="15.75" customHeight="1">
      <c r="A207" s="758"/>
      <c r="B207" s="759"/>
      <c r="C207" s="759"/>
      <c r="D207" s="759"/>
      <c r="E207" s="759"/>
      <c r="F207" s="759"/>
      <c r="G207" s="759"/>
      <c r="H207" s="759"/>
      <c r="I207" s="759"/>
      <c r="J207" s="760"/>
      <c r="K207" s="505"/>
    </row>
    <row r="208" spans="1:11" s="126" customFormat="1" ht="15.75" customHeight="1">
      <c r="A208" s="758"/>
      <c r="B208" s="759"/>
      <c r="C208" s="759"/>
      <c r="D208" s="759"/>
      <c r="E208" s="759"/>
      <c r="F208" s="759"/>
      <c r="G208" s="759"/>
      <c r="H208" s="759"/>
      <c r="I208" s="759"/>
      <c r="J208" s="760"/>
      <c r="K208" s="505"/>
    </row>
    <row r="209" spans="1:11" s="126" customFormat="1" ht="15.75" customHeight="1">
      <c r="A209" s="758"/>
      <c r="B209" s="759"/>
      <c r="C209" s="759"/>
      <c r="D209" s="759"/>
      <c r="E209" s="759"/>
      <c r="F209" s="759"/>
      <c r="G209" s="759"/>
      <c r="H209" s="759"/>
      <c r="I209" s="759"/>
      <c r="J209" s="760"/>
      <c r="K209" s="505"/>
    </row>
    <row r="210" spans="1:11" s="126" customFormat="1" ht="15.75" customHeight="1" thickBot="1">
      <c r="A210" s="761"/>
      <c r="B210" s="762"/>
      <c r="C210" s="762"/>
      <c r="D210" s="762"/>
      <c r="E210" s="762"/>
      <c r="F210" s="762"/>
      <c r="G210" s="762"/>
      <c r="H210" s="762"/>
      <c r="I210" s="762"/>
      <c r="J210" s="763"/>
      <c r="K210" s="505"/>
    </row>
  </sheetData>
  <sheetProtection/>
  <mergeCells count="10">
    <mergeCell ref="B6:E6"/>
    <mergeCell ref="G6:J6"/>
    <mergeCell ref="G7:H7"/>
    <mergeCell ref="A205:J210"/>
    <mergeCell ref="A4:C4"/>
    <mergeCell ref="A5:C5"/>
    <mergeCell ref="G5:J5"/>
    <mergeCell ref="A1:J1"/>
    <mergeCell ref="A2:J2"/>
    <mergeCell ref="A3:J3"/>
  </mergeCells>
  <hyperlinks>
    <hyperlink ref="A3" r:id="rId1" display="http://www.antraktsinema.com"/>
  </hyperlinks>
  <printOptions/>
  <pageMargins left="0.75" right="0.75" top="1" bottom="1" header="0.5" footer="0.5"/>
  <pageSetup horizontalDpi="200" verticalDpi="200" orientation="portrait" paperSize="9" r:id="rId3"/>
  <ignoredErrors>
    <ignoredError sqref="G21:H79 I21 I78:I79 G80:H81" unlockedFormula="1"/>
    <ignoredError sqref="I22:I77" formula="1" unlockedFormula="1"/>
  </ignoredErrors>
  <drawing r:id="rId2"/>
</worksheet>
</file>

<file path=xl/worksheets/sheet3.xml><?xml version="1.0" encoding="utf-8"?>
<worksheet xmlns="http://schemas.openxmlformats.org/spreadsheetml/2006/main" xmlns:r="http://schemas.openxmlformats.org/officeDocument/2006/relationships">
  <dimension ref="A1:Q496"/>
  <sheetViews>
    <sheetView zoomScalePageLayoutView="0" workbookViewId="0" topLeftCell="A1">
      <pane xSplit="7" ySplit="10" topLeftCell="H11" activePane="bottomRight" state="frozen"/>
      <selection pane="topLeft" activeCell="A1" sqref="A1"/>
      <selection pane="topRight" activeCell="J1" sqref="J1"/>
      <selection pane="bottomLeft" activeCell="A11" sqref="A11"/>
      <selection pane="bottomRight" activeCell="A6" sqref="A6"/>
    </sheetView>
  </sheetViews>
  <sheetFormatPr defaultColWidth="4.421875" defaultRowHeight="12.75"/>
  <cols>
    <col min="1" max="1" width="4.421875" style="127" bestFit="1" customWidth="1"/>
    <col min="2" max="2" width="52.7109375" style="130" bestFit="1" customWidth="1"/>
    <col min="3" max="3" width="7.8515625" style="131" bestFit="1" customWidth="1"/>
    <col min="4" max="4" width="19.7109375" style="131" bestFit="1" customWidth="1"/>
    <col min="5" max="5" width="5.8515625" style="131" bestFit="1" customWidth="1"/>
    <col min="6" max="6" width="8.7109375" style="132" customWidth="1"/>
    <col min="7" max="7" width="8.7109375" style="133" customWidth="1"/>
    <col min="8" max="9" width="11.8515625" style="141" customWidth="1"/>
    <col min="10" max="10" width="9.7109375" style="142" customWidth="1"/>
    <col min="11" max="11" width="9.7109375" style="143" customWidth="1"/>
    <col min="12" max="12" width="12.28125" style="130" bestFit="1" customWidth="1"/>
    <col min="13" max="13" width="8.8515625" style="130" bestFit="1" customWidth="1"/>
    <col min="14" max="14" width="9.140625" style="130" customWidth="1"/>
    <col min="15" max="15" width="4.421875" style="130" bestFit="1" customWidth="1"/>
    <col min="16" max="20" width="6.8515625" style="130" customWidth="1"/>
    <col min="21" max="16384" width="4.421875" style="130" customWidth="1"/>
  </cols>
  <sheetData>
    <row r="1" spans="1:15" s="44" customFormat="1" ht="34.5">
      <c r="A1" s="790" t="s">
        <v>173</v>
      </c>
      <c r="B1" s="791"/>
      <c r="C1" s="791"/>
      <c r="D1" s="791"/>
      <c r="E1" s="791"/>
      <c r="F1" s="791"/>
      <c r="G1" s="791"/>
      <c r="H1" s="786"/>
      <c r="I1" s="786"/>
      <c r="J1" s="786"/>
      <c r="K1" s="786"/>
      <c r="L1" s="786"/>
      <c r="M1" s="786"/>
      <c r="N1" s="786"/>
      <c r="O1" s="786"/>
    </row>
    <row r="2" spans="1:15" s="44" customFormat="1" ht="18.75">
      <c r="A2" s="780" t="s">
        <v>177</v>
      </c>
      <c r="B2" s="792"/>
      <c r="C2" s="792"/>
      <c r="D2" s="792"/>
      <c r="E2" s="792"/>
      <c r="F2" s="792"/>
      <c r="G2" s="792"/>
      <c r="H2" s="145"/>
      <c r="I2" s="145"/>
      <c r="J2" s="145"/>
      <c r="K2" s="145"/>
      <c r="L2" s="145"/>
      <c r="M2" s="145"/>
      <c r="N2" s="145"/>
      <c r="O2" s="145"/>
    </row>
    <row r="3" spans="1:15" s="44" customFormat="1" ht="27" thickBot="1">
      <c r="A3" s="749" t="s">
        <v>135</v>
      </c>
      <c r="B3" s="750"/>
      <c r="C3" s="750"/>
      <c r="D3" s="750"/>
      <c r="E3" s="750"/>
      <c r="F3" s="750"/>
      <c r="G3" s="750"/>
      <c r="H3" s="146"/>
      <c r="I3" s="147"/>
      <c r="J3" s="150"/>
      <c r="K3" s="146"/>
      <c r="L3" s="147"/>
      <c r="M3" s="148"/>
      <c r="N3" s="149"/>
      <c r="O3" s="150"/>
    </row>
    <row r="4" spans="1:15" s="44" customFormat="1" ht="32.25">
      <c r="A4" s="793" t="s">
        <v>403</v>
      </c>
      <c r="B4" s="752"/>
      <c r="C4" s="752"/>
      <c r="D4" s="48"/>
      <c r="E4" s="48"/>
      <c r="F4" s="48"/>
      <c r="G4" s="48"/>
      <c r="H4" s="787"/>
      <c r="I4" s="788"/>
      <c r="J4" s="788"/>
      <c r="K4" s="153"/>
      <c r="L4" s="153"/>
      <c r="M4" s="154"/>
      <c r="N4" s="153"/>
      <c r="O4" s="153"/>
    </row>
    <row r="5" spans="1:15" s="44" customFormat="1" ht="33" thickBot="1">
      <c r="A5" s="775" t="s">
        <v>414</v>
      </c>
      <c r="B5" s="738"/>
      <c r="C5" s="738"/>
      <c r="D5" s="50"/>
      <c r="E5" s="50"/>
      <c r="F5" s="50"/>
      <c r="G5" s="50"/>
      <c r="H5" s="789"/>
      <c r="I5" s="776"/>
      <c r="J5" s="776"/>
      <c r="K5" s="776"/>
      <c r="L5" s="776"/>
      <c r="M5" s="776"/>
      <c r="N5" s="776"/>
      <c r="O5" s="776"/>
    </row>
    <row r="6" spans="1:15" s="53" customFormat="1" ht="15.75" customHeight="1" thickBot="1">
      <c r="A6" s="51"/>
      <c r="B6" s="783" t="s">
        <v>118</v>
      </c>
      <c r="C6" s="783"/>
      <c r="D6" s="783"/>
      <c r="E6" s="783"/>
      <c r="F6" s="783" t="s">
        <v>117</v>
      </c>
      <c r="G6" s="783"/>
      <c r="H6" s="783" t="s">
        <v>221</v>
      </c>
      <c r="I6" s="783"/>
      <c r="J6" s="783" t="s">
        <v>124</v>
      </c>
      <c r="K6" s="783"/>
      <c r="L6" s="783" t="s">
        <v>116</v>
      </c>
      <c r="M6" s="783"/>
      <c r="N6" s="783"/>
      <c r="O6" s="783"/>
    </row>
    <row r="7" spans="1:15" s="57" customFormat="1" ht="12.75" customHeight="1">
      <c r="A7" s="54"/>
      <c r="B7" s="1"/>
      <c r="C7" s="56" t="s">
        <v>87</v>
      </c>
      <c r="D7" s="1"/>
      <c r="E7" s="1" t="s">
        <v>90</v>
      </c>
      <c r="F7" s="1" t="s">
        <v>90</v>
      </c>
      <c r="G7" s="1" t="s">
        <v>92</v>
      </c>
      <c r="H7" s="794"/>
      <c r="I7" s="794"/>
      <c r="J7" s="784" t="s">
        <v>125</v>
      </c>
      <c r="K7" s="784"/>
      <c r="L7" s="784"/>
      <c r="M7" s="784"/>
      <c r="N7" s="55" t="s">
        <v>102</v>
      </c>
      <c r="O7" s="55"/>
    </row>
    <row r="8" spans="1:15" s="57" customFormat="1" ht="13.5" thickBot="1">
      <c r="A8" s="58"/>
      <c r="B8" s="60" t="s">
        <v>9</v>
      </c>
      <c r="C8" s="61" t="s">
        <v>88</v>
      </c>
      <c r="D8" s="62" t="s">
        <v>1</v>
      </c>
      <c r="E8" s="62" t="s">
        <v>89</v>
      </c>
      <c r="F8" s="62" t="s">
        <v>91</v>
      </c>
      <c r="G8" s="62" t="s">
        <v>87</v>
      </c>
      <c r="H8" s="63" t="s">
        <v>7</v>
      </c>
      <c r="I8" s="63" t="s">
        <v>6</v>
      </c>
      <c r="J8" s="64" t="s">
        <v>6</v>
      </c>
      <c r="K8" s="65" t="s">
        <v>103</v>
      </c>
      <c r="L8" s="59" t="s">
        <v>7</v>
      </c>
      <c r="M8" s="59" t="s">
        <v>6</v>
      </c>
      <c r="N8" s="59" t="s">
        <v>103</v>
      </c>
      <c r="O8" s="59"/>
    </row>
    <row r="9" spans="1:15" s="71" customFormat="1" ht="12.75" customHeight="1">
      <c r="A9" s="66"/>
      <c r="B9" s="66"/>
      <c r="C9" s="67" t="s">
        <v>94</v>
      </c>
      <c r="D9" s="66"/>
      <c r="E9" s="66" t="s">
        <v>97</v>
      </c>
      <c r="F9" s="66" t="s">
        <v>99</v>
      </c>
      <c r="G9" s="66" t="s">
        <v>100</v>
      </c>
      <c r="H9" s="69"/>
      <c r="I9" s="69"/>
      <c r="J9" s="785" t="s">
        <v>126</v>
      </c>
      <c r="K9" s="785"/>
      <c r="L9" s="70"/>
      <c r="M9" s="70"/>
      <c r="N9" s="68" t="s">
        <v>108</v>
      </c>
      <c r="O9" s="68"/>
    </row>
    <row r="10" spans="1:15" s="71" customFormat="1" ht="13.5" thickBot="1">
      <c r="A10" s="72"/>
      <c r="B10" s="254" t="s">
        <v>93</v>
      </c>
      <c r="C10" s="255" t="s">
        <v>95</v>
      </c>
      <c r="D10" s="256" t="s">
        <v>96</v>
      </c>
      <c r="E10" s="256" t="s">
        <v>98</v>
      </c>
      <c r="F10" s="256" t="s">
        <v>98</v>
      </c>
      <c r="G10" s="256" t="s">
        <v>101</v>
      </c>
      <c r="H10" s="257" t="s">
        <v>110</v>
      </c>
      <c r="I10" s="257" t="s">
        <v>107</v>
      </c>
      <c r="J10" s="258" t="s">
        <v>107</v>
      </c>
      <c r="K10" s="259" t="s">
        <v>109</v>
      </c>
      <c r="L10" s="260" t="s">
        <v>107</v>
      </c>
      <c r="M10" s="260" t="s">
        <v>109</v>
      </c>
      <c r="N10" s="260" t="s">
        <v>109</v>
      </c>
      <c r="O10" s="72"/>
    </row>
    <row r="11" spans="1:15" s="83" customFormat="1" ht="12" customHeight="1">
      <c r="A11" s="79">
        <v>1</v>
      </c>
      <c r="B11" s="248">
        <v>120</v>
      </c>
      <c r="C11" s="250">
        <v>39493</v>
      </c>
      <c r="D11" s="251" t="s">
        <v>29</v>
      </c>
      <c r="E11" s="252">
        <v>179</v>
      </c>
      <c r="F11" s="252">
        <v>1</v>
      </c>
      <c r="G11" s="252">
        <v>47</v>
      </c>
      <c r="H11" s="473">
        <v>1919</v>
      </c>
      <c r="I11" s="474">
        <v>320</v>
      </c>
      <c r="J11" s="155">
        <f aca="true" t="shared" si="0" ref="J11:J17">(I11/F11)</f>
        <v>320</v>
      </c>
      <c r="K11" s="156">
        <f aca="true" t="shared" si="1" ref="K11:K17">H11/I11</f>
        <v>5.996875</v>
      </c>
      <c r="L11" s="253">
        <f>5039812.5+1919</f>
        <v>5041731.5</v>
      </c>
      <c r="M11" s="42">
        <f>1038442+320</f>
        <v>1038762</v>
      </c>
      <c r="N11" s="157">
        <f aca="true" t="shared" si="2" ref="N11:N17">L11/M11</f>
        <v>4.853596396479656</v>
      </c>
      <c r="O11" s="82">
        <v>1</v>
      </c>
    </row>
    <row r="12" spans="1:15" s="83" customFormat="1" ht="12" customHeight="1">
      <c r="A12" s="84">
        <v>2</v>
      </c>
      <c r="B12" s="178" t="s">
        <v>271</v>
      </c>
      <c r="C12" s="26">
        <v>40095</v>
      </c>
      <c r="D12" s="387" t="s">
        <v>32</v>
      </c>
      <c r="E12" s="167">
        <v>22</v>
      </c>
      <c r="F12" s="167">
        <v>1</v>
      </c>
      <c r="G12" s="167">
        <v>20</v>
      </c>
      <c r="H12" s="325">
        <v>952</v>
      </c>
      <c r="I12" s="326">
        <v>238</v>
      </c>
      <c r="J12" s="97">
        <f t="shared" si="0"/>
        <v>238</v>
      </c>
      <c r="K12" s="161">
        <f t="shared" si="1"/>
        <v>4</v>
      </c>
      <c r="L12" s="8">
        <f>158809.5+140713.25+103696.25+38523+19360+17458+1188+196+2484+3158+1780+2933+1780+2461+6600.5+2668.5+440+441+476+952</f>
        <v>506118</v>
      </c>
      <c r="M12" s="7">
        <f>14214+13110+10683+4685+3074+2645+297+16+571+596+445+584+445+466+837+295+44+65+72+238</f>
        <v>53382</v>
      </c>
      <c r="N12" s="163">
        <f t="shared" si="2"/>
        <v>9.481061031808474</v>
      </c>
      <c r="O12" s="90">
        <v>2</v>
      </c>
    </row>
    <row r="13" spans="1:15" s="83" customFormat="1" ht="12" customHeight="1">
      <c r="A13" s="84">
        <v>3</v>
      </c>
      <c r="B13" s="164" t="s">
        <v>272</v>
      </c>
      <c r="C13" s="26">
        <v>40417</v>
      </c>
      <c r="D13" s="165" t="s">
        <v>32</v>
      </c>
      <c r="E13" s="27">
        <v>25</v>
      </c>
      <c r="F13" s="27">
        <v>1</v>
      </c>
      <c r="G13" s="27">
        <v>15</v>
      </c>
      <c r="H13" s="475">
        <v>807</v>
      </c>
      <c r="I13" s="326">
        <v>102</v>
      </c>
      <c r="J13" s="97">
        <f t="shared" si="0"/>
        <v>102</v>
      </c>
      <c r="K13" s="166">
        <f t="shared" si="1"/>
        <v>7.911764705882353</v>
      </c>
      <c r="L13" s="20">
        <f>87475.5+57473+42134+23624+14854.5+21662+13363.5+5246+6057+2099+300.5+763+292.5+496.5+807</f>
        <v>276648</v>
      </c>
      <c r="M13" s="7">
        <f>7817+5228+5394+3109+2109+2845+2026+770+762+416+44+111+45+73+102</f>
        <v>30851</v>
      </c>
      <c r="N13" s="163">
        <f t="shared" si="2"/>
        <v>8.96722958737156</v>
      </c>
      <c r="O13" s="90">
        <v>3</v>
      </c>
    </row>
    <row r="14" spans="1:15" s="83" customFormat="1" ht="12" customHeight="1">
      <c r="A14" s="84">
        <v>4</v>
      </c>
      <c r="B14" s="158" t="s">
        <v>273</v>
      </c>
      <c r="C14" s="26">
        <v>40172</v>
      </c>
      <c r="D14" s="24" t="s">
        <v>32</v>
      </c>
      <c r="E14" s="27">
        <v>60</v>
      </c>
      <c r="F14" s="27">
        <v>3</v>
      </c>
      <c r="G14" s="27">
        <v>32</v>
      </c>
      <c r="H14" s="325">
        <v>5074</v>
      </c>
      <c r="I14" s="326">
        <v>1267</v>
      </c>
      <c r="J14" s="97">
        <f t="shared" si="0"/>
        <v>422.3333333333333</v>
      </c>
      <c r="K14" s="161">
        <f t="shared" si="1"/>
        <v>4.004735595895817</v>
      </c>
      <c r="L14" s="8">
        <f>421775.5+397095.5+287050+215248.5+189819.5+180729.5+86816.5+23840+19148+14942.5+8798.5+9599+13618.5+4298+4028+3310+8547+6712.5+1803+1172+973+2291+380.5+3015+1103.5+65+2061.5+1262+1020+2232+2970+5074</f>
        <v>1920799.5</v>
      </c>
      <c r="M14" s="7">
        <f>43739+40732+31780+27356+25902+24895+12153+4496+3179+3069+1650+2236+3335+954+829+540+1945+1297+429+261+173+594+53+613+200+10+480+240+102+533+743+1267</f>
        <v>235785</v>
      </c>
      <c r="N14" s="163">
        <f t="shared" si="2"/>
        <v>8.146402442903492</v>
      </c>
      <c r="O14" s="90">
        <v>4</v>
      </c>
    </row>
    <row r="15" spans="1:15" s="83" customFormat="1" ht="12" customHeight="1">
      <c r="A15" s="84">
        <v>5</v>
      </c>
      <c r="B15" s="158" t="s">
        <v>273</v>
      </c>
      <c r="C15" s="26">
        <v>40172</v>
      </c>
      <c r="D15" s="165" t="s">
        <v>32</v>
      </c>
      <c r="E15" s="167">
        <v>60</v>
      </c>
      <c r="F15" s="167">
        <v>2</v>
      </c>
      <c r="G15" s="167">
        <v>33</v>
      </c>
      <c r="H15" s="325">
        <v>2970</v>
      </c>
      <c r="I15" s="326">
        <v>742</v>
      </c>
      <c r="J15" s="97">
        <f t="shared" si="0"/>
        <v>371</v>
      </c>
      <c r="K15" s="161">
        <f t="shared" si="1"/>
        <v>4.002695417789758</v>
      </c>
      <c r="L15" s="8">
        <f>421775.5+397095.5+287050+215248.5+189819.5+180729.5+86816.5+23840+19148+14942.5+8798.5+9599+13618.5+4298+4028+3310+8547+6712.5+1803+1172+973+2291+380.5+3015+1103.5+65+2061.5+1262+1020+2232+2970+5074+2970</f>
        <v>1923769.5</v>
      </c>
      <c r="M15" s="7">
        <f>43739+40732+31780+27356+25902+24895+12153+4496+3179+3069+1650+2236+3335+954+829+540+1945+1297+429+261+173+594+53+613+200+10+480+240+102+533+743+1267+742</f>
        <v>236527</v>
      </c>
      <c r="N15" s="163">
        <f t="shared" si="2"/>
        <v>8.133403374667585</v>
      </c>
      <c r="O15" s="90">
        <v>5</v>
      </c>
    </row>
    <row r="16" spans="1:15" s="83" customFormat="1" ht="12" customHeight="1">
      <c r="A16" s="84">
        <v>6</v>
      </c>
      <c r="B16" s="158" t="s">
        <v>273</v>
      </c>
      <c r="C16" s="26">
        <v>40172</v>
      </c>
      <c r="D16" s="165" t="s">
        <v>32</v>
      </c>
      <c r="E16" s="167">
        <v>60</v>
      </c>
      <c r="F16" s="167">
        <v>1</v>
      </c>
      <c r="G16" s="167">
        <v>34</v>
      </c>
      <c r="H16" s="475">
        <v>1188</v>
      </c>
      <c r="I16" s="476">
        <v>297</v>
      </c>
      <c r="J16" s="168">
        <f t="shared" si="0"/>
        <v>297</v>
      </c>
      <c r="K16" s="166">
        <f t="shared" si="1"/>
        <v>4</v>
      </c>
      <c r="L16" s="20">
        <f>421775.5+397095.5+287050+215248.5+189819.5+180729.5+86816.5+23840+19148+14942.5+8798.5+9599+13618.5+4298+4028+3310+8547+6712.5+1803+1172+973+2291+380.5+3015+1103.5+65+2061.5+1262+1020+2232+2970+5074+2970+1188</f>
        <v>1924957.5</v>
      </c>
      <c r="M16" s="21">
        <f>43739+40732+31780+27356+25902+24895+12153+4496+3179+3069+1650+2236+3335+954+829+540+1945+1297+429+261+173+594+53+613+200+10+480+240+102+533+743+1267+742+297</f>
        <v>236824</v>
      </c>
      <c r="N16" s="163">
        <f t="shared" si="2"/>
        <v>8.128219690571902</v>
      </c>
      <c r="O16" s="90">
        <v>6</v>
      </c>
    </row>
    <row r="17" spans="1:15" s="83" customFormat="1" ht="12" customHeight="1">
      <c r="A17" s="84">
        <v>7</v>
      </c>
      <c r="B17" s="158" t="s">
        <v>273</v>
      </c>
      <c r="C17" s="26">
        <v>40172</v>
      </c>
      <c r="D17" s="388" t="s">
        <v>32</v>
      </c>
      <c r="E17" s="27">
        <v>60</v>
      </c>
      <c r="F17" s="27">
        <v>1</v>
      </c>
      <c r="G17" s="27">
        <v>35</v>
      </c>
      <c r="H17" s="325">
        <v>250</v>
      </c>
      <c r="I17" s="326">
        <v>28</v>
      </c>
      <c r="J17" s="97">
        <f t="shared" si="0"/>
        <v>28</v>
      </c>
      <c r="K17" s="161">
        <f t="shared" si="1"/>
        <v>8.928571428571429</v>
      </c>
      <c r="L17" s="8">
        <f>421775.5+397095.5+287050+215248.5+189819.5+180729.5+86816.5+23840+19148+14942.5+8798.5+9599+13618.5+4298+4028+3310+8547+6712.5+1803+1172+973+2291+380.5+3015+1103.5+65+2061.5+1262+1020+2232+2970+5074+2970+1188+250</f>
        <v>1925207.5</v>
      </c>
      <c r="M17" s="7">
        <f>43739+40732+31780+27356+25902+24895+12153+4496+3179+3069+1650+2236+3335+954+829+540+1945+1297+429+261+173+594+53+613+200+10+480+240+102+533+743+1267+742+297+28</f>
        <v>236852</v>
      </c>
      <c r="N17" s="163">
        <f t="shared" si="2"/>
        <v>8.128314305980105</v>
      </c>
      <c r="O17" s="90">
        <v>7</v>
      </c>
    </row>
    <row r="18" spans="1:15" s="83" customFormat="1" ht="12" customHeight="1">
      <c r="A18" s="84">
        <v>8</v>
      </c>
      <c r="B18" s="158" t="s">
        <v>273</v>
      </c>
      <c r="C18" s="389">
        <v>40172</v>
      </c>
      <c r="D18" s="390" t="s">
        <v>32</v>
      </c>
      <c r="E18" s="391">
        <v>60</v>
      </c>
      <c r="F18" s="391">
        <v>1</v>
      </c>
      <c r="G18" s="391">
        <v>36</v>
      </c>
      <c r="H18" s="325">
        <v>200</v>
      </c>
      <c r="I18" s="326">
        <v>20</v>
      </c>
      <c r="J18" s="96">
        <v>20</v>
      </c>
      <c r="K18" s="169">
        <v>10</v>
      </c>
      <c r="L18" s="8">
        <v>1925407.5</v>
      </c>
      <c r="M18" s="7">
        <v>236872</v>
      </c>
      <c r="N18" s="163">
        <v>8.12847233949137</v>
      </c>
      <c r="O18" s="90">
        <v>8</v>
      </c>
    </row>
    <row r="19" spans="1:15" s="83" customFormat="1" ht="12" customHeight="1">
      <c r="A19" s="84">
        <v>9</v>
      </c>
      <c r="B19" s="158" t="s">
        <v>273</v>
      </c>
      <c r="C19" s="26">
        <v>40172</v>
      </c>
      <c r="D19" s="24" t="s">
        <v>32</v>
      </c>
      <c r="E19" s="27">
        <v>60</v>
      </c>
      <c r="F19" s="27">
        <v>1</v>
      </c>
      <c r="G19" s="27">
        <v>37</v>
      </c>
      <c r="H19" s="325">
        <v>70</v>
      </c>
      <c r="I19" s="326">
        <v>7</v>
      </c>
      <c r="J19" s="97">
        <f>(I19/F19)</f>
        <v>7</v>
      </c>
      <c r="K19" s="161">
        <f aca="true" t="shared" si="3" ref="K19:K59">H19/I19</f>
        <v>10</v>
      </c>
      <c r="L19" s="8">
        <f>421775.5+397095.5+287050+215248.5+189819.5+180729.5+86816.5+23840+19148+14942.5+8798.5+9599+13618.5+4298+4028+3310+8547+6712.5+1803+1172+973+2291+380.5+3015+1103.5+65+2061.5+1262+1020+2232+2970+5074+2970+1188+250+200+70</f>
        <v>1925477.5</v>
      </c>
      <c r="M19" s="7">
        <f>43739+40732+31780+27356+25902+24895+12153+4496+3179+3069+1650+2236+3335+954+829+540+1945+1297+429+261+173+594+53+613+200+10+480+240+102+533+743+1267+742+297+28+20+7</f>
        <v>236879</v>
      </c>
      <c r="N19" s="163">
        <f>L19/M19</f>
        <v>8.128527644915758</v>
      </c>
      <c r="O19" s="90">
        <v>9</v>
      </c>
    </row>
    <row r="20" spans="1:15" s="83" customFormat="1" ht="12" customHeight="1">
      <c r="A20" s="84">
        <v>10</v>
      </c>
      <c r="B20" s="170" t="s">
        <v>274</v>
      </c>
      <c r="C20" s="171">
        <v>40228</v>
      </c>
      <c r="D20" s="165" t="s">
        <v>32</v>
      </c>
      <c r="E20" s="172">
        <v>17</v>
      </c>
      <c r="F20" s="172">
        <v>1</v>
      </c>
      <c r="G20" s="172">
        <v>33</v>
      </c>
      <c r="H20" s="469">
        <v>1188</v>
      </c>
      <c r="I20" s="470">
        <v>297</v>
      </c>
      <c r="J20" s="173">
        <f>(I20/F20)</f>
        <v>297</v>
      </c>
      <c r="K20" s="174">
        <f t="shared" si="3"/>
        <v>4</v>
      </c>
      <c r="L20" s="175">
        <f>289107+1009.5+669+336+323+699+1238+121+1782+1782+1188</f>
        <v>298254.5</v>
      </c>
      <c r="M20" s="176">
        <f>30560+127+85+56+54+123+217+22+445+445+297</f>
        <v>32431</v>
      </c>
      <c r="N20" s="177">
        <f>L20/M20</f>
        <v>9.196586599241467</v>
      </c>
      <c r="O20" s="90">
        <v>10</v>
      </c>
    </row>
    <row r="21" spans="1:15" s="83" customFormat="1" ht="12" customHeight="1">
      <c r="A21" s="84">
        <v>11</v>
      </c>
      <c r="B21" s="178" t="s">
        <v>144</v>
      </c>
      <c r="C21" s="26">
        <v>40123</v>
      </c>
      <c r="D21" s="165" t="s">
        <v>137</v>
      </c>
      <c r="E21" s="167">
        <v>144</v>
      </c>
      <c r="F21" s="167">
        <v>3</v>
      </c>
      <c r="G21" s="167">
        <v>23</v>
      </c>
      <c r="H21" s="325">
        <v>6416</v>
      </c>
      <c r="I21" s="326">
        <v>1604</v>
      </c>
      <c r="J21" s="97">
        <f>(I21/F21)</f>
        <v>534.6666666666666</v>
      </c>
      <c r="K21" s="179">
        <f t="shared" si="3"/>
        <v>4</v>
      </c>
      <c r="L21" s="8">
        <f>909778+593215.5+203934.5+91391+32233.5+29451.5+14597.5+12123.5+12906+13616+5350+7885.5+2130+3662+3564+2376+1780+1424+2848+1620+109+5940+6416</f>
        <v>1958351.5</v>
      </c>
      <c r="M21" s="7">
        <f>103944+67300+25860+13426+5611+5689+2739+1975+2803+2381+1177+1755+350+881+891+594+445+356+712+393+20+1485+1604</f>
        <v>242391</v>
      </c>
      <c r="N21" s="163">
        <f>L21/M21</f>
        <v>8.079307812583801</v>
      </c>
      <c r="O21" s="90">
        <v>11</v>
      </c>
    </row>
    <row r="22" spans="1:15" s="83" customFormat="1" ht="12" customHeight="1">
      <c r="A22" s="84">
        <v>12</v>
      </c>
      <c r="B22" s="557" t="s">
        <v>138</v>
      </c>
      <c r="C22" s="418">
        <v>40459</v>
      </c>
      <c r="D22" s="101" t="s">
        <v>32</v>
      </c>
      <c r="E22" s="420">
        <v>142</v>
      </c>
      <c r="F22" s="172">
        <v>1</v>
      </c>
      <c r="G22" s="420">
        <v>21</v>
      </c>
      <c r="H22" s="325">
        <v>2376</v>
      </c>
      <c r="I22" s="326">
        <v>594</v>
      </c>
      <c r="J22" s="87">
        <f>I22/F22</f>
        <v>594</v>
      </c>
      <c r="K22" s="88">
        <f t="shared" si="3"/>
        <v>4</v>
      </c>
      <c r="L22" s="8">
        <f>569713+434829.5+295345.5+223420+26108+12415.5+5998+1904+1368+799+648+306+1782+594+1782+1425.5+3089+151+1188+1188+2376</f>
        <v>1586430</v>
      </c>
      <c r="M22" s="7">
        <f>61050+47827+36467+29781+4601+2405+1000+284+287+123+103+51+445+113+446+267+708+24+297+287+594</f>
        <v>187160</v>
      </c>
      <c r="N22" s="92">
        <f>L22/M22</f>
        <v>8.4763304124813</v>
      </c>
      <c r="O22" s="90">
        <v>12</v>
      </c>
    </row>
    <row r="23" spans="1:15" s="83" customFormat="1" ht="12" customHeight="1">
      <c r="A23" s="84">
        <v>13</v>
      </c>
      <c r="B23" s="698" t="s">
        <v>138</v>
      </c>
      <c r="C23" s="648">
        <v>40459</v>
      </c>
      <c r="D23" s="537" t="s">
        <v>32</v>
      </c>
      <c r="E23" s="649">
        <v>142</v>
      </c>
      <c r="F23" s="25">
        <v>1</v>
      </c>
      <c r="G23" s="649">
        <v>23</v>
      </c>
      <c r="H23" s="475">
        <v>1425.5</v>
      </c>
      <c r="I23" s="476">
        <v>356</v>
      </c>
      <c r="J23" s="218">
        <f>I23/F23</f>
        <v>356</v>
      </c>
      <c r="K23" s="297">
        <f t="shared" si="3"/>
        <v>4.004213483146067</v>
      </c>
      <c r="L23" s="20">
        <f>569713+434829.5+295345.5+223420+26108+12415.5+5998+1904+1368+799+648+306+1782+594+1782+1425.5+3089+151+1188+1188+2376+1188+1425.5</f>
        <v>1589043.5</v>
      </c>
      <c r="M23" s="21">
        <f>61050+47827+36467+29781+4601+2405+1000+284+287+123+103+51+445+113+446+267+708+24+297+287+594+297+356</f>
        <v>187813</v>
      </c>
      <c r="N23" s="298">
        <f>+L23/M23</f>
        <v>8.46077481324509</v>
      </c>
      <c r="O23" s="90">
        <v>13</v>
      </c>
    </row>
    <row r="24" spans="1:15" s="83" customFormat="1" ht="12" customHeight="1">
      <c r="A24" s="84">
        <v>14</v>
      </c>
      <c r="B24" s="567" t="s">
        <v>138</v>
      </c>
      <c r="C24" s="171">
        <v>40459</v>
      </c>
      <c r="D24" s="537" t="s">
        <v>32</v>
      </c>
      <c r="E24" s="543">
        <v>142</v>
      </c>
      <c r="F24" s="543">
        <v>1</v>
      </c>
      <c r="G24" s="543">
        <v>22</v>
      </c>
      <c r="H24" s="475">
        <v>1188</v>
      </c>
      <c r="I24" s="476">
        <v>297</v>
      </c>
      <c r="J24" s="218">
        <f>I24/F24</f>
        <v>297</v>
      </c>
      <c r="K24" s="297">
        <f t="shared" si="3"/>
        <v>4</v>
      </c>
      <c r="L24" s="20">
        <f>569713+434829.5+295345.5+223420+26108+12415.5+5998+1904+1368+799+648+306+1782+594+1782+1425.5+3089+151+1188+1188+2376+1188</f>
        <v>1587618</v>
      </c>
      <c r="M24" s="21">
        <f>61050+47827+36467+29781+4601+2405+1000+284+287+123+103+51+445+113+446+267+708+24+297+287+594+297</f>
        <v>187457</v>
      </c>
      <c r="N24" s="298">
        <f>+L24/M24</f>
        <v>8.469238278645236</v>
      </c>
      <c r="O24" s="90">
        <v>14</v>
      </c>
    </row>
    <row r="25" spans="1:15" s="83" customFormat="1" ht="12" customHeight="1">
      <c r="A25" s="84">
        <v>15</v>
      </c>
      <c r="B25" s="451" t="s">
        <v>138</v>
      </c>
      <c r="C25" s="171">
        <v>40459</v>
      </c>
      <c r="D25" s="101" t="s">
        <v>32</v>
      </c>
      <c r="E25" s="172">
        <v>142</v>
      </c>
      <c r="F25" s="172">
        <v>1</v>
      </c>
      <c r="G25" s="172">
        <v>20</v>
      </c>
      <c r="H25" s="325">
        <v>1188</v>
      </c>
      <c r="I25" s="326">
        <v>287</v>
      </c>
      <c r="J25" s="87">
        <f>I25/F25</f>
        <v>287</v>
      </c>
      <c r="K25" s="88">
        <f t="shared" si="3"/>
        <v>4.139372822299651</v>
      </c>
      <c r="L25" s="8">
        <f>569713+434829.5+295345.5+223420+26108+12415.5+5998+1904+1368+799+648+306+1782+594+1782+1425.5+3089+151+1188+1188</f>
        <v>1584054</v>
      </c>
      <c r="M25" s="7">
        <f>61050+47827+36467+29781+4601+2405+1000+284+287+123+103+51+445+113+446+267+708+24+297+287</f>
        <v>186566</v>
      </c>
      <c r="N25" s="89">
        <f>+L25/M25</f>
        <v>8.490582421234308</v>
      </c>
      <c r="O25" s="90">
        <v>15</v>
      </c>
    </row>
    <row r="26" spans="1:15" s="83" customFormat="1" ht="12" customHeight="1">
      <c r="A26" s="84">
        <v>16</v>
      </c>
      <c r="B26" s="158" t="s">
        <v>138</v>
      </c>
      <c r="C26" s="26">
        <v>40459</v>
      </c>
      <c r="D26" s="24" t="s">
        <v>32</v>
      </c>
      <c r="E26" s="27">
        <v>142</v>
      </c>
      <c r="F26" s="27">
        <v>1</v>
      </c>
      <c r="G26" s="27">
        <v>19</v>
      </c>
      <c r="H26" s="325">
        <v>1188</v>
      </c>
      <c r="I26" s="326">
        <v>297</v>
      </c>
      <c r="J26" s="97">
        <f aca="true" t="shared" si="4" ref="J26:J32">(I26/F26)</f>
        <v>297</v>
      </c>
      <c r="K26" s="161">
        <f t="shared" si="3"/>
        <v>4</v>
      </c>
      <c r="L26" s="8">
        <f>569713+434829.5+295345.5+223420+26108+12415.5+5998+1904+1368+799+648+306+1782+594+1782+1425.5+3089+151+188</f>
        <v>1581866</v>
      </c>
      <c r="M26" s="7">
        <f>61050+47827+36467+29781+4601+2405+1000+284+287+123+103+51+445+113+446+267+708+24+297</f>
        <v>186279</v>
      </c>
      <c r="N26" s="163">
        <f aca="true" t="shared" si="5" ref="N26:N33">L26/M26</f>
        <v>8.49191803692311</v>
      </c>
      <c r="O26" s="90">
        <v>16</v>
      </c>
    </row>
    <row r="27" spans="1:15" s="83" customFormat="1" ht="12" customHeight="1">
      <c r="A27" s="84">
        <v>17</v>
      </c>
      <c r="B27" s="158" t="s">
        <v>145</v>
      </c>
      <c r="C27" s="26">
        <v>40459</v>
      </c>
      <c r="D27" s="24" t="s">
        <v>32</v>
      </c>
      <c r="E27" s="27">
        <v>142</v>
      </c>
      <c r="F27" s="27">
        <v>2</v>
      </c>
      <c r="G27" s="27">
        <v>17</v>
      </c>
      <c r="H27" s="325">
        <v>3207.5</v>
      </c>
      <c r="I27" s="326">
        <v>725</v>
      </c>
      <c r="J27" s="97">
        <f t="shared" si="4"/>
        <v>362.5</v>
      </c>
      <c r="K27" s="161">
        <f t="shared" si="3"/>
        <v>4.424137931034482</v>
      </c>
      <c r="L27" s="8">
        <f>569713+434829.5+295345.5+223420+26108+12415.5+5998+1904+1368+799+648+306+1782+594+1782+1425.5+3207.5</f>
        <v>1581645.5</v>
      </c>
      <c r="M27" s="7">
        <f>61050+47827+36467+29781+4601+2405+1000+284+287+123+103+51+445+113+446+267+725</f>
        <v>185975</v>
      </c>
      <c r="N27" s="163">
        <f t="shared" si="5"/>
        <v>8.504613523323027</v>
      </c>
      <c r="O27" s="90">
        <v>17</v>
      </c>
    </row>
    <row r="28" spans="1:15" s="83" customFormat="1" ht="12" customHeight="1">
      <c r="A28" s="84">
        <v>18</v>
      </c>
      <c r="B28" s="158" t="s">
        <v>145</v>
      </c>
      <c r="C28" s="26">
        <v>40459</v>
      </c>
      <c r="D28" s="165" t="s">
        <v>32</v>
      </c>
      <c r="E28" s="27">
        <v>142</v>
      </c>
      <c r="F28" s="27">
        <v>1</v>
      </c>
      <c r="G28" s="27">
        <v>15</v>
      </c>
      <c r="H28" s="325">
        <v>1782</v>
      </c>
      <c r="I28" s="326">
        <v>446</v>
      </c>
      <c r="J28" s="97">
        <f t="shared" si="4"/>
        <v>446</v>
      </c>
      <c r="K28" s="161">
        <f t="shared" si="3"/>
        <v>3.995515695067265</v>
      </c>
      <c r="L28" s="8">
        <f>569713+434829.5+295345.5+223420+26108+12415.5+5998+1904+1368+799+648+306+1782+594+1782</f>
        <v>1577012.5</v>
      </c>
      <c r="M28" s="7">
        <f>61050+47827+36467+29781+4601+2405+1000+284+287+123+103+51+445+113+446</f>
        <v>184983</v>
      </c>
      <c r="N28" s="163">
        <f t="shared" si="5"/>
        <v>8.525175286377667</v>
      </c>
      <c r="O28" s="90">
        <v>18</v>
      </c>
    </row>
    <row r="29" spans="1:15" s="83" customFormat="1" ht="12" customHeight="1">
      <c r="A29" s="84">
        <v>19</v>
      </c>
      <c r="B29" s="164" t="s">
        <v>145</v>
      </c>
      <c r="C29" s="26">
        <v>40459</v>
      </c>
      <c r="D29" s="165" t="s">
        <v>32</v>
      </c>
      <c r="E29" s="27">
        <v>142</v>
      </c>
      <c r="F29" s="27">
        <v>1</v>
      </c>
      <c r="G29" s="27">
        <v>13</v>
      </c>
      <c r="H29" s="475">
        <v>1782</v>
      </c>
      <c r="I29" s="326">
        <v>445</v>
      </c>
      <c r="J29" s="97">
        <f t="shared" si="4"/>
        <v>445</v>
      </c>
      <c r="K29" s="166">
        <f t="shared" si="3"/>
        <v>4.004494382022472</v>
      </c>
      <c r="L29" s="20">
        <f>569713+434829.5+295345.5+223420+26108+12415.5+5998+1904+1368+799+648+306+1782</f>
        <v>1574636.5</v>
      </c>
      <c r="M29" s="7">
        <f>61050+47827+36467+29781+4601+2405+1000+284+287+123+103+51+445</f>
        <v>184424</v>
      </c>
      <c r="N29" s="163">
        <f t="shared" si="5"/>
        <v>8.538132238754175</v>
      </c>
      <c r="O29" s="90">
        <v>19</v>
      </c>
    </row>
    <row r="30" spans="1:15" s="83" customFormat="1" ht="12" customHeight="1">
      <c r="A30" s="84">
        <v>20</v>
      </c>
      <c r="B30" s="178" t="s">
        <v>145</v>
      </c>
      <c r="C30" s="26">
        <v>40459</v>
      </c>
      <c r="D30" s="165" t="s">
        <v>32</v>
      </c>
      <c r="E30" s="167">
        <v>142</v>
      </c>
      <c r="F30" s="167">
        <v>1</v>
      </c>
      <c r="G30" s="167">
        <v>16</v>
      </c>
      <c r="H30" s="325">
        <v>1425.5</v>
      </c>
      <c r="I30" s="326">
        <v>267</v>
      </c>
      <c r="J30" s="97">
        <f t="shared" si="4"/>
        <v>267</v>
      </c>
      <c r="K30" s="161">
        <f t="shared" si="3"/>
        <v>5.3389513108614235</v>
      </c>
      <c r="L30" s="8">
        <f>569713+434829.5+295345.5+223420+26108+12415.5+5998+1904+1368+799+648+306+1782+594+1782+1425.5</f>
        <v>1578438</v>
      </c>
      <c r="M30" s="7">
        <f>61050+47827+36467+29781+4601+2405+1000+284+287+123+103+51+445+113+446+267</f>
        <v>185250</v>
      </c>
      <c r="N30" s="163">
        <f t="shared" si="5"/>
        <v>8.520582995951417</v>
      </c>
      <c r="O30" s="90">
        <v>20</v>
      </c>
    </row>
    <row r="31" spans="1:15" s="83" customFormat="1" ht="12" customHeight="1">
      <c r="A31" s="84">
        <v>21</v>
      </c>
      <c r="B31" s="170" t="s">
        <v>145</v>
      </c>
      <c r="C31" s="171">
        <v>40459</v>
      </c>
      <c r="D31" s="165" t="s">
        <v>32</v>
      </c>
      <c r="E31" s="172">
        <v>142</v>
      </c>
      <c r="F31" s="172">
        <v>1</v>
      </c>
      <c r="G31" s="172">
        <v>14</v>
      </c>
      <c r="H31" s="469">
        <v>594</v>
      </c>
      <c r="I31" s="470">
        <v>113</v>
      </c>
      <c r="J31" s="173">
        <f t="shared" si="4"/>
        <v>113</v>
      </c>
      <c r="K31" s="174">
        <f t="shared" si="3"/>
        <v>5.256637168141593</v>
      </c>
      <c r="L31" s="175">
        <f>569713+434829.5+295345.5+223420+26108+12415.5+5998+1904+1368+799+648+306+1782+594</f>
        <v>1575230.5</v>
      </c>
      <c r="M31" s="176">
        <f>61050+47827+36467+29781+4601+2405+1000+284+287+123+103+51+445+113</f>
        <v>184537</v>
      </c>
      <c r="N31" s="177">
        <f t="shared" si="5"/>
        <v>8.53612283715461</v>
      </c>
      <c r="O31" s="90">
        <v>21</v>
      </c>
    </row>
    <row r="32" spans="1:15" s="83" customFormat="1" ht="12" customHeight="1">
      <c r="A32" s="84">
        <v>22</v>
      </c>
      <c r="B32" s="158" t="s">
        <v>145</v>
      </c>
      <c r="C32" s="26">
        <v>40459</v>
      </c>
      <c r="D32" s="24" t="s">
        <v>32</v>
      </c>
      <c r="E32" s="27">
        <v>142</v>
      </c>
      <c r="F32" s="27">
        <v>1</v>
      </c>
      <c r="G32" s="27">
        <v>18</v>
      </c>
      <c r="H32" s="325">
        <v>151</v>
      </c>
      <c r="I32" s="326">
        <v>24</v>
      </c>
      <c r="J32" s="97">
        <f t="shared" si="4"/>
        <v>24</v>
      </c>
      <c r="K32" s="161">
        <f t="shared" si="3"/>
        <v>6.291666666666667</v>
      </c>
      <c r="L32" s="8">
        <f>569713+434829.5+295345.5+223420+26108+12415.5+5998+1904+1368+799+648+306+1782+594+1782+1425.5+3089+151</f>
        <v>1581678</v>
      </c>
      <c r="M32" s="7">
        <f>61050+47827+36467+29781+4601+2405+1000+284+287+123+103+51+445+113+446+267+708+24</f>
        <v>185982</v>
      </c>
      <c r="N32" s="163">
        <f t="shared" si="5"/>
        <v>8.504468174339452</v>
      </c>
      <c r="O32" s="90">
        <v>22</v>
      </c>
    </row>
    <row r="33" spans="1:15" s="83" customFormat="1" ht="12" customHeight="1">
      <c r="A33" s="84">
        <v>23</v>
      </c>
      <c r="B33" s="180" t="s">
        <v>146</v>
      </c>
      <c r="C33" s="100">
        <v>40515</v>
      </c>
      <c r="D33" s="101" t="s">
        <v>10</v>
      </c>
      <c r="E33" s="3">
        <v>337</v>
      </c>
      <c r="F33" s="3">
        <v>1</v>
      </c>
      <c r="G33" s="3">
        <v>24</v>
      </c>
      <c r="H33" s="375">
        <v>2381</v>
      </c>
      <c r="I33" s="376">
        <v>300</v>
      </c>
      <c r="J33" s="87">
        <f aca="true" t="shared" si="6" ref="J33:J55">I33/F33</f>
        <v>300</v>
      </c>
      <c r="K33" s="88">
        <f t="shared" si="3"/>
        <v>7.9366666666666665</v>
      </c>
      <c r="L33" s="36">
        <v>19681137</v>
      </c>
      <c r="M33" s="35">
        <v>2106490</v>
      </c>
      <c r="N33" s="92">
        <f t="shared" si="5"/>
        <v>9.343095386163712</v>
      </c>
      <c r="O33" s="90">
        <v>23</v>
      </c>
    </row>
    <row r="34" spans="1:15" s="83" customFormat="1" ht="12" customHeight="1">
      <c r="A34" s="84">
        <v>24</v>
      </c>
      <c r="B34" s="180" t="s">
        <v>146</v>
      </c>
      <c r="C34" s="100">
        <v>40515</v>
      </c>
      <c r="D34" s="537" t="s">
        <v>10</v>
      </c>
      <c r="E34" s="106">
        <v>337</v>
      </c>
      <c r="F34" s="3">
        <v>1</v>
      </c>
      <c r="G34" s="3">
        <v>26</v>
      </c>
      <c r="H34" s="375">
        <v>5950</v>
      </c>
      <c r="I34" s="376">
        <v>1428</v>
      </c>
      <c r="J34" s="87">
        <f t="shared" si="6"/>
        <v>1428</v>
      </c>
      <c r="K34" s="88">
        <f t="shared" si="3"/>
        <v>4.166666666666667</v>
      </c>
      <c r="L34" s="36">
        <v>19688277</v>
      </c>
      <c r="M34" s="35">
        <v>2108156</v>
      </c>
      <c r="N34" s="89">
        <f>+L34/M34</f>
        <v>9.339098719449604</v>
      </c>
      <c r="O34" s="90">
        <v>24</v>
      </c>
    </row>
    <row r="35" spans="1:15" s="83" customFormat="1" ht="12" customHeight="1">
      <c r="A35" s="84">
        <v>25</v>
      </c>
      <c r="B35" s="180" t="s">
        <v>146</v>
      </c>
      <c r="C35" s="2">
        <v>40515</v>
      </c>
      <c r="D35" s="101" t="s">
        <v>10</v>
      </c>
      <c r="E35" s="102">
        <v>337</v>
      </c>
      <c r="F35" s="102">
        <v>1</v>
      </c>
      <c r="G35" s="102">
        <v>21</v>
      </c>
      <c r="H35" s="477">
        <v>4760</v>
      </c>
      <c r="I35" s="478">
        <v>1190</v>
      </c>
      <c r="J35" s="218">
        <f t="shared" si="6"/>
        <v>1190</v>
      </c>
      <c r="K35" s="297">
        <f t="shared" si="3"/>
        <v>4</v>
      </c>
      <c r="L35" s="184">
        <v>19673996</v>
      </c>
      <c r="M35" s="299">
        <v>2105000</v>
      </c>
      <c r="N35" s="309">
        <f>+L35/M35</f>
        <v>9.346316389548694</v>
      </c>
      <c r="O35" s="90">
        <v>25</v>
      </c>
    </row>
    <row r="36" spans="1:15" s="83" customFormat="1" ht="12" customHeight="1">
      <c r="A36" s="84">
        <v>26</v>
      </c>
      <c r="B36" s="180" t="s">
        <v>146</v>
      </c>
      <c r="C36" s="2">
        <v>40515</v>
      </c>
      <c r="D36" s="13" t="s">
        <v>10</v>
      </c>
      <c r="E36" s="3">
        <v>337</v>
      </c>
      <c r="F36" s="3">
        <v>2</v>
      </c>
      <c r="G36" s="3">
        <v>20</v>
      </c>
      <c r="H36" s="375">
        <v>4760</v>
      </c>
      <c r="I36" s="376">
        <v>1190</v>
      </c>
      <c r="J36" s="96">
        <f t="shared" si="6"/>
        <v>595</v>
      </c>
      <c r="K36" s="169">
        <f t="shared" si="3"/>
        <v>4</v>
      </c>
      <c r="L36" s="36">
        <v>19669236</v>
      </c>
      <c r="M36" s="35">
        <v>2103810</v>
      </c>
      <c r="N36" s="181">
        <f>+L36/M36</f>
        <v>9.349340482267886</v>
      </c>
      <c r="O36" s="90">
        <v>26</v>
      </c>
    </row>
    <row r="37" spans="1:15" s="83" customFormat="1" ht="12" customHeight="1">
      <c r="A37" s="84">
        <v>27</v>
      </c>
      <c r="B37" s="180" t="s">
        <v>146</v>
      </c>
      <c r="C37" s="635">
        <v>40515</v>
      </c>
      <c r="D37" s="537" t="s">
        <v>10</v>
      </c>
      <c r="E37" s="540">
        <v>337</v>
      </c>
      <c r="F37" s="16">
        <v>1</v>
      </c>
      <c r="G37" s="16">
        <v>28</v>
      </c>
      <c r="H37" s="477">
        <v>4760</v>
      </c>
      <c r="I37" s="478">
        <v>1190</v>
      </c>
      <c r="J37" s="218">
        <f t="shared" si="6"/>
        <v>1190</v>
      </c>
      <c r="K37" s="297">
        <f t="shared" si="3"/>
        <v>4</v>
      </c>
      <c r="L37" s="184">
        <f>19694229+4760</f>
        <v>19698989</v>
      </c>
      <c r="M37" s="299">
        <f>2109644+1190</f>
        <v>2110834</v>
      </c>
      <c r="N37" s="309">
        <f>+L37/M37</f>
        <v>9.332325043087234</v>
      </c>
      <c r="O37" s="90">
        <v>27</v>
      </c>
    </row>
    <row r="38" spans="1:15" s="83" customFormat="1" ht="12" customHeight="1">
      <c r="A38" s="84">
        <v>28</v>
      </c>
      <c r="B38" s="180" t="s">
        <v>146</v>
      </c>
      <c r="C38" s="100">
        <v>40515</v>
      </c>
      <c r="D38" s="101" t="s">
        <v>10</v>
      </c>
      <c r="E38" s="3">
        <v>337</v>
      </c>
      <c r="F38" s="3">
        <v>1</v>
      </c>
      <c r="G38" s="3">
        <v>23</v>
      </c>
      <c r="H38" s="375">
        <v>2380</v>
      </c>
      <c r="I38" s="376">
        <v>595</v>
      </c>
      <c r="J38" s="87">
        <f t="shared" si="6"/>
        <v>595</v>
      </c>
      <c r="K38" s="88">
        <f t="shared" si="3"/>
        <v>4</v>
      </c>
      <c r="L38" s="36">
        <v>19678756</v>
      </c>
      <c r="M38" s="35">
        <v>2106190</v>
      </c>
      <c r="N38" s="92">
        <f>L38/M38</f>
        <v>9.343295714061885</v>
      </c>
      <c r="O38" s="90">
        <v>28</v>
      </c>
    </row>
    <row r="39" spans="1:15" s="83" customFormat="1" ht="12" customHeight="1">
      <c r="A39" s="84">
        <v>29</v>
      </c>
      <c r="B39" s="180" t="s">
        <v>146</v>
      </c>
      <c r="C39" s="374">
        <v>40515</v>
      </c>
      <c r="D39" s="101" t="s">
        <v>10</v>
      </c>
      <c r="E39" s="106">
        <v>337</v>
      </c>
      <c r="F39" s="3">
        <v>1</v>
      </c>
      <c r="G39" s="3">
        <v>22</v>
      </c>
      <c r="H39" s="375">
        <v>2380</v>
      </c>
      <c r="I39" s="376">
        <v>595</v>
      </c>
      <c r="J39" s="218">
        <f t="shared" si="6"/>
        <v>595</v>
      </c>
      <c r="K39" s="297">
        <f t="shared" si="3"/>
        <v>4</v>
      </c>
      <c r="L39" s="36">
        <v>19676376</v>
      </c>
      <c r="M39" s="35">
        <v>2105595</v>
      </c>
      <c r="N39" s="92">
        <f>L39/M39</f>
        <v>9.344805625013358</v>
      </c>
      <c r="O39" s="90">
        <v>29</v>
      </c>
    </row>
    <row r="40" spans="1:15" s="83" customFormat="1" ht="12" customHeight="1">
      <c r="A40" s="84">
        <v>30</v>
      </c>
      <c r="B40" s="180" t="s">
        <v>146</v>
      </c>
      <c r="C40" s="374">
        <v>40515</v>
      </c>
      <c r="D40" s="101" t="s">
        <v>10</v>
      </c>
      <c r="E40" s="106">
        <v>337</v>
      </c>
      <c r="F40" s="27">
        <v>1</v>
      </c>
      <c r="G40" s="27">
        <v>25</v>
      </c>
      <c r="H40" s="375">
        <v>1190</v>
      </c>
      <c r="I40" s="376">
        <v>238</v>
      </c>
      <c r="J40" s="218">
        <f t="shared" si="6"/>
        <v>238</v>
      </c>
      <c r="K40" s="297">
        <f t="shared" si="3"/>
        <v>5</v>
      </c>
      <c r="L40" s="36">
        <f>19681137+1190</f>
        <v>19682327</v>
      </c>
      <c r="M40" s="35">
        <f>2106490+238</f>
        <v>2106728</v>
      </c>
      <c r="N40" s="92">
        <f aca="true" t="shared" si="7" ref="N40:N55">+L40/M40</f>
        <v>9.342604740621475</v>
      </c>
      <c r="O40" s="90">
        <v>30</v>
      </c>
    </row>
    <row r="41" spans="1:15" s="83" customFormat="1" ht="12" customHeight="1">
      <c r="A41" s="84">
        <v>31</v>
      </c>
      <c r="B41" s="180" t="s">
        <v>146</v>
      </c>
      <c r="C41" s="2">
        <v>40515</v>
      </c>
      <c r="D41" s="16" t="s">
        <v>10</v>
      </c>
      <c r="E41" s="3">
        <v>337</v>
      </c>
      <c r="F41" s="3">
        <v>349</v>
      </c>
      <c r="G41" s="3">
        <v>5</v>
      </c>
      <c r="H41" s="477">
        <v>1719523</v>
      </c>
      <c r="I41" s="376">
        <v>182375</v>
      </c>
      <c r="J41" s="96">
        <f t="shared" si="6"/>
        <v>522.5644699140402</v>
      </c>
      <c r="K41" s="183">
        <f t="shared" si="3"/>
        <v>9.4285017135024</v>
      </c>
      <c r="L41" s="184">
        <v>18655018</v>
      </c>
      <c r="M41" s="35">
        <v>1982618</v>
      </c>
      <c r="N41" s="181">
        <f t="shared" si="7"/>
        <v>9.409285096776081</v>
      </c>
      <c r="O41" s="90">
        <v>31</v>
      </c>
    </row>
    <row r="42" spans="1:15" s="83" customFormat="1" ht="12" customHeight="1">
      <c r="A42" s="84">
        <v>32</v>
      </c>
      <c r="B42" s="180" t="s">
        <v>146</v>
      </c>
      <c r="C42" s="2">
        <v>40515</v>
      </c>
      <c r="D42" s="16" t="s">
        <v>10</v>
      </c>
      <c r="E42" s="3">
        <v>337</v>
      </c>
      <c r="F42" s="3">
        <v>292</v>
      </c>
      <c r="G42" s="3">
        <v>6</v>
      </c>
      <c r="H42" s="375">
        <v>638062</v>
      </c>
      <c r="I42" s="376">
        <v>72167</v>
      </c>
      <c r="J42" s="96">
        <f t="shared" si="6"/>
        <v>247.1472602739726</v>
      </c>
      <c r="K42" s="169">
        <f t="shared" si="3"/>
        <v>8.841464935496834</v>
      </c>
      <c r="L42" s="36">
        <v>19293080</v>
      </c>
      <c r="M42" s="35">
        <v>2054938</v>
      </c>
      <c r="N42" s="181">
        <f t="shared" si="7"/>
        <v>9.388643355663286</v>
      </c>
      <c r="O42" s="90">
        <v>32</v>
      </c>
    </row>
    <row r="43" spans="1:15" s="83" customFormat="1" ht="12" customHeight="1">
      <c r="A43" s="84">
        <v>33</v>
      </c>
      <c r="B43" s="180" t="s">
        <v>146</v>
      </c>
      <c r="C43" s="2">
        <v>40515</v>
      </c>
      <c r="D43" s="14" t="s">
        <v>10</v>
      </c>
      <c r="E43" s="4">
        <v>337</v>
      </c>
      <c r="F43" s="4">
        <v>128</v>
      </c>
      <c r="G43" s="4">
        <v>7</v>
      </c>
      <c r="H43" s="375">
        <v>271404</v>
      </c>
      <c r="I43" s="376">
        <v>30669</v>
      </c>
      <c r="J43" s="96">
        <f t="shared" si="6"/>
        <v>239.6015625</v>
      </c>
      <c r="K43" s="169">
        <f t="shared" si="3"/>
        <v>8.849457106524504</v>
      </c>
      <c r="L43" s="36">
        <v>19564484</v>
      </c>
      <c r="M43" s="35">
        <v>2085607</v>
      </c>
      <c r="N43" s="181">
        <f t="shared" si="7"/>
        <v>9.380714583332335</v>
      </c>
      <c r="O43" s="90">
        <v>33</v>
      </c>
    </row>
    <row r="44" spans="1:15" s="83" customFormat="1" ht="12" customHeight="1">
      <c r="A44" s="84">
        <v>34</v>
      </c>
      <c r="B44" s="180" t="s">
        <v>146</v>
      </c>
      <c r="C44" s="2">
        <v>40515</v>
      </c>
      <c r="D44" s="13" t="s">
        <v>10</v>
      </c>
      <c r="E44" s="3">
        <v>337</v>
      </c>
      <c r="F44" s="3">
        <v>32</v>
      </c>
      <c r="G44" s="3">
        <v>8</v>
      </c>
      <c r="H44" s="375">
        <v>59187</v>
      </c>
      <c r="I44" s="376">
        <v>7792</v>
      </c>
      <c r="J44" s="96">
        <f t="shared" si="6"/>
        <v>243.5</v>
      </c>
      <c r="K44" s="169">
        <f t="shared" si="3"/>
        <v>7.595867556468172</v>
      </c>
      <c r="L44" s="36">
        <v>19623671</v>
      </c>
      <c r="M44" s="35">
        <v>2093399</v>
      </c>
      <c r="N44" s="181">
        <f t="shared" si="7"/>
        <v>9.374071068152798</v>
      </c>
      <c r="O44" s="90">
        <v>34</v>
      </c>
    </row>
    <row r="45" spans="1:15" s="83" customFormat="1" ht="12" customHeight="1">
      <c r="A45" s="84">
        <v>35</v>
      </c>
      <c r="B45" s="180" t="s">
        <v>146</v>
      </c>
      <c r="C45" s="2">
        <v>40515</v>
      </c>
      <c r="D45" s="13" t="s">
        <v>10</v>
      </c>
      <c r="E45" s="3">
        <v>337</v>
      </c>
      <c r="F45" s="3">
        <v>2</v>
      </c>
      <c r="G45" s="3">
        <v>18</v>
      </c>
      <c r="H45" s="375">
        <v>9524</v>
      </c>
      <c r="I45" s="376">
        <v>2381</v>
      </c>
      <c r="J45" s="96">
        <f t="shared" si="6"/>
        <v>1190.5</v>
      </c>
      <c r="K45" s="169">
        <f t="shared" si="3"/>
        <v>4</v>
      </c>
      <c r="L45" s="36">
        <v>19662096</v>
      </c>
      <c r="M45" s="35">
        <v>2102025</v>
      </c>
      <c r="N45" s="181">
        <f t="shared" si="7"/>
        <v>9.353883041352981</v>
      </c>
      <c r="O45" s="90">
        <v>35</v>
      </c>
    </row>
    <row r="46" spans="1:15" s="83" customFormat="1" ht="12" customHeight="1">
      <c r="A46" s="84">
        <v>36</v>
      </c>
      <c r="B46" s="180" t="s">
        <v>146</v>
      </c>
      <c r="C46" s="2">
        <v>40515</v>
      </c>
      <c r="D46" s="14" t="s">
        <v>10</v>
      </c>
      <c r="E46" s="4">
        <v>337</v>
      </c>
      <c r="F46" s="4">
        <v>3</v>
      </c>
      <c r="G46" s="4">
        <v>12</v>
      </c>
      <c r="H46" s="375">
        <v>7416</v>
      </c>
      <c r="I46" s="376">
        <v>1461</v>
      </c>
      <c r="J46" s="96">
        <f t="shared" si="6"/>
        <v>487</v>
      </c>
      <c r="K46" s="169">
        <f t="shared" si="3"/>
        <v>5.075975359342916</v>
      </c>
      <c r="L46" s="36">
        <v>19636508</v>
      </c>
      <c r="M46" s="35">
        <v>2095488</v>
      </c>
      <c r="N46" s="181">
        <f t="shared" si="7"/>
        <v>9.370852040193025</v>
      </c>
      <c r="O46" s="90">
        <v>36</v>
      </c>
    </row>
    <row r="47" spans="1:15" s="83" customFormat="1" ht="12" customHeight="1">
      <c r="A47" s="84">
        <v>37</v>
      </c>
      <c r="B47" s="180" t="s">
        <v>146</v>
      </c>
      <c r="C47" s="2">
        <v>40515</v>
      </c>
      <c r="D47" s="13" t="s">
        <v>10</v>
      </c>
      <c r="E47" s="3">
        <v>337</v>
      </c>
      <c r="F47" s="3">
        <v>2</v>
      </c>
      <c r="G47" s="3">
        <v>17</v>
      </c>
      <c r="H47" s="375">
        <v>7143</v>
      </c>
      <c r="I47" s="376">
        <v>1422</v>
      </c>
      <c r="J47" s="96">
        <f t="shared" si="6"/>
        <v>711</v>
      </c>
      <c r="K47" s="169">
        <f t="shared" si="3"/>
        <v>5.023206751054852</v>
      </c>
      <c r="L47" s="36">
        <v>19652572</v>
      </c>
      <c r="M47" s="35">
        <v>2099644</v>
      </c>
      <c r="N47" s="181">
        <f t="shared" si="7"/>
        <v>9.359954354166707</v>
      </c>
      <c r="O47" s="90">
        <v>37</v>
      </c>
    </row>
    <row r="48" spans="1:15" s="83" customFormat="1" ht="12" customHeight="1">
      <c r="A48" s="84">
        <v>38</v>
      </c>
      <c r="B48" s="180" t="s">
        <v>146</v>
      </c>
      <c r="C48" s="2">
        <v>40515</v>
      </c>
      <c r="D48" s="13" t="s">
        <v>10</v>
      </c>
      <c r="E48" s="3">
        <v>337</v>
      </c>
      <c r="F48" s="3">
        <v>6</v>
      </c>
      <c r="G48" s="3">
        <v>9</v>
      </c>
      <c r="H48" s="375">
        <v>3519</v>
      </c>
      <c r="I48" s="376">
        <v>429</v>
      </c>
      <c r="J48" s="96">
        <f t="shared" si="6"/>
        <v>71.5</v>
      </c>
      <c r="K48" s="169">
        <f t="shared" si="3"/>
        <v>8.202797202797203</v>
      </c>
      <c r="L48" s="36">
        <v>19627190</v>
      </c>
      <c r="M48" s="35">
        <v>2093828</v>
      </c>
      <c r="N48" s="181">
        <f t="shared" si="7"/>
        <v>9.373831088322442</v>
      </c>
      <c r="O48" s="90">
        <v>38</v>
      </c>
    </row>
    <row r="49" spans="1:15" s="83" customFormat="1" ht="12" customHeight="1">
      <c r="A49" s="84">
        <v>39</v>
      </c>
      <c r="B49" s="180" t="s">
        <v>146</v>
      </c>
      <c r="C49" s="2">
        <v>40515</v>
      </c>
      <c r="D49" s="13" t="s">
        <v>10</v>
      </c>
      <c r="E49" s="3">
        <v>337</v>
      </c>
      <c r="F49" s="3">
        <v>1</v>
      </c>
      <c r="G49" s="3">
        <v>19</v>
      </c>
      <c r="H49" s="375">
        <v>2380</v>
      </c>
      <c r="I49" s="376">
        <v>595</v>
      </c>
      <c r="J49" s="96">
        <f t="shared" si="6"/>
        <v>595</v>
      </c>
      <c r="K49" s="183">
        <f t="shared" si="3"/>
        <v>4</v>
      </c>
      <c r="L49" s="36">
        <v>19664476</v>
      </c>
      <c r="M49" s="35">
        <v>2102620</v>
      </c>
      <c r="N49" s="181">
        <f t="shared" si="7"/>
        <v>9.352367998021515</v>
      </c>
      <c r="O49" s="90">
        <v>39</v>
      </c>
    </row>
    <row r="50" spans="1:15" s="83" customFormat="1" ht="12" customHeight="1">
      <c r="A50" s="84">
        <v>40</v>
      </c>
      <c r="B50" s="180" t="s">
        <v>146</v>
      </c>
      <c r="C50" s="2">
        <v>40515</v>
      </c>
      <c r="D50" s="14" t="s">
        <v>10</v>
      </c>
      <c r="E50" s="4">
        <v>337</v>
      </c>
      <c r="F50" s="4">
        <v>1</v>
      </c>
      <c r="G50" s="4">
        <v>16</v>
      </c>
      <c r="H50" s="375">
        <v>2380</v>
      </c>
      <c r="I50" s="376">
        <v>476</v>
      </c>
      <c r="J50" s="96">
        <f t="shared" si="6"/>
        <v>476</v>
      </c>
      <c r="K50" s="186">
        <f t="shared" si="3"/>
        <v>5</v>
      </c>
      <c r="L50" s="36">
        <v>19645429</v>
      </c>
      <c r="M50" s="35">
        <v>2098222</v>
      </c>
      <c r="N50" s="181">
        <f t="shared" si="7"/>
        <v>9.362893440255608</v>
      </c>
      <c r="O50" s="90">
        <v>40</v>
      </c>
    </row>
    <row r="51" spans="1:15" s="83" customFormat="1" ht="12" customHeight="1">
      <c r="A51" s="84">
        <v>41</v>
      </c>
      <c r="B51" s="180" t="s">
        <v>146</v>
      </c>
      <c r="C51" s="2">
        <v>40515</v>
      </c>
      <c r="D51" s="13" t="s">
        <v>10</v>
      </c>
      <c r="E51" s="3">
        <v>337</v>
      </c>
      <c r="F51" s="3">
        <v>1</v>
      </c>
      <c r="G51" s="3">
        <v>15</v>
      </c>
      <c r="H51" s="375">
        <v>2380</v>
      </c>
      <c r="I51" s="376">
        <v>476</v>
      </c>
      <c r="J51" s="96">
        <f t="shared" si="6"/>
        <v>476</v>
      </c>
      <c r="K51" s="169">
        <f t="shared" si="3"/>
        <v>5</v>
      </c>
      <c r="L51" s="36">
        <v>19643049</v>
      </c>
      <c r="M51" s="35">
        <v>2097746</v>
      </c>
      <c r="N51" s="181">
        <f t="shared" si="7"/>
        <v>9.363883425352736</v>
      </c>
      <c r="O51" s="90">
        <v>41</v>
      </c>
    </row>
    <row r="52" spans="1:15" s="83" customFormat="1" ht="12" customHeight="1">
      <c r="A52" s="84">
        <v>42</v>
      </c>
      <c r="B52" s="180" t="s">
        <v>146</v>
      </c>
      <c r="C52" s="2">
        <v>40515</v>
      </c>
      <c r="D52" s="14" t="s">
        <v>10</v>
      </c>
      <c r="E52" s="4">
        <v>337</v>
      </c>
      <c r="F52" s="4">
        <v>1</v>
      </c>
      <c r="G52" s="4">
        <v>13</v>
      </c>
      <c r="H52" s="477">
        <v>2380</v>
      </c>
      <c r="I52" s="478">
        <v>476</v>
      </c>
      <c r="J52" s="713">
        <f t="shared" si="6"/>
        <v>476</v>
      </c>
      <c r="K52" s="183">
        <f t="shared" si="3"/>
        <v>5</v>
      </c>
      <c r="L52" s="184">
        <v>19638888</v>
      </c>
      <c r="M52" s="299">
        <v>2095964</v>
      </c>
      <c r="N52" s="181">
        <f t="shared" si="7"/>
        <v>9.369859405982163</v>
      </c>
      <c r="O52" s="90">
        <v>42</v>
      </c>
    </row>
    <row r="53" spans="1:15" s="83" customFormat="1" ht="12" customHeight="1">
      <c r="A53" s="84">
        <v>43</v>
      </c>
      <c r="B53" s="180" t="s">
        <v>146</v>
      </c>
      <c r="C53" s="2">
        <v>40515</v>
      </c>
      <c r="D53" s="13" t="s">
        <v>10</v>
      </c>
      <c r="E53" s="3">
        <v>337</v>
      </c>
      <c r="F53" s="3">
        <v>1</v>
      </c>
      <c r="G53" s="3">
        <v>14</v>
      </c>
      <c r="H53" s="375">
        <v>1781</v>
      </c>
      <c r="I53" s="376">
        <v>1306</v>
      </c>
      <c r="J53" s="96">
        <f t="shared" si="6"/>
        <v>1306</v>
      </c>
      <c r="K53" s="169">
        <f t="shared" si="3"/>
        <v>1.3637059724349159</v>
      </c>
      <c r="L53" s="36">
        <v>19640669</v>
      </c>
      <c r="M53" s="35">
        <v>2097270</v>
      </c>
      <c r="N53" s="181">
        <f t="shared" si="7"/>
        <v>9.364873859827298</v>
      </c>
      <c r="O53" s="90">
        <v>43</v>
      </c>
    </row>
    <row r="54" spans="1:15" s="83" customFormat="1" ht="12" customHeight="1">
      <c r="A54" s="84">
        <v>44</v>
      </c>
      <c r="B54" s="180" t="s">
        <v>146</v>
      </c>
      <c r="C54" s="2">
        <v>40515</v>
      </c>
      <c r="D54" s="14" t="s">
        <v>10</v>
      </c>
      <c r="E54" s="4">
        <v>337</v>
      </c>
      <c r="F54" s="4">
        <v>3</v>
      </c>
      <c r="G54" s="4">
        <v>10</v>
      </c>
      <c r="H54" s="375">
        <v>1124</v>
      </c>
      <c r="I54" s="376">
        <v>121</v>
      </c>
      <c r="J54" s="96">
        <f t="shared" si="6"/>
        <v>40.333333333333336</v>
      </c>
      <c r="K54" s="169">
        <f t="shared" si="3"/>
        <v>9.289256198347108</v>
      </c>
      <c r="L54" s="36">
        <v>19628314</v>
      </c>
      <c r="M54" s="35">
        <v>2093949</v>
      </c>
      <c r="N54" s="181">
        <f t="shared" si="7"/>
        <v>9.37382620111569</v>
      </c>
      <c r="O54" s="90">
        <v>44</v>
      </c>
    </row>
    <row r="55" spans="1:15" s="83" customFormat="1" ht="12" customHeight="1">
      <c r="A55" s="84">
        <v>45</v>
      </c>
      <c r="B55" s="180" t="s">
        <v>146</v>
      </c>
      <c r="C55" s="2">
        <v>40515</v>
      </c>
      <c r="D55" s="13" t="s">
        <v>10</v>
      </c>
      <c r="E55" s="3">
        <v>337</v>
      </c>
      <c r="F55" s="3">
        <v>2</v>
      </c>
      <c r="G55" s="3">
        <v>11</v>
      </c>
      <c r="H55" s="375">
        <v>778</v>
      </c>
      <c r="I55" s="376">
        <v>78</v>
      </c>
      <c r="J55" s="96">
        <f t="shared" si="6"/>
        <v>39</v>
      </c>
      <c r="K55" s="169">
        <f t="shared" si="3"/>
        <v>9.974358974358974</v>
      </c>
      <c r="L55" s="36">
        <v>19629092</v>
      </c>
      <c r="M55" s="35">
        <v>2094027</v>
      </c>
      <c r="N55" s="181">
        <f t="shared" si="7"/>
        <v>9.373848570242886</v>
      </c>
      <c r="O55" s="90">
        <v>45</v>
      </c>
    </row>
    <row r="56" spans="1:15" s="83" customFormat="1" ht="12" customHeight="1">
      <c r="A56" s="84">
        <v>46</v>
      </c>
      <c r="B56" s="392" t="s">
        <v>275</v>
      </c>
      <c r="C56" s="26">
        <v>40165</v>
      </c>
      <c r="D56" s="24" t="s">
        <v>32</v>
      </c>
      <c r="E56" s="27">
        <v>150</v>
      </c>
      <c r="F56" s="27">
        <v>2</v>
      </c>
      <c r="G56" s="27">
        <v>45</v>
      </c>
      <c r="H56" s="325">
        <v>7038.5</v>
      </c>
      <c r="I56" s="326">
        <v>964</v>
      </c>
      <c r="J56" s="97">
        <f>(I56/F56)</f>
        <v>482</v>
      </c>
      <c r="K56" s="161">
        <f t="shared" si="3"/>
        <v>7.301348547717843</v>
      </c>
      <c r="L56" s="8">
        <f>26351050.5+1782+1045+250+135084.5+75530.5+42949.5+5302.5+6113+4133+420+7038.5</f>
        <v>26630699</v>
      </c>
      <c r="M56" s="7">
        <f>2457871+446+113+30+11058+6318+3444+432+464+353+42+964</f>
        <v>2481535</v>
      </c>
      <c r="N56" s="163">
        <v>10.72108768116797</v>
      </c>
      <c r="O56" s="90">
        <v>46</v>
      </c>
    </row>
    <row r="57" spans="1:15" s="83" customFormat="1" ht="12" customHeight="1">
      <c r="A57" s="84">
        <v>47</v>
      </c>
      <c r="B57" s="557" t="s">
        <v>275</v>
      </c>
      <c r="C57" s="418">
        <v>40165</v>
      </c>
      <c r="D57" s="101" t="s">
        <v>32</v>
      </c>
      <c r="E57" s="420">
        <v>150</v>
      </c>
      <c r="F57" s="172">
        <v>1</v>
      </c>
      <c r="G57" s="420">
        <v>47</v>
      </c>
      <c r="H57" s="325">
        <v>1782</v>
      </c>
      <c r="I57" s="326">
        <v>446</v>
      </c>
      <c r="J57" s="87">
        <f>I57/F57</f>
        <v>446</v>
      </c>
      <c r="K57" s="88">
        <f t="shared" si="3"/>
        <v>3.995515695067265</v>
      </c>
      <c r="L57" s="8">
        <f>26351050.5+1782+1045+250+135084.5+75530.5+42949.5+5302.5+6113+4133+420+7038.5+950.5+1188+1782</f>
        <v>26634619.5</v>
      </c>
      <c r="M57" s="7">
        <f>2457871+446+113+30+11058+6318+3444+432+464+353+42+964+238+297+446</f>
        <v>2482516</v>
      </c>
      <c r="N57" s="92">
        <f>L57/M57</f>
        <v>10.728881304289681</v>
      </c>
      <c r="O57" s="90">
        <v>47</v>
      </c>
    </row>
    <row r="58" spans="1:15" s="83" customFormat="1" ht="12" customHeight="1">
      <c r="A58" s="84">
        <v>48</v>
      </c>
      <c r="B58" s="451" t="s">
        <v>275</v>
      </c>
      <c r="C58" s="171">
        <v>40165</v>
      </c>
      <c r="D58" s="101" t="s">
        <v>32</v>
      </c>
      <c r="E58" s="172">
        <v>150</v>
      </c>
      <c r="F58" s="172">
        <v>1</v>
      </c>
      <c r="G58" s="172">
        <v>46</v>
      </c>
      <c r="H58" s="325">
        <v>1188</v>
      </c>
      <c r="I58" s="326">
        <v>297</v>
      </c>
      <c r="J58" s="218">
        <f>I58/F58</f>
        <v>297</v>
      </c>
      <c r="K58" s="297">
        <f t="shared" si="3"/>
        <v>4</v>
      </c>
      <c r="L58" s="8">
        <f>26351050.5+1782+1045+250+135084.5+75530.5+42949.5+5302.5+6113+4133+420+7038.5+950.5+1188</f>
        <v>26632837.5</v>
      </c>
      <c r="M58" s="7">
        <f>2457871+446+113+30+11058+6318+3444+432+464+353+42+964+238+297</f>
        <v>2482070</v>
      </c>
      <c r="N58" s="92">
        <f>+L58/M58</f>
        <v>10.730091214188157</v>
      </c>
      <c r="O58" s="90">
        <v>48</v>
      </c>
    </row>
    <row r="59" spans="1:15" s="83" customFormat="1" ht="12" customHeight="1">
      <c r="A59" s="84">
        <v>49</v>
      </c>
      <c r="B59" s="158" t="s">
        <v>275</v>
      </c>
      <c r="C59" s="26">
        <v>40165</v>
      </c>
      <c r="D59" s="24" t="s">
        <v>32</v>
      </c>
      <c r="E59" s="27">
        <v>150</v>
      </c>
      <c r="F59" s="27">
        <v>1</v>
      </c>
      <c r="G59" s="27">
        <v>45</v>
      </c>
      <c r="H59" s="325">
        <v>950.5</v>
      </c>
      <c r="I59" s="326">
        <v>238</v>
      </c>
      <c r="J59" s="97">
        <f>(I59/F59)</f>
        <v>238</v>
      </c>
      <c r="K59" s="161">
        <f t="shared" si="3"/>
        <v>3.9936974789915967</v>
      </c>
      <c r="L59" s="8">
        <f>26351050.5+1782+1045+250+135084.5+75530.5+42949.5+5302.5+6113+4133+420+7038.5+950.5</f>
        <v>26631649.5</v>
      </c>
      <c r="M59" s="7">
        <f>2457871+446+113+30+11058+6318+3444+432+464+353+42+964+238</f>
        <v>2481773</v>
      </c>
      <c r="N59" s="163">
        <v>10.72108768116797</v>
      </c>
      <c r="O59" s="90">
        <v>49</v>
      </c>
    </row>
    <row r="60" spans="1:15" s="83" customFormat="1" ht="12" customHeight="1">
      <c r="A60" s="84">
        <v>50</v>
      </c>
      <c r="B60" s="185" t="s">
        <v>147</v>
      </c>
      <c r="C60" s="2">
        <v>40249</v>
      </c>
      <c r="D60" s="14" t="s">
        <v>21</v>
      </c>
      <c r="E60" s="4">
        <v>116</v>
      </c>
      <c r="F60" s="4">
        <v>1</v>
      </c>
      <c r="G60" s="4">
        <v>30</v>
      </c>
      <c r="H60" s="452">
        <v>3020</v>
      </c>
      <c r="I60" s="453">
        <v>604</v>
      </c>
      <c r="J60" s="87">
        <f>+I60/F60</f>
        <v>604</v>
      </c>
      <c r="K60" s="187">
        <f>+H60/I60</f>
        <v>5</v>
      </c>
      <c r="L60" s="29">
        <f>1547543.25+3020+3020</f>
        <v>1553583.25</v>
      </c>
      <c r="M60" s="33">
        <f>209803+604+604</f>
        <v>211011</v>
      </c>
      <c r="N60" s="188">
        <f>IF(L60&lt;&gt;0,L60/M60,"")</f>
        <v>7.36256996080773</v>
      </c>
      <c r="O60" s="90">
        <v>50</v>
      </c>
    </row>
    <row r="61" spans="1:15" s="83" customFormat="1" ht="12" customHeight="1">
      <c r="A61" s="84">
        <v>51</v>
      </c>
      <c r="B61" s="182" t="s">
        <v>276</v>
      </c>
      <c r="C61" s="2">
        <v>40466</v>
      </c>
      <c r="D61" s="16" t="s">
        <v>21</v>
      </c>
      <c r="E61" s="3">
        <v>10</v>
      </c>
      <c r="F61" s="3">
        <v>2</v>
      </c>
      <c r="G61" s="3">
        <v>7</v>
      </c>
      <c r="H61" s="479">
        <v>325</v>
      </c>
      <c r="I61" s="453">
        <v>44</v>
      </c>
      <c r="J61" s="87">
        <f>IF(H61&lt;&gt;0,I61/F61,"")</f>
        <v>22</v>
      </c>
      <c r="K61" s="189">
        <f>IF(H61&lt;&gt;0,H61/I61,"")</f>
        <v>7.386363636363637</v>
      </c>
      <c r="L61" s="28">
        <f>7088+2486+815+33+201+698+H61</f>
        <v>11646</v>
      </c>
      <c r="M61" s="33">
        <f>735+318+126+5+29+108+I61</f>
        <v>1365</v>
      </c>
      <c r="N61" s="188">
        <f>IF(L61&lt;&gt;0,L61/M61,"")</f>
        <v>8.531868131868132</v>
      </c>
      <c r="O61" s="90">
        <v>51</v>
      </c>
    </row>
    <row r="62" spans="1:15" s="83" customFormat="1" ht="12" customHeight="1">
      <c r="A62" s="84">
        <v>52</v>
      </c>
      <c r="B62" s="185" t="s">
        <v>276</v>
      </c>
      <c r="C62" s="2">
        <v>40466</v>
      </c>
      <c r="D62" s="14" t="s">
        <v>21</v>
      </c>
      <c r="E62" s="4">
        <v>10</v>
      </c>
      <c r="F62" s="4">
        <v>1</v>
      </c>
      <c r="G62" s="4">
        <v>8</v>
      </c>
      <c r="H62" s="452">
        <v>251</v>
      </c>
      <c r="I62" s="453">
        <v>68</v>
      </c>
      <c r="J62" s="87">
        <f>IF(H62&lt;&gt;0,I62/F62,"")</f>
        <v>68</v>
      </c>
      <c r="K62" s="187">
        <f>IF(H62&lt;&gt;0,H62/I62,"")</f>
        <v>3.6911764705882355</v>
      </c>
      <c r="L62" s="29">
        <f>7088+2486+815+33+201+698+325+251</f>
        <v>11897</v>
      </c>
      <c r="M62" s="32">
        <f>735+318+126+5+29+108+44+68</f>
        <v>1433</v>
      </c>
      <c r="N62" s="188">
        <f>IF(L62&lt;&gt;0,L62/M62,"")</f>
        <v>8.302163293789253</v>
      </c>
      <c r="O62" s="90">
        <v>52</v>
      </c>
    </row>
    <row r="63" spans="1:15" s="83" customFormat="1" ht="12" customHeight="1">
      <c r="A63" s="84">
        <v>53</v>
      </c>
      <c r="B63" s="249" t="s">
        <v>248</v>
      </c>
      <c r="C63" s="100">
        <v>40564</v>
      </c>
      <c r="D63" s="101" t="s">
        <v>29</v>
      </c>
      <c r="E63" s="703">
        <v>135</v>
      </c>
      <c r="F63" s="705">
        <v>1</v>
      </c>
      <c r="G63" s="102">
        <v>81</v>
      </c>
      <c r="H63" s="707">
        <v>3597</v>
      </c>
      <c r="I63" s="379">
        <v>600</v>
      </c>
      <c r="J63" s="87">
        <f aca="true" t="shared" si="8" ref="J63:J71">I63/F63</f>
        <v>600</v>
      </c>
      <c r="K63" s="88">
        <f aca="true" t="shared" si="9" ref="K63:K73">H63/I63</f>
        <v>5.995</v>
      </c>
      <c r="L63" s="62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f>
        <v>25463034.5</v>
      </c>
      <c r="M63" s="19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f>
        <v>3838485</v>
      </c>
      <c r="N63" s="89">
        <f>+L63/M63</f>
        <v>6.633615736416841</v>
      </c>
      <c r="O63" s="90">
        <v>53</v>
      </c>
    </row>
    <row r="64" spans="1:15" s="83" customFormat="1" ht="12" customHeight="1">
      <c r="A64" s="84">
        <v>54</v>
      </c>
      <c r="B64" s="393" t="s">
        <v>277</v>
      </c>
      <c r="C64" s="394">
        <v>40529</v>
      </c>
      <c r="D64" s="395" t="s">
        <v>278</v>
      </c>
      <c r="E64" s="190">
        <v>5</v>
      </c>
      <c r="F64" s="190">
        <v>5</v>
      </c>
      <c r="G64" s="190">
        <v>4</v>
      </c>
      <c r="H64" s="480">
        <v>4388</v>
      </c>
      <c r="I64" s="481">
        <v>375</v>
      </c>
      <c r="J64" s="33">
        <f t="shared" si="8"/>
        <v>75</v>
      </c>
      <c r="K64" s="396">
        <f t="shared" si="9"/>
        <v>11.701333333333332</v>
      </c>
      <c r="L64" s="162">
        <v>19557</v>
      </c>
      <c r="M64" s="33">
        <v>1795</v>
      </c>
      <c r="N64" s="397">
        <f aca="true" t="shared" si="10" ref="N64:N73">L64/M64</f>
        <v>10.895264623955432</v>
      </c>
      <c r="O64" s="90">
        <v>54</v>
      </c>
    </row>
    <row r="65" spans="1:15" s="83" customFormat="1" ht="12" customHeight="1">
      <c r="A65" s="84">
        <v>55</v>
      </c>
      <c r="B65" s="191" t="s">
        <v>277</v>
      </c>
      <c r="C65" s="394">
        <v>40529</v>
      </c>
      <c r="D65" s="398" t="s">
        <v>278</v>
      </c>
      <c r="E65" s="159">
        <v>5</v>
      </c>
      <c r="F65" s="159">
        <v>3</v>
      </c>
      <c r="G65" s="159">
        <v>5</v>
      </c>
      <c r="H65" s="480">
        <v>3391</v>
      </c>
      <c r="I65" s="481">
        <v>400</v>
      </c>
      <c r="J65" s="33">
        <f t="shared" si="8"/>
        <v>133.33333333333334</v>
      </c>
      <c r="K65" s="396">
        <f t="shared" si="9"/>
        <v>8.4775</v>
      </c>
      <c r="L65" s="162">
        <v>22948</v>
      </c>
      <c r="M65" s="33">
        <v>2195</v>
      </c>
      <c r="N65" s="397">
        <f t="shared" si="10"/>
        <v>10.454669703872437</v>
      </c>
      <c r="O65" s="90">
        <v>55</v>
      </c>
    </row>
    <row r="66" spans="1:15" s="83" customFormat="1" ht="12" customHeight="1">
      <c r="A66" s="84">
        <v>56</v>
      </c>
      <c r="B66" s="158" t="s">
        <v>277</v>
      </c>
      <c r="C66" s="26">
        <v>40529</v>
      </c>
      <c r="D66" s="24" t="s">
        <v>64</v>
      </c>
      <c r="E66" s="27">
        <v>5</v>
      </c>
      <c r="F66" s="27">
        <v>1</v>
      </c>
      <c r="G66" s="27">
        <v>9</v>
      </c>
      <c r="H66" s="467">
        <v>3025</v>
      </c>
      <c r="I66" s="468">
        <v>605</v>
      </c>
      <c r="J66" s="32">
        <f t="shared" si="8"/>
        <v>605</v>
      </c>
      <c r="K66" s="220">
        <f t="shared" si="9"/>
        <v>5</v>
      </c>
      <c r="L66" s="30">
        <v>30459</v>
      </c>
      <c r="M66" s="32">
        <v>3466</v>
      </c>
      <c r="N66" s="213">
        <f t="shared" si="10"/>
        <v>8.78793998845932</v>
      </c>
      <c r="O66" s="90">
        <v>56</v>
      </c>
    </row>
    <row r="67" spans="1:15" s="83" customFormat="1" ht="12" customHeight="1">
      <c r="A67" s="84">
        <v>57</v>
      </c>
      <c r="B67" s="399" t="s">
        <v>277</v>
      </c>
      <c r="C67" s="400">
        <v>40529</v>
      </c>
      <c r="D67" s="395" t="s">
        <v>278</v>
      </c>
      <c r="E67" s="192">
        <v>5</v>
      </c>
      <c r="F67" s="192">
        <v>5</v>
      </c>
      <c r="G67" s="192">
        <v>6</v>
      </c>
      <c r="H67" s="562">
        <v>2708</v>
      </c>
      <c r="I67" s="379">
        <v>400</v>
      </c>
      <c r="J67" s="193">
        <f t="shared" si="8"/>
        <v>80</v>
      </c>
      <c r="K67" s="563">
        <f t="shared" si="9"/>
        <v>6.77</v>
      </c>
      <c r="L67" s="194">
        <v>25656</v>
      </c>
      <c r="M67" s="193">
        <v>2595</v>
      </c>
      <c r="N67" s="564">
        <f t="shared" si="10"/>
        <v>9.88670520231214</v>
      </c>
      <c r="O67" s="90">
        <v>57</v>
      </c>
    </row>
    <row r="68" spans="1:15" s="83" customFormat="1" ht="12" customHeight="1">
      <c r="A68" s="84">
        <v>58</v>
      </c>
      <c r="B68" s="191" t="s">
        <v>277</v>
      </c>
      <c r="C68" s="394">
        <v>40529</v>
      </c>
      <c r="D68" s="395" t="s">
        <v>278</v>
      </c>
      <c r="E68" s="159">
        <v>5</v>
      </c>
      <c r="F68" s="159">
        <v>4</v>
      </c>
      <c r="G68" s="159">
        <v>3</v>
      </c>
      <c r="H68" s="510">
        <v>2473</v>
      </c>
      <c r="I68" s="481">
        <v>284</v>
      </c>
      <c r="J68" s="33">
        <f t="shared" si="8"/>
        <v>71</v>
      </c>
      <c r="K68" s="511">
        <f t="shared" si="9"/>
        <v>8.70774647887324</v>
      </c>
      <c r="L68" s="512">
        <v>15169</v>
      </c>
      <c r="M68" s="33">
        <v>1420</v>
      </c>
      <c r="N68" s="397">
        <f t="shared" si="10"/>
        <v>10.682394366197183</v>
      </c>
      <c r="O68" s="90">
        <v>58</v>
      </c>
    </row>
    <row r="69" spans="1:15" s="83" customFormat="1" ht="12" customHeight="1">
      <c r="A69" s="84">
        <v>59</v>
      </c>
      <c r="B69" s="393" t="s">
        <v>277</v>
      </c>
      <c r="C69" s="394">
        <v>40529</v>
      </c>
      <c r="D69" s="395" t="s">
        <v>278</v>
      </c>
      <c r="E69" s="190">
        <v>5</v>
      </c>
      <c r="F69" s="190">
        <v>4</v>
      </c>
      <c r="G69" s="190">
        <v>7</v>
      </c>
      <c r="H69" s="480">
        <v>1031</v>
      </c>
      <c r="I69" s="481">
        <v>163</v>
      </c>
      <c r="J69" s="33">
        <f t="shared" si="8"/>
        <v>40.75</v>
      </c>
      <c r="K69" s="396">
        <f t="shared" si="9"/>
        <v>6.325153374233129</v>
      </c>
      <c r="L69" s="162">
        <v>26687</v>
      </c>
      <c r="M69" s="33">
        <v>2758</v>
      </c>
      <c r="N69" s="397">
        <f t="shared" si="10"/>
        <v>9.676214648295867</v>
      </c>
      <c r="O69" s="90">
        <v>59</v>
      </c>
    </row>
    <row r="70" spans="1:15" s="83" customFormat="1" ht="12" customHeight="1">
      <c r="A70" s="84">
        <v>60</v>
      </c>
      <c r="B70" s="158" t="s">
        <v>277</v>
      </c>
      <c r="C70" s="394">
        <v>40529</v>
      </c>
      <c r="D70" s="398" t="s">
        <v>64</v>
      </c>
      <c r="E70" s="159">
        <v>5</v>
      </c>
      <c r="F70" s="159">
        <v>1</v>
      </c>
      <c r="G70" s="159">
        <v>8</v>
      </c>
      <c r="H70" s="480">
        <v>747</v>
      </c>
      <c r="I70" s="481">
        <v>103</v>
      </c>
      <c r="J70" s="33">
        <f t="shared" si="8"/>
        <v>103</v>
      </c>
      <c r="K70" s="396">
        <f t="shared" si="9"/>
        <v>7.252427184466019</v>
      </c>
      <c r="L70" s="162">
        <v>27434</v>
      </c>
      <c r="M70" s="33">
        <v>2861</v>
      </c>
      <c r="N70" s="397">
        <f t="shared" si="10"/>
        <v>9.588954910870324</v>
      </c>
      <c r="O70" s="90">
        <v>60</v>
      </c>
    </row>
    <row r="71" spans="1:15" s="83" customFormat="1" ht="12" customHeight="1">
      <c r="A71" s="84">
        <v>61</v>
      </c>
      <c r="B71" s="698" t="s">
        <v>426</v>
      </c>
      <c r="C71" s="648">
        <v>39969</v>
      </c>
      <c r="D71" s="537" t="s">
        <v>32</v>
      </c>
      <c r="E71" s="649">
        <v>20</v>
      </c>
      <c r="F71" s="25">
        <v>1</v>
      </c>
      <c r="G71" s="649">
        <v>20</v>
      </c>
      <c r="H71" s="475">
        <v>1308</v>
      </c>
      <c r="I71" s="476">
        <v>327</v>
      </c>
      <c r="J71" s="218">
        <f t="shared" si="8"/>
        <v>327</v>
      </c>
      <c r="K71" s="297">
        <f t="shared" si="9"/>
        <v>4</v>
      </c>
      <c r="L71" s="20">
        <f>63821.75+29583.75+16102.25+8771.25+5888+8492.5+1761+3162+5226+2267+1186.5+1122.5+1305+832+660+301+151+1780+1780+1308</f>
        <v>155501.5</v>
      </c>
      <c r="M71" s="21">
        <f>6069+3045+2422+1546+1020+1313+402+594+954+378+185+151+256+78+122+64+34+445+445+327</f>
        <v>19850</v>
      </c>
      <c r="N71" s="298">
        <f t="shared" si="10"/>
        <v>7.8338287153652395</v>
      </c>
      <c r="O71" s="90">
        <v>61</v>
      </c>
    </row>
    <row r="72" spans="1:15" s="83" customFormat="1" ht="12" customHeight="1">
      <c r="A72" s="84">
        <v>62</v>
      </c>
      <c r="B72" s="178" t="s">
        <v>279</v>
      </c>
      <c r="C72" s="26">
        <v>40298</v>
      </c>
      <c r="D72" s="165" t="s">
        <v>32</v>
      </c>
      <c r="E72" s="167">
        <v>10</v>
      </c>
      <c r="F72" s="167">
        <v>1</v>
      </c>
      <c r="G72" s="167">
        <v>21</v>
      </c>
      <c r="H72" s="325">
        <v>1307</v>
      </c>
      <c r="I72" s="326">
        <v>327</v>
      </c>
      <c r="J72" s="97">
        <f>(I72/F72)</f>
        <v>327</v>
      </c>
      <c r="K72" s="161">
        <f t="shared" si="9"/>
        <v>3.996941896024465</v>
      </c>
      <c r="L72" s="8">
        <f>83892.5+865+192+477+220.5+1901+2138.5+1307</f>
        <v>90993.5</v>
      </c>
      <c r="M72" s="7">
        <f>10300+144+24+59+48+475+534+327</f>
        <v>11911</v>
      </c>
      <c r="N72" s="163">
        <f t="shared" si="10"/>
        <v>7.639450927713878</v>
      </c>
      <c r="O72" s="90">
        <v>62</v>
      </c>
    </row>
    <row r="73" spans="1:15" s="83" customFormat="1" ht="12" customHeight="1">
      <c r="A73" s="84">
        <v>63</v>
      </c>
      <c r="B73" s="178" t="s">
        <v>279</v>
      </c>
      <c r="C73" s="26">
        <v>40298</v>
      </c>
      <c r="D73" s="165" t="s">
        <v>32</v>
      </c>
      <c r="E73" s="167">
        <v>10</v>
      </c>
      <c r="F73" s="167">
        <v>1</v>
      </c>
      <c r="G73" s="167">
        <v>22</v>
      </c>
      <c r="H73" s="325">
        <v>952</v>
      </c>
      <c r="I73" s="326">
        <v>238</v>
      </c>
      <c r="J73" s="97">
        <f>(I73/F73)</f>
        <v>238</v>
      </c>
      <c r="K73" s="161">
        <f t="shared" si="9"/>
        <v>4</v>
      </c>
      <c r="L73" s="8">
        <f>83892.5+865+192+477+220.5+1901+2138.5+1307+952</f>
        <v>91945.5</v>
      </c>
      <c r="M73" s="7">
        <f>10300+144+24+59+48+475+534+327+238</f>
        <v>12149</v>
      </c>
      <c r="N73" s="163">
        <f t="shared" si="10"/>
        <v>7.568153757510906</v>
      </c>
      <c r="O73" s="90">
        <v>63</v>
      </c>
    </row>
    <row r="74" spans="1:15" s="83" customFormat="1" ht="12" customHeight="1">
      <c r="A74" s="84">
        <v>64</v>
      </c>
      <c r="B74" s="158" t="s">
        <v>280</v>
      </c>
      <c r="C74" s="26">
        <v>39577</v>
      </c>
      <c r="D74" s="24" t="s">
        <v>140</v>
      </c>
      <c r="E74" s="27">
        <v>11</v>
      </c>
      <c r="F74" s="27">
        <v>1</v>
      </c>
      <c r="G74" s="27">
        <v>19</v>
      </c>
      <c r="H74" s="482">
        <v>712</v>
      </c>
      <c r="I74" s="483">
        <v>142</v>
      </c>
      <c r="J74" s="99">
        <v>142</v>
      </c>
      <c r="K74" s="245">
        <v>5.014084507042254</v>
      </c>
      <c r="L74" s="195">
        <v>102695</v>
      </c>
      <c r="M74" s="196">
        <v>11305</v>
      </c>
      <c r="N74" s="197">
        <v>9.084033613445378</v>
      </c>
      <c r="O74" s="90">
        <v>64</v>
      </c>
    </row>
    <row r="75" spans="1:15" s="83" customFormat="1" ht="12" customHeight="1">
      <c r="A75" s="84">
        <v>65</v>
      </c>
      <c r="B75" s="182" t="s">
        <v>148</v>
      </c>
      <c r="C75" s="2">
        <v>40452</v>
      </c>
      <c r="D75" s="16" t="s">
        <v>21</v>
      </c>
      <c r="E75" s="3">
        <v>148</v>
      </c>
      <c r="F75" s="3">
        <v>3</v>
      </c>
      <c r="G75" s="3">
        <v>14</v>
      </c>
      <c r="H75" s="479">
        <v>4104.5</v>
      </c>
      <c r="I75" s="453">
        <v>531</v>
      </c>
      <c r="J75" s="87">
        <f>IF(H75&lt;&gt;0,I75/F75,"")</f>
        <v>177</v>
      </c>
      <c r="K75" s="189">
        <f>IF(H75&lt;&gt;0,H75/I75,"")</f>
        <v>7.7297551789077215</v>
      </c>
      <c r="L75" s="28">
        <f>699440.5+93480+55329+21058.5+2054+5186.5+3036+2522+4090+1329+2064+2423+H75</f>
        <v>896117</v>
      </c>
      <c r="M75" s="32">
        <f>74937+13125+8283+3296+346+1058+497+365+749+203+322+349+531</f>
        <v>104061</v>
      </c>
      <c r="N75" s="188">
        <f>IF(L75&lt;&gt;0,L75/M75,"")</f>
        <v>8.611458663668426</v>
      </c>
      <c r="O75" s="90">
        <v>65</v>
      </c>
    </row>
    <row r="76" spans="1:15" s="83" customFormat="1" ht="12" customHeight="1">
      <c r="A76" s="84">
        <v>66</v>
      </c>
      <c r="B76" s="180" t="s">
        <v>148</v>
      </c>
      <c r="C76" s="2">
        <v>40452</v>
      </c>
      <c r="D76" s="16" t="s">
        <v>21</v>
      </c>
      <c r="E76" s="3">
        <v>148</v>
      </c>
      <c r="F76" s="3">
        <v>1</v>
      </c>
      <c r="G76" s="3">
        <v>15</v>
      </c>
      <c r="H76" s="452">
        <v>528</v>
      </c>
      <c r="I76" s="453">
        <v>88</v>
      </c>
      <c r="J76" s="87">
        <f>IF(H76&lt;&gt;0,I76/F76,"")</f>
        <v>88</v>
      </c>
      <c r="K76" s="187">
        <f>IF(H76&lt;&gt;0,H76/I76,"")</f>
        <v>6</v>
      </c>
      <c r="L76" s="29">
        <f>896117+528</f>
        <v>896645</v>
      </c>
      <c r="M76" s="32">
        <f>104061+88</f>
        <v>104149</v>
      </c>
      <c r="N76" s="188">
        <f>IF(L76&lt;&gt;0,L76/M76,"")</f>
        <v>8.609252129161106</v>
      </c>
      <c r="O76" s="90">
        <v>66</v>
      </c>
    </row>
    <row r="77" spans="1:15" s="83" customFormat="1" ht="12" customHeight="1">
      <c r="A77" s="84">
        <v>67</v>
      </c>
      <c r="B77" s="182" t="s">
        <v>148</v>
      </c>
      <c r="C77" s="2">
        <v>40452</v>
      </c>
      <c r="D77" s="13" t="s">
        <v>21</v>
      </c>
      <c r="E77" s="3">
        <v>148</v>
      </c>
      <c r="F77" s="3">
        <v>1</v>
      </c>
      <c r="G77" s="3">
        <v>17</v>
      </c>
      <c r="H77" s="452">
        <v>468</v>
      </c>
      <c r="I77" s="453">
        <v>78</v>
      </c>
      <c r="J77" s="87">
        <f>IF(H77&lt;&gt;0,I77/F77,"")</f>
        <v>78</v>
      </c>
      <c r="K77" s="187">
        <f>IF(H77&lt;&gt;0,H77/I77,"")</f>
        <v>6</v>
      </c>
      <c r="L77" s="29">
        <f>896117+528+390+468</f>
        <v>897503</v>
      </c>
      <c r="M77" s="32">
        <f>104061+88+65+78</f>
        <v>104292</v>
      </c>
      <c r="N77" s="188">
        <f>IF(L77&lt;&gt;0,L77/M77,"")</f>
        <v>8.605674452498754</v>
      </c>
      <c r="O77" s="90">
        <v>67</v>
      </c>
    </row>
    <row r="78" spans="1:15" s="83" customFormat="1" ht="12" customHeight="1">
      <c r="A78" s="84">
        <v>68</v>
      </c>
      <c r="B78" s="185" t="s">
        <v>148</v>
      </c>
      <c r="C78" s="2">
        <v>40452</v>
      </c>
      <c r="D78" s="14" t="s">
        <v>21</v>
      </c>
      <c r="E78" s="4">
        <v>148</v>
      </c>
      <c r="F78" s="4">
        <v>1</v>
      </c>
      <c r="G78" s="4">
        <v>16</v>
      </c>
      <c r="H78" s="452">
        <v>390</v>
      </c>
      <c r="I78" s="453">
        <v>65</v>
      </c>
      <c r="J78" s="87">
        <f>+I78/F78</f>
        <v>65</v>
      </c>
      <c r="K78" s="187">
        <f>+H78/I78</f>
        <v>6</v>
      </c>
      <c r="L78" s="29">
        <f>896117+528+390</f>
        <v>897035</v>
      </c>
      <c r="M78" s="32">
        <f>104061+88+65</f>
        <v>104214</v>
      </c>
      <c r="N78" s="188">
        <f>IF(L78&lt;&gt;0,L78/M78,"")</f>
        <v>8.607624695338439</v>
      </c>
      <c r="O78" s="90">
        <v>68</v>
      </c>
    </row>
    <row r="79" spans="1:15" s="83" customFormat="1" ht="12" customHeight="1">
      <c r="A79" s="84">
        <v>69</v>
      </c>
      <c r="B79" s="164" t="s">
        <v>281</v>
      </c>
      <c r="C79" s="26">
        <v>40473</v>
      </c>
      <c r="D79" s="165" t="s">
        <v>32</v>
      </c>
      <c r="E79" s="27">
        <v>28</v>
      </c>
      <c r="F79" s="27">
        <v>1</v>
      </c>
      <c r="G79" s="27">
        <v>12</v>
      </c>
      <c r="H79" s="325">
        <v>2675</v>
      </c>
      <c r="I79" s="326">
        <v>301</v>
      </c>
      <c r="J79" s="97">
        <f>(I79/F79)</f>
        <v>301</v>
      </c>
      <c r="K79" s="161">
        <f>H79/I79</f>
        <v>8.887043189368772</v>
      </c>
      <c r="L79" s="8">
        <f>152569.5+122205.5+10562+6863.5+9619+5655+1726.5+3593+4508+310+2166+2675</f>
        <v>322453</v>
      </c>
      <c r="M79" s="7">
        <f>12992+10278+1201+886+1535+877+246+644+1351+56+302+301</f>
        <v>30669</v>
      </c>
      <c r="N79" s="163">
        <f>L79/M79</f>
        <v>10.51397176301803</v>
      </c>
      <c r="O79" s="90">
        <v>69</v>
      </c>
    </row>
    <row r="80" spans="1:15" s="83" customFormat="1" ht="12" customHeight="1">
      <c r="A80" s="84">
        <v>70</v>
      </c>
      <c r="B80" s="164" t="s">
        <v>281</v>
      </c>
      <c r="C80" s="26">
        <v>40473</v>
      </c>
      <c r="D80" s="165" t="s">
        <v>32</v>
      </c>
      <c r="E80" s="27">
        <v>28</v>
      </c>
      <c r="F80" s="27">
        <v>3</v>
      </c>
      <c r="G80" s="27">
        <v>11</v>
      </c>
      <c r="H80" s="475">
        <v>2166</v>
      </c>
      <c r="I80" s="326">
        <v>302</v>
      </c>
      <c r="J80" s="97">
        <f>(I80/F80)</f>
        <v>100.66666666666667</v>
      </c>
      <c r="K80" s="166">
        <f>H80/I80</f>
        <v>7.172185430463577</v>
      </c>
      <c r="L80" s="20">
        <f>152569.5+122205.5+10562+6863.5+9619+5655+1726.5+3593+4508+310+2166</f>
        <v>319778</v>
      </c>
      <c r="M80" s="7">
        <f>12992+10278+1201+886+1535+877+246+644+1351+56+302</f>
        <v>30368</v>
      </c>
      <c r="N80" s="163">
        <f>L80/M80</f>
        <v>10.53009747102213</v>
      </c>
      <c r="O80" s="90">
        <v>70</v>
      </c>
    </row>
    <row r="81" spans="1:15" s="83" customFormat="1" ht="12" customHeight="1">
      <c r="A81" s="84">
        <v>71</v>
      </c>
      <c r="B81" s="158" t="s">
        <v>281</v>
      </c>
      <c r="C81" s="26">
        <v>40473</v>
      </c>
      <c r="D81" s="165" t="s">
        <v>32</v>
      </c>
      <c r="E81" s="27">
        <v>28</v>
      </c>
      <c r="F81" s="27">
        <v>1</v>
      </c>
      <c r="G81" s="27">
        <v>13</v>
      </c>
      <c r="H81" s="325">
        <v>594</v>
      </c>
      <c r="I81" s="326">
        <v>115</v>
      </c>
      <c r="J81" s="97">
        <f>(I81/F81)</f>
        <v>115</v>
      </c>
      <c r="K81" s="161">
        <f>H81/I81</f>
        <v>5.165217391304348</v>
      </c>
      <c r="L81" s="8">
        <f>152569.5+122205.5+10562+6863.5+9619+5655+1726.5+3593+4508+310+2166+2675+594</f>
        <v>323047</v>
      </c>
      <c r="M81" s="7">
        <f>12992+10278+1201+886+1535+877+246+644+1351+56+302+301+115</f>
        <v>30784</v>
      </c>
      <c r="N81" s="163">
        <f>L81/M81</f>
        <v>10.493990384615385</v>
      </c>
      <c r="O81" s="90">
        <v>71</v>
      </c>
    </row>
    <row r="82" spans="1:15" s="83" customFormat="1" ht="12" customHeight="1">
      <c r="A82" s="84">
        <v>72</v>
      </c>
      <c r="B82" s="158" t="s">
        <v>281</v>
      </c>
      <c r="C82" s="26">
        <v>40473</v>
      </c>
      <c r="D82" s="24" t="s">
        <v>32</v>
      </c>
      <c r="E82" s="27">
        <v>28</v>
      </c>
      <c r="F82" s="27">
        <v>1</v>
      </c>
      <c r="G82" s="27">
        <v>14</v>
      </c>
      <c r="H82" s="325">
        <v>555.5</v>
      </c>
      <c r="I82" s="326">
        <v>69</v>
      </c>
      <c r="J82" s="97">
        <f>(I82/F82)</f>
        <v>69</v>
      </c>
      <c r="K82" s="161">
        <f>H82/I82</f>
        <v>8.05072463768116</v>
      </c>
      <c r="L82" s="8">
        <f>152569.5+122205.5+10562+6863.5+9619+5655+1726.5+3593+4508+310+2166+2675+594+555.5</f>
        <v>323602.5</v>
      </c>
      <c r="M82" s="7">
        <f>12992+10278+1201+886+1535+877+246+644+1351+56+302+301+115+69</f>
        <v>30853</v>
      </c>
      <c r="N82" s="163">
        <f>L82/M82</f>
        <v>10.488526237318899</v>
      </c>
      <c r="O82" s="90">
        <v>72</v>
      </c>
    </row>
    <row r="83" spans="1:15" s="83" customFormat="1" ht="12" customHeight="1">
      <c r="A83" s="84">
        <v>73</v>
      </c>
      <c r="B83" s="158" t="s">
        <v>282</v>
      </c>
      <c r="C83" s="26">
        <v>40333</v>
      </c>
      <c r="D83" s="165" t="s">
        <v>32</v>
      </c>
      <c r="E83" s="27">
        <v>5</v>
      </c>
      <c r="F83" s="27">
        <v>1</v>
      </c>
      <c r="G83" s="27">
        <v>17</v>
      </c>
      <c r="H83" s="325">
        <v>950.5</v>
      </c>
      <c r="I83" s="326">
        <v>238</v>
      </c>
      <c r="J83" s="97">
        <f>(I83/F83)</f>
        <v>238</v>
      </c>
      <c r="K83" s="161">
        <f>H83/I83</f>
        <v>3.9936974789915967</v>
      </c>
      <c r="L83" s="8">
        <f>36730.5+564+1413+1445+1680+605+2036+437+950.5</f>
        <v>45861</v>
      </c>
      <c r="M83" s="7">
        <f>3877+97+237+234+280+110+317+78+238</f>
        <v>5468</v>
      </c>
      <c r="N83" s="163">
        <f>L83/M83</f>
        <v>8.38716166788588</v>
      </c>
      <c r="O83" s="90">
        <v>73</v>
      </c>
    </row>
    <row r="84" spans="1:15" s="83" customFormat="1" ht="12" customHeight="1">
      <c r="A84" s="84">
        <v>74</v>
      </c>
      <c r="B84" s="158" t="s">
        <v>283</v>
      </c>
      <c r="C84" s="26">
        <v>40123</v>
      </c>
      <c r="D84" s="24" t="s">
        <v>140</v>
      </c>
      <c r="E84" s="27">
        <v>25</v>
      </c>
      <c r="F84" s="27">
        <v>1</v>
      </c>
      <c r="G84" s="27">
        <v>15</v>
      </c>
      <c r="H84" s="482">
        <v>712</v>
      </c>
      <c r="I84" s="483">
        <v>142</v>
      </c>
      <c r="J84" s="99">
        <v>142</v>
      </c>
      <c r="K84" s="245">
        <v>5.014084507042254</v>
      </c>
      <c r="L84" s="195">
        <v>274310</v>
      </c>
      <c r="M84" s="196">
        <v>22843</v>
      </c>
      <c r="N84" s="197">
        <v>12.008492754892089</v>
      </c>
      <c r="O84" s="90">
        <v>74</v>
      </c>
    </row>
    <row r="85" spans="1:15" s="83" customFormat="1" ht="12" customHeight="1">
      <c r="A85" s="84">
        <v>75</v>
      </c>
      <c r="B85" s="178" t="s">
        <v>284</v>
      </c>
      <c r="C85" s="26">
        <v>40102</v>
      </c>
      <c r="D85" s="165" t="s">
        <v>32</v>
      </c>
      <c r="E85" s="167">
        <v>22</v>
      </c>
      <c r="F85" s="167">
        <v>1</v>
      </c>
      <c r="G85" s="167">
        <v>13</v>
      </c>
      <c r="H85" s="325">
        <v>952</v>
      </c>
      <c r="I85" s="326">
        <v>238</v>
      </c>
      <c r="J85" s="97">
        <f>(I85/F85)</f>
        <v>238</v>
      </c>
      <c r="K85" s="161">
        <f aca="true" t="shared" si="11" ref="K85:K106">H85/I85</f>
        <v>4</v>
      </c>
      <c r="L85" s="8">
        <f>129717.5+110957+18478+6527+6853.5+1081.5+738.5+250+165+404+829.5+186+952</f>
        <v>277139.5</v>
      </c>
      <c r="M85" s="7">
        <f>10402+8975+1885+691+1109+369+262+48+23+69+109+24+238</f>
        <v>24204</v>
      </c>
      <c r="N85" s="163">
        <f>L85/M85</f>
        <v>11.450152867294662</v>
      </c>
      <c r="O85" s="90">
        <v>75</v>
      </c>
    </row>
    <row r="86" spans="1:15" s="83" customFormat="1" ht="12" customHeight="1">
      <c r="A86" s="84">
        <v>76</v>
      </c>
      <c r="B86" s="205" t="s">
        <v>149</v>
      </c>
      <c r="C86" s="2">
        <v>40529</v>
      </c>
      <c r="D86" s="18" t="s">
        <v>141</v>
      </c>
      <c r="E86" s="4">
        <v>81</v>
      </c>
      <c r="F86" s="4">
        <v>69</v>
      </c>
      <c r="G86" s="4">
        <v>3</v>
      </c>
      <c r="H86" s="484">
        <v>90040</v>
      </c>
      <c r="I86" s="485">
        <v>10688</v>
      </c>
      <c r="J86" s="200">
        <f>I86/F86</f>
        <v>154.8985507246377</v>
      </c>
      <c r="K86" s="214">
        <f t="shared" si="11"/>
        <v>8.42440119760479</v>
      </c>
      <c r="L86" s="233">
        <v>472298</v>
      </c>
      <c r="M86" s="203">
        <v>55934</v>
      </c>
      <c r="N86" s="204">
        <f>+L86/M86</f>
        <v>8.443844531054458</v>
      </c>
      <c r="O86" s="90">
        <v>76</v>
      </c>
    </row>
    <row r="87" spans="1:15" s="83" customFormat="1" ht="12" customHeight="1">
      <c r="A87" s="84">
        <v>77</v>
      </c>
      <c r="B87" s="185" t="s">
        <v>149</v>
      </c>
      <c r="C87" s="2">
        <v>40529</v>
      </c>
      <c r="D87" s="14" t="s">
        <v>141</v>
      </c>
      <c r="E87" s="4">
        <v>81</v>
      </c>
      <c r="F87" s="4">
        <v>5</v>
      </c>
      <c r="G87" s="4">
        <v>5</v>
      </c>
      <c r="H87" s="486">
        <v>5631</v>
      </c>
      <c r="I87" s="485">
        <v>879</v>
      </c>
      <c r="J87" s="200">
        <f>I87/F87</f>
        <v>175.8</v>
      </c>
      <c r="K87" s="201">
        <f t="shared" si="11"/>
        <v>6.406143344709897</v>
      </c>
      <c r="L87" s="202">
        <v>478360</v>
      </c>
      <c r="M87" s="203">
        <v>56856</v>
      </c>
      <c r="N87" s="204">
        <f>+L87/M87</f>
        <v>8.413535950471367</v>
      </c>
      <c r="O87" s="90">
        <v>77</v>
      </c>
    </row>
    <row r="88" spans="1:15" s="83" customFormat="1" ht="12" customHeight="1">
      <c r="A88" s="84">
        <v>78</v>
      </c>
      <c r="B88" s="205" t="s">
        <v>149</v>
      </c>
      <c r="C88" s="2">
        <v>40529</v>
      </c>
      <c r="D88" s="14" t="s">
        <v>141</v>
      </c>
      <c r="E88" s="4">
        <v>81</v>
      </c>
      <c r="F88" s="4">
        <v>4</v>
      </c>
      <c r="G88" s="4">
        <v>6</v>
      </c>
      <c r="H88" s="486">
        <v>2875</v>
      </c>
      <c r="I88" s="485">
        <v>650</v>
      </c>
      <c r="J88" s="97">
        <f>(I88/F88)</f>
        <v>162.5</v>
      </c>
      <c r="K88" s="161">
        <f t="shared" si="11"/>
        <v>4.423076923076923</v>
      </c>
      <c r="L88" s="202">
        <v>481235</v>
      </c>
      <c r="M88" s="203">
        <v>57506</v>
      </c>
      <c r="N88" s="163">
        <f>L88/M88</f>
        <v>8.368431120230932</v>
      </c>
      <c r="O88" s="90">
        <v>78</v>
      </c>
    </row>
    <row r="89" spans="1:15" s="83" customFormat="1" ht="12" customHeight="1">
      <c r="A89" s="84">
        <v>79</v>
      </c>
      <c r="B89" s="185" t="s">
        <v>149</v>
      </c>
      <c r="C89" s="2">
        <v>40529</v>
      </c>
      <c r="D89" s="14" t="s">
        <v>141</v>
      </c>
      <c r="E89" s="4">
        <v>81</v>
      </c>
      <c r="F89" s="4">
        <v>2</v>
      </c>
      <c r="G89" s="4">
        <v>7</v>
      </c>
      <c r="H89" s="486">
        <v>2351</v>
      </c>
      <c r="I89" s="485">
        <v>769</v>
      </c>
      <c r="J89" s="200">
        <f aca="true" t="shared" si="12" ref="J89:J96">I89/F89</f>
        <v>384.5</v>
      </c>
      <c r="K89" s="201">
        <f t="shared" si="11"/>
        <v>3.057217165149545</v>
      </c>
      <c r="L89" s="202">
        <v>483585</v>
      </c>
      <c r="M89" s="203">
        <v>58275</v>
      </c>
      <c r="N89" s="181">
        <f aca="true" t="shared" si="13" ref="N89:N96">+L89/M89</f>
        <v>8.298326898326899</v>
      </c>
      <c r="O89" s="90">
        <v>79</v>
      </c>
    </row>
    <row r="90" spans="1:15" s="83" customFormat="1" ht="12" customHeight="1">
      <c r="A90" s="84">
        <v>80</v>
      </c>
      <c r="B90" s="185" t="s">
        <v>149</v>
      </c>
      <c r="C90" s="2">
        <v>40529</v>
      </c>
      <c r="D90" s="14" t="s">
        <v>141</v>
      </c>
      <c r="E90" s="4">
        <v>81</v>
      </c>
      <c r="F90" s="4">
        <v>1</v>
      </c>
      <c r="G90" s="4">
        <v>8</v>
      </c>
      <c r="H90" s="486">
        <v>997</v>
      </c>
      <c r="I90" s="485">
        <v>367</v>
      </c>
      <c r="J90" s="200">
        <f t="shared" si="12"/>
        <v>367</v>
      </c>
      <c r="K90" s="201">
        <f t="shared" si="11"/>
        <v>2.7166212534059944</v>
      </c>
      <c r="L90" s="202">
        <v>485472</v>
      </c>
      <c r="M90" s="203">
        <v>58973</v>
      </c>
      <c r="N90" s="204">
        <f t="shared" si="13"/>
        <v>8.232106218099808</v>
      </c>
      <c r="O90" s="90">
        <v>80</v>
      </c>
    </row>
    <row r="91" spans="1:15" s="83" customFormat="1" ht="12" customHeight="1">
      <c r="A91" s="84">
        <v>81</v>
      </c>
      <c r="B91" s="185" t="s">
        <v>149</v>
      </c>
      <c r="C91" s="2">
        <v>40529</v>
      </c>
      <c r="D91" s="18" t="s">
        <v>141</v>
      </c>
      <c r="E91" s="4">
        <v>81</v>
      </c>
      <c r="F91" s="4">
        <v>5</v>
      </c>
      <c r="G91" s="4">
        <v>4</v>
      </c>
      <c r="H91" s="486">
        <v>431</v>
      </c>
      <c r="I91" s="485">
        <v>43</v>
      </c>
      <c r="J91" s="200">
        <f t="shared" si="12"/>
        <v>8.6</v>
      </c>
      <c r="K91" s="201">
        <f t="shared" si="11"/>
        <v>10.023255813953488</v>
      </c>
      <c r="L91" s="202">
        <v>472729</v>
      </c>
      <c r="M91" s="203">
        <v>55977</v>
      </c>
      <c r="N91" s="204">
        <f t="shared" si="13"/>
        <v>8.445057791592976</v>
      </c>
      <c r="O91" s="90">
        <v>81</v>
      </c>
    </row>
    <row r="92" spans="1:15" s="83" customFormat="1" ht="12" customHeight="1">
      <c r="A92" s="84">
        <v>82</v>
      </c>
      <c r="B92" s="185" t="s">
        <v>149</v>
      </c>
      <c r="C92" s="2">
        <v>40529</v>
      </c>
      <c r="D92" s="14" t="s">
        <v>141</v>
      </c>
      <c r="E92" s="4">
        <v>81</v>
      </c>
      <c r="F92" s="4">
        <v>1</v>
      </c>
      <c r="G92" s="4">
        <v>9</v>
      </c>
      <c r="H92" s="486">
        <v>427</v>
      </c>
      <c r="I92" s="485">
        <v>52</v>
      </c>
      <c r="J92" s="200">
        <f t="shared" si="12"/>
        <v>52</v>
      </c>
      <c r="K92" s="201">
        <f t="shared" si="11"/>
        <v>8.211538461538462</v>
      </c>
      <c r="L92" s="202">
        <v>484902</v>
      </c>
      <c r="M92" s="203">
        <v>58658</v>
      </c>
      <c r="N92" s="204">
        <f t="shared" si="13"/>
        <v>8.266596201711616</v>
      </c>
      <c r="O92" s="90">
        <v>82</v>
      </c>
    </row>
    <row r="93" spans="1:15" s="83" customFormat="1" ht="12" customHeight="1">
      <c r="A93" s="84">
        <v>83</v>
      </c>
      <c r="B93" s="185" t="s">
        <v>149</v>
      </c>
      <c r="C93" s="2">
        <v>40529</v>
      </c>
      <c r="D93" s="14" t="s">
        <v>141</v>
      </c>
      <c r="E93" s="4">
        <v>81</v>
      </c>
      <c r="F93" s="4">
        <v>1</v>
      </c>
      <c r="G93" s="4">
        <v>12</v>
      </c>
      <c r="H93" s="486">
        <v>176</v>
      </c>
      <c r="I93" s="485">
        <v>26</v>
      </c>
      <c r="J93" s="200">
        <f t="shared" si="12"/>
        <v>26</v>
      </c>
      <c r="K93" s="201">
        <f t="shared" si="11"/>
        <v>6.769230769230769</v>
      </c>
      <c r="L93" s="202">
        <v>487699</v>
      </c>
      <c r="M93" s="203">
        <v>59278</v>
      </c>
      <c r="N93" s="204">
        <f t="shared" si="13"/>
        <v>8.227318735449915</v>
      </c>
      <c r="O93" s="90">
        <v>83</v>
      </c>
    </row>
    <row r="94" spans="1:15" s="83" customFormat="1" ht="12" customHeight="1">
      <c r="A94" s="84">
        <v>84</v>
      </c>
      <c r="B94" s="451" t="s">
        <v>270</v>
      </c>
      <c r="C94" s="171">
        <v>40529</v>
      </c>
      <c r="D94" s="101" t="s">
        <v>32</v>
      </c>
      <c r="E94" s="172">
        <v>147</v>
      </c>
      <c r="F94" s="172">
        <v>1</v>
      </c>
      <c r="G94" s="172">
        <v>14</v>
      </c>
      <c r="H94" s="325">
        <v>1188</v>
      </c>
      <c r="I94" s="326">
        <v>297</v>
      </c>
      <c r="J94" s="87">
        <f t="shared" si="12"/>
        <v>297</v>
      </c>
      <c r="K94" s="88">
        <f t="shared" si="11"/>
        <v>4</v>
      </c>
      <c r="L94" s="8">
        <f>691567.5+648414.5+518408+71321.5+45526+17480+7409+4406.5+1874+5613.5+4027+1099+82+1188</f>
        <v>2018416.5</v>
      </c>
      <c r="M94" s="7">
        <f>79327+75064+61133+10266+7792+4345+1731+935+303+1204+784+172+12+297</f>
        <v>243365</v>
      </c>
      <c r="N94" s="89">
        <f t="shared" si="13"/>
        <v>8.293783000842357</v>
      </c>
      <c r="O94" s="90">
        <v>84</v>
      </c>
    </row>
    <row r="95" spans="1:15" s="83" customFormat="1" ht="12" customHeight="1">
      <c r="A95" s="84">
        <v>85</v>
      </c>
      <c r="B95" s="698" t="s">
        <v>270</v>
      </c>
      <c r="C95" s="648">
        <v>40529</v>
      </c>
      <c r="D95" s="537" t="s">
        <v>32</v>
      </c>
      <c r="E95" s="649">
        <v>147</v>
      </c>
      <c r="F95" s="25">
        <v>1</v>
      </c>
      <c r="G95" s="649">
        <v>15</v>
      </c>
      <c r="H95" s="475">
        <v>713</v>
      </c>
      <c r="I95" s="476">
        <v>178</v>
      </c>
      <c r="J95" s="218">
        <f t="shared" si="12"/>
        <v>178</v>
      </c>
      <c r="K95" s="297">
        <f t="shared" si="11"/>
        <v>4.00561797752809</v>
      </c>
      <c r="L95" s="20">
        <f>691567.5+648414.5+518408+71321.5+45526+17480+7409+4406.5+1874+5613.5+4027+1099+82+1188+713</f>
        <v>2019129.5</v>
      </c>
      <c r="M95" s="21">
        <f>79327+75064+61133+10266+7792+4345+1731+935+303+1204+784+172+12+297+178</f>
        <v>243543</v>
      </c>
      <c r="N95" s="298">
        <f t="shared" si="13"/>
        <v>8.290648879253355</v>
      </c>
      <c r="O95" s="90">
        <v>85</v>
      </c>
    </row>
    <row r="96" spans="1:15" s="83" customFormat="1" ht="12" customHeight="1">
      <c r="A96" s="84">
        <v>86</v>
      </c>
      <c r="B96" s="170" t="s">
        <v>270</v>
      </c>
      <c r="C96" s="171">
        <v>40529</v>
      </c>
      <c r="D96" s="388" t="s">
        <v>137</v>
      </c>
      <c r="E96" s="172">
        <v>147</v>
      </c>
      <c r="F96" s="172">
        <v>1</v>
      </c>
      <c r="G96" s="172">
        <v>13</v>
      </c>
      <c r="H96" s="469">
        <v>82</v>
      </c>
      <c r="I96" s="470">
        <v>12</v>
      </c>
      <c r="J96" s="87">
        <f t="shared" si="12"/>
        <v>12</v>
      </c>
      <c r="K96" s="88">
        <f t="shared" si="11"/>
        <v>6.833333333333333</v>
      </c>
      <c r="L96" s="175">
        <f>691567.5+648414.5+518408+71321.5+45526+17480+7409+4406.5+1874+5613.5+4027+1099+82</f>
        <v>2017228.5</v>
      </c>
      <c r="M96" s="176">
        <f>79327+75064+61133+10266+7792+4345+1731+935+303+1204+784+172+12</f>
        <v>243068</v>
      </c>
      <c r="N96" s="89">
        <f t="shared" si="13"/>
        <v>8.299029489690128</v>
      </c>
      <c r="O96" s="90">
        <v>86</v>
      </c>
    </row>
    <row r="97" spans="1:15" s="83" customFormat="1" ht="12" customHeight="1">
      <c r="A97" s="84">
        <v>87</v>
      </c>
      <c r="B97" s="164" t="s">
        <v>150</v>
      </c>
      <c r="C97" s="26">
        <v>40529</v>
      </c>
      <c r="D97" s="165" t="s">
        <v>32</v>
      </c>
      <c r="E97" s="27">
        <v>147</v>
      </c>
      <c r="F97" s="27">
        <v>147</v>
      </c>
      <c r="G97" s="27">
        <v>3</v>
      </c>
      <c r="H97" s="475">
        <v>518408</v>
      </c>
      <c r="I97" s="326">
        <v>61133</v>
      </c>
      <c r="J97" s="97">
        <f aca="true" t="shared" si="14" ref="J97:J106">(I97/F97)</f>
        <v>415.8707482993197</v>
      </c>
      <c r="K97" s="166">
        <f t="shared" si="11"/>
        <v>8.480002617244368</v>
      </c>
      <c r="L97" s="20">
        <f>691567.5+648414.5+518408</f>
        <v>1858390</v>
      </c>
      <c r="M97" s="7">
        <f>79327+75064+61133</f>
        <v>215524</v>
      </c>
      <c r="N97" s="163">
        <f aca="true" t="shared" si="15" ref="N97:N106">L97/M97</f>
        <v>8.622659193407694</v>
      </c>
      <c r="O97" s="90">
        <v>87</v>
      </c>
    </row>
    <row r="98" spans="1:15" s="83" customFormat="1" ht="12" customHeight="1">
      <c r="A98" s="84">
        <v>88</v>
      </c>
      <c r="B98" s="158" t="s">
        <v>150</v>
      </c>
      <c r="C98" s="26">
        <v>40529</v>
      </c>
      <c r="D98" s="165" t="s">
        <v>32</v>
      </c>
      <c r="E98" s="27">
        <v>147</v>
      </c>
      <c r="F98" s="27">
        <v>70</v>
      </c>
      <c r="G98" s="27">
        <v>4</v>
      </c>
      <c r="H98" s="325">
        <v>71112.5</v>
      </c>
      <c r="I98" s="326">
        <v>10235</v>
      </c>
      <c r="J98" s="97">
        <f t="shared" si="14"/>
        <v>146.21428571428572</v>
      </c>
      <c r="K98" s="161">
        <f t="shared" si="11"/>
        <v>6.947972642892037</v>
      </c>
      <c r="L98" s="8">
        <f>691567.5+648414.5+518408+71112.5</f>
        <v>1929502.5</v>
      </c>
      <c r="M98" s="7">
        <f>79327+75064+61133+10235</f>
        <v>225759</v>
      </c>
      <c r="N98" s="163">
        <f t="shared" si="15"/>
        <v>8.546735678311828</v>
      </c>
      <c r="O98" s="90">
        <v>88</v>
      </c>
    </row>
    <row r="99" spans="1:15" s="83" customFormat="1" ht="12" customHeight="1">
      <c r="A99" s="84">
        <v>89</v>
      </c>
      <c r="B99" s="170" t="s">
        <v>150</v>
      </c>
      <c r="C99" s="171">
        <v>40529</v>
      </c>
      <c r="D99" s="165" t="s">
        <v>32</v>
      </c>
      <c r="E99" s="172">
        <v>147</v>
      </c>
      <c r="F99" s="172">
        <v>41</v>
      </c>
      <c r="G99" s="172">
        <v>5</v>
      </c>
      <c r="H99" s="469">
        <v>45526</v>
      </c>
      <c r="I99" s="470">
        <v>7792</v>
      </c>
      <c r="J99" s="173">
        <f t="shared" si="14"/>
        <v>190.0487804878049</v>
      </c>
      <c r="K99" s="174">
        <f t="shared" si="11"/>
        <v>5.842659137577002</v>
      </c>
      <c r="L99" s="175">
        <f>691567.5+648414.5+518408+71321.5+45526</f>
        <v>1975237.5</v>
      </c>
      <c r="M99" s="176">
        <f>79327+75064+61133+10266+7792</f>
        <v>233582</v>
      </c>
      <c r="N99" s="177">
        <f t="shared" si="15"/>
        <v>8.456291580686868</v>
      </c>
      <c r="O99" s="90">
        <v>89</v>
      </c>
    </row>
    <row r="100" spans="1:15" s="83" customFormat="1" ht="12" customHeight="1">
      <c r="A100" s="84">
        <v>90</v>
      </c>
      <c r="B100" s="164" t="s">
        <v>150</v>
      </c>
      <c r="C100" s="26">
        <v>40529</v>
      </c>
      <c r="D100" s="165" t="s">
        <v>32</v>
      </c>
      <c r="E100" s="27">
        <v>147</v>
      </c>
      <c r="F100" s="27">
        <v>18</v>
      </c>
      <c r="G100" s="27">
        <v>6</v>
      </c>
      <c r="H100" s="325">
        <v>17480</v>
      </c>
      <c r="I100" s="326">
        <v>4345</v>
      </c>
      <c r="J100" s="97">
        <f t="shared" si="14"/>
        <v>241.38888888888889</v>
      </c>
      <c r="K100" s="161">
        <f t="shared" si="11"/>
        <v>4.02301495972382</v>
      </c>
      <c r="L100" s="8">
        <f>691567.5+648414.5+518408+71321.5+45526+17480</f>
        <v>1992717.5</v>
      </c>
      <c r="M100" s="7">
        <f>79327+75064+61133+10266+7792+4345</f>
        <v>237927</v>
      </c>
      <c r="N100" s="163">
        <f t="shared" si="15"/>
        <v>8.375331509244432</v>
      </c>
      <c r="O100" s="90">
        <v>90</v>
      </c>
    </row>
    <row r="101" spans="1:15" s="83" customFormat="1" ht="12" customHeight="1">
      <c r="A101" s="84">
        <v>91</v>
      </c>
      <c r="B101" s="158" t="s">
        <v>150</v>
      </c>
      <c r="C101" s="26">
        <v>40529</v>
      </c>
      <c r="D101" s="165" t="s">
        <v>32</v>
      </c>
      <c r="E101" s="27">
        <v>147</v>
      </c>
      <c r="F101" s="27">
        <v>7</v>
      </c>
      <c r="G101" s="27">
        <v>7</v>
      </c>
      <c r="H101" s="325">
        <v>7409</v>
      </c>
      <c r="I101" s="326">
        <v>1731</v>
      </c>
      <c r="J101" s="97">
        <f t="shared" si="14"/>
        <v>247.28571428571428</v>
      </c>
      <c r="K101" s="161">
        <f t="shared" si="11"/>
        <v>4.280184864240323</v>
      </c>
      <c r="L101" s="8">
        <f>691567.5+648414.5+518408+71321.5+45526+17480+7409</f>
        <v>2000126.5</v>
      </c>
      <c r="M101" s="7">
        <f>79327+75064+61133+10266+7792+4345+1731</f>
        <v>239658</v>
      </c>
      <c r="N101" s="163">
        <f t="shared" si="15"/>
        <v>8.345753114855336</v>
      </c>
      <c r="O101" s="90">
        <v>91</v>
      </c>
    </row>
    <row r="102" spans="1:15" s="83" customFormat="1" ht="12" customHeight="1">
      <c r="A102" s="84">
        <v>92</v>
      </c>
      <c r="B102" s="178" t="s">
        <v>150</v>
      </c>
      <c r="C102" s="26">
        <v>40529</v>
      </c>
      <c r="D102" s="165" t="s">
        <v>32</v>
      </c>
      <c r="E102" s="167">
        <v>147</v>
      </c>
      <c r="F102" s="167">
        <v>7</v>
      </c>
      <c r="G102" s="167">
        <v>10</v>
      </c>
      <c r="H102" s="325">
        <v>5445.5</v>
      </c>
      <c r="I102" s="326">
        <v>1176</v>
      </c>
      <c r="J102" s="97">
        <f t="shared" si="14"/>
        <v>168</v>
      </c>
      <c r="K102" s="161">
        <f t="shared" si="11"/>
        <v>4.630527210884353</v>
      </c>
      <c r="L102" s="8">
        <f>691567.5+648414.5+518408+71321.5+45526+17480+7409+4406.5+1874+5445.5</f>
        <v>2011852.5</v>
      </c>
      <c r="M102" s="7">
        <f>79327+75064+61133+10266+7792+4345+1731+935+303+1176</f>
        <v>242072</v>
      </c>
      <c r="N102" s="163">
        <f t="shared" si="15"/>
        <v>8.310967398129483</v>
      </c>
      <c r="O102" s="90">
        <v>92</v>
      </c>
    </row>
    <row r="103" spans="1:15" s="83" customFormat="1" ht="12" customHeight="1">
      <c r="A103" s="84">
        <v>93</v>
      </c>
      <c r="B103" s="178" t="s">
        <v>150</v>
      </c>
      <c r="C103" s="26">
        <v>40529</v>
      </c>
      <c r="D103" s="165" t="s">
        <v>32</v>
      </c>
      <c r="E103" s="167">
        <v>147</v>
      </c>
      <c r="F103" s="167">
        <v>4</v>
      </c>
      <c r="G103" s="167">
        <v>8</v>
      </c>
      <c r="H103" s="325">
        <v>4406.5</v>
      </c>
      <c r="I103" s="326">
        <v>935</v>
      </c>
      <c r="J103" s="97">
        <f t="shared" si="14"/>
        <v>233.75</v>
      </c>
      <c r="K103" s="161">
        <f t="shared" si="11"/>
        <v>4.7128342245989305</v>
      </c>
      <c r="L103" s="8">
        <f>691567.5+648414.5+518408+71321.5+45526+17480+7409+4406.5</f>
        <v>2004533</v>
      </c>
      <c r="M103" s="7">
        <f>79327+75064+61133+10266+7792+4345+1731+935</f>
        <v>240593</v>
      </c>
      <c r="N103" s="163">
        <f t="shared" si="15"/>
        <v>8.331634752465783</v>
      </c>
      <c r="O103" s="90">
        <v>93</v>
      </c>
    </row>
    <row r="104" spans="1:15" s="83" customFormat="1" ht="12" customHeight="1">
      <c r="A104" s="84">
        <v>94</v>
      </c>
      <c r="B104" s="178" t="s">
        <v>150</v>
      </c>
      <c r="C104" s="26">
        <v>40529</v>
      </c>
      <c r="D104" s="165" t="s">
        <v>32</v>
      </c>
      <c r="E104" s="167">
        <v>147</v>
      </c>
      <c r="F104" s="167">
        <v>5</v>
      </c>
      <c r="G104" s="167">
        <v>11</v>
      </c>
      <c r="H104" s="475">
        <v>4027</v>
      </c>
      <c r="I104" s="476">
        <v>784</v>
      </c>
      <c r="J104" s="168">
        <f t="shared" si="14"/>
        <v>156.8</v>
      </c>
      <c r="K104" s="166">
        <f t="shared" si="11"/>
        <v>5.136479591836735</v>
      </c>
      <c r="L104" s="20">
        <f>691567.5+648414.5+518408+71321.5+45526+17480+7409+4406.5+1874+5613.5+4027</f>
        <v>2016047.5</v>
      </c>
      <c r="M104" s="21">
        <f>79327+75064+61133+10266+7792+4345+1731+935+303+1204+784</f>
        <v>242884</v>
      </c>
      <c r="N104" s="163">
        <f t="shared" si="15"/>
        <v>8.300454126249567</v>
      </c>
      <c r="O104" s="90">
        <v>94</v>
      </c>
    </row>
    <row r="105" spans="1:15" s="83" customFormat="1" ht="12" customHeight="1">
      <c r="A105" s="84">
        <v>95</v>
      </c>
      <c r="B105" s="170" t="s">
        <v>150</v>
      </c>
      <c r="C105" s="171">
        <v>40529</v>
      </c>
      <c r="D105" s="165" t="s">
        <v>32</v>
      </c>
      <c r="E105" s="172">
        <v>147</v>
      </c>
      <c r="F105" s="172">
        <v>2</v>
      </c>
      <c r="G105" s="172">
        <v>9</v>
      </c>
      <c r="H105" s="469">
        <v>1874</v>
      </c>
      <c r="I105" s="470">
        <v>303</v>
      </c>
      <c r="J105" s="173">
        <f t="shared" si="14"/>
        <v>151.5</v>
      </c>
      <c r="K105" s="174">
        <f t="shared" si="11"/>
        <v>6.184818481848184</v>
      </c>
      <c r="L105" s="175">
        <f>691567.5+648414.5+518408+71321.5+45526+17480+7409+4406.5+1874</f>
        <v>2006407</v>
      </c>
      <c r="M105" s="176">
        <f>79327+75064+61133+10266+7792+4345+1731+935+303</f>
        <v>240896</v>
      </c>
      <c r="N105" s="177">
        <f t="shared" si="15"/>
        <v>8.328934477948991</v>
      </c>
      <c r="O105" s="90">
        <v>95</v>
      </c>
    </row>
    <row r="106" spans="1:15" s="83" customFormat="1" ht="12" customHeight="1">
      <c r="A106" s="84">
        <v>96</v>
      </c>
      <c r="B106" s="158" t="s">
        <v>150</v>
      </c>
      <c r="C106" s="26">
        <v>40529</v>
      </c>
      <c r="D106" s="24" t="s">
        <v>32</v>
      </c>
      <c r="E106" s="27">
        <v>147</v>
      </c>
      <c r="F106" s="27">
        <v>3</v>
      </c>
      <c r="G106" s="27">
        <v>12</v>
      </c>
      <c r="H106" s="325">
        <v>1099</v>
      </c>
      <c r="I106" s="326">
        <v>172</v>
      </c>
      <c r="J106" s="97">
        <f t="shared" si="14"/>
        <v>57.333333333333336</v>
      </c>
      <c r="K106" s="161">
        <f t="shared" si="11"/>
        <v>6.3895348837209305</v>
      </c>
      <c r="L106" s="8">
        <f>691567.5+648414.5+518408+71321.5+45526+17480+7409+4406.5+1874+5613.5+4027+1099</f>
        <v>2017146.5</v>
      </c>
      <c r="M106" s="7">
        <f>79327+75064+61133+10266+7792+4345+1731+935+303+1204+784+172</f>
        <v>243056</v>
      </c>
      <c r="N106" s="163">
        <f t="shared" si="15"/>
        <v>8.299101853070898</v>
      </c>
      <c r="O106" s="90">
        <v>96</v>
      </c>
    </row>
    <row r="107" spans="1:15" s="83" customFormat="1" ht="12" customHeight="1">
      <c r="A107" s="84">
        <v>97</v>
      </c>
      <c r="B107" s="206" t="s">
        <v>151</v>
      </c>
      <c r="C107" s="207">
        <v>40466</v>
      </c>
      <c r="D107" s="208" t="s">
        <v>29</v>
      </c>
      <c r="E107" s="209">
        <v>22</v>
      </c>
      <c r="F107" s="209">
        <v>19</v>
      </c>
      <c r="G107" s="209">
        <v>14</v>
      </c>
      <c r="H107" s="487">
        <v>11882</v>
      </c>
      <c r="I107" s="488">
        <v>1318</v>
      </c>
      <c r="J107" s="96">
        <v>69.36842105263158</v>
      </c>
      <c r="K107" s="169">
        <v>9.015174506828528</v>
      </c>
      <c r="L107" s="210">
        <v>233294</v>
      </c>
      <c r="M107" s="211">
        <v>24652</v>
      </c>
      <c r="N107" s="204">
        <v>9.463491805938666</v>
      </c>
      <c r="O107" s="90">
        <v>97</v>
      </c>
    </row>
    <row r="108" spans="1:15" s="83" customFormat="1" ht="12" customHeight="1">
      <c r="A108" s="84">
        <v>98</v>
      </c>
      <c r="B108" s="164" t="s">
        <v>151</v>
      </c>
      <c r="C108" s="26">
        <v>40466</v>
      </c>
      <c r="D108" s="25" t="s">
        <v>29</v>
      </c>
      <c r="E108" s="27">
        <v>22</v>
      </c>
      <c r="F108" s="27">
        <v>1</v>
      </c>
      <c r="G108" s="27">
        <v>12</v>
      </c>
      <c r="H108" s="489">
        <v>2002</v>
      </c>
      <c r="I108" s="468">
        <v>232</v>
      </c>
      <c r="J108" s="87">
        <f>IF(H108&lt;&gt;0,I108/F108,"")</f>
        <v>232</v>
      </c>
      <c r="K108" s="189">
        <f>IF(H108&lt;&gt;0,H108/I108,"")</f>
        <v>8.629310344827585</v>
      </c>
      <c r="L108" s="22">
        <f>75899.5+52129.5+37227.5+14454+10905+6815+10220.5+4115+4193+1577.5+113+940+2002</f>
        <v>220591.5</v>
      </c>
      <c r="M108" s="32">
        <f>7028+5164+3832+1471+1190+1095+1727+519+460+216+17+109+232</f>
        <v>23060</v>
      </c>
      <c r="N108" s="188">
        <f>IF(L108&lt;&gt;0,L108/M108,"")</f>
        <v>9.565980052038162</v>
      </c>
      <c r="O108" s="90">
        <v>98</v>
      </c>
    </row>
    <row r="109" spans="1:15" s="83" customFormat="1" ht="12" customHeight="1">
      <c r="A109" s="84">
        <v>99</v>
      </c>
      <c r="B109" s="158" t="s">
        <v>151</v>
      </c>
      <c r="C109" s="26">
        <v>40466</v>
      </c>
      <c r="D109" s="24" t="s">
        <v>29</v>
      </c>
      <c r="E109" s="27">
        <v>22</v>
      </c>
      <c r="F109" s="27">
        <v>3</v>
      </c>
      <c r="G109" s="27">
        <v>15</v>
      </c>
      <c r="H109" s="467">
        <v>1358</v>
      </c>
      <c r="I109" s="468">
        <v>127</v>
      </c>
      <c r="J109" s="32">
        <f aca="true" t="shared" si="16" ref="J109:J115">I109/F109</f>
        <v>42.333333333333336</v>
      </c>
      <c r="K109" s="212">
        <f>H109/I109</f>
        <v>10.692913385826772</v>
      </c>
      <c r="L109" s="30">
        <f>75899.5+52129.5+37227.5+14454+10905+6815+10220.5+4115+4193+1577.5+113+940+2002+820.5+11882+1358</f>
        <v>234652</v>
      </c>
      <c r="M109" s="32">
        <f>7028+5164+3832+1471+1190+1095+1727+519+460+216+17+109+232+274+1318+127</f>
        <v>24779</v>
      </c>
      <c r="N109" s="213">
        <f>L109/M109</f>
        <v>9.469792969853504</v>
      </c>
      <c r="O109" s="90">
        <v>99</v>
      </c>
    </row>
    <row r="110" spans="1:15" s="83" customFormat="1" ht="12" customHeight="1">
      <c r="A110" s="84">
        <v>100</v>
      </c>
      <c r="B110" s="158" t="s">
        <v>151</v>
      </c>
      <c r="C110" s="26">
        <v>40466</v>
      </c>
      <c r="D110" s="25" t="s">
        <v>29</v>
      </c>
      <c r="E110" s="27">
        <v>22</v>
      </c>
      <c r="F110" s="27">
        <v>1</v>
      </c>
      <c r="G110" s="27">
        <v>13</v>
      </c>
      <c r="H110" s="467">
        <v>820.5</v>
      </c>
      <c r="I110" s="468">
        <v>274</v>
      </c>
      <c r="J110" s="32">
        <f t="shared" si="16"/>
        <v>274</v>
      </c>
      <c r="K110" s="212">
        <f>H110/I110</f>
        <v>2.9945255474452557</v>
      </c>
      <c r="L110" s="30">
        <f>75899.5+52129.5+37227.5+14454+10905+6815+10220.5+4115+4193+1577.5+113+940+2002+820.5</f>
        <v>221412</v>
      </c>
      <c r="M110" s="32">
        <f>7028+5164+3832+1471+1190+1095+1727+519+460+216+17+109+232+274</f>
        <v>23334</v>
      </c>
      <c r="N110" s="213">
        <f>L110/M110</f>
        <v>9.48881460529699</v>
      </c>
      <c r="O110" s="90">
        <v>100</v>
      </c>
    </row>
    <row r="111" spans="1:15" s="83" customFormat="1" ht="12" customHeight="1">
      <c r="A111" s="84">
        <v>101</v>
      </c>
      <c r="B111" s="249" t="s">
        <v>365</v>
      </c>
      <c r="C111" s="100">
        <v>40263</v>
      </c>
      <c r="D111" s="101" t="s">
        <v>21</v>
      </c>
      <c r="E111" s="3">
        <v>286</v>
      </c>
      <c r="F111" s="3">
        <v>1</v>
      </c>
      <c r="G111" s="3">
        <v>25</v>
      </c>
      <c r="H111" s="452">
        <v>2376</v>
      </c>
      <c r="I111" s="453">
        <v>396</v>
      </c>
      <c r="J111" s="87">
        <f t="shared" si="16"/>
        <v>396</v>
      </c>
      <c r="K111" s="88">
        <f>H111/I111</f>
        <v>6</v>
      </c>
      <c r="L111" s="29">
        <f>9497151+1588+2376</f>
        <v>9501115</v>
      </c>
      <c r="M111" s="32">
        <f>1141258+190+396</f>
        <v>1141844</v>
      </c>
      <c r="N111" s="89">
        <f>+L111/M111</f>
        <v>8.320852060351502</v>
      </c>
      <c r="O111" s="90">
        <v>101</v>
      </c>
    </row>
    <row r="112" spans="1:15" s="83" customFormat="1" ht="12" customHeight="1">
      <c r="A112" s="84">
        <v>102</v>
      </c>
      <c r="B112" s="185" t="s">
        <v>152</v>
      </c>
      <c r="C112" s="2">
        <v>40501</v>
      </c>
      <c r="D112" s="14" t="s">
        <v>141</v>
      </c>
      <c r="E112" s="4">
        <v>261</v>
      </c>
      <c r="F112" s="4">
        <v>1</v>
      </c>
      <c r="G112" s="4">
        <v>65</v>
      </c>
      <c r="H112" s="486">
        <v>723.6</v>
      </c>
      <c r="I112" s="485">
        <v>200</v>
      </c>
      <c r="J112" s="200">
        <f t="shared" si="16"/>
        <v>200</v>
      </c>
      <c r="K112" s="214">
        <f>H112/I112</f>
        <v>3.6180000000000003</v>
      </c>
      <c r="L112" s="5">
        <v>5323397</v>
      </c>
      <c r="M112" s="6">
        <v>861323</v>
      </c>
      <c r="N112" s="204">
        <f>+L112/M112</f>
        <v>6.180488620413016</v>
      </c>
      <c r="O112" s="90">
        <v>102</v>
      </c>
    </row>
    <row r="113" spans="1:15" s="83" customFormat="1" ht="12" customHeight="1">
      <c r="A113" s="84">
        <v>103</v>
      </c>
      <c r="B113" s="191" t="s">
        <v>285</v>
      </c>
      <c r="C113" s="592">
        <v>40424</v>
      </c>
      <c r="D113" s="537" t="s">
        <v>23</v>
      </c>
      <c r="E113" s="25">
        <v>107</v>
      </c>
      <c r="F113" s="25">
        <v>1</v>
      </c>
      <c r="G113" s="25">
        <v>51</v>
      </c>
      <c r="H113" s="489">
        <v>1204</v>
      </c>
      <c r="I113" s="493">
        <v>350</v>
      </c>
      <c r="J113" s="218">
        <f t="shared" si="16"/>
        <v>350</v>
      </c>
      <c r="K113" s="297">
        <f>H113/I113</f>
        <v>3.44</v>
      </c>
      <c r="L113" s="22">
        <v>2171165</v>
      </c>
      <c r="M113" s="437">
        <v>197141</v>
      </c>
      <c r="N113" s="298">
        <f>+L113/M113</f>
        <v>11.013259545198615</v>
      </c>
      <c r="O113" s="90">
        <v>103</v>
      </c>
    </row>
    <row r="114" spans="1:15" s="83" customFormat="1" ht="12" customHeight="1">
      <c r="A114" s="84">
        <v>104</v>
      </c>
      <c r="B114" s="399" t="s">
        <v>285</v>
      </c>
      <c r="C114" s="401">
        <v>40424</v>
      </c>
      <c r="D114" s="402" t="s">
        <v>23</v>
      </c>
      <c r="E114" s="192">
        <v>107</v>
      </c>
      <c r="F114" s="192">
        <v>1</v>
      </c>
      <c r="G114" s="192">
        <v>20</v>
      </c>
      <c r="H114" s="377">
        <v>1204</v>
      </c>
      <c r="I114" s="378">
        <v>350</v>
      </c>
      <c r="J114" s="193">
        <f t="shared" si="16"/>
        <v>350</v>
      </c>
      <c r="K114" s="246">
        <f>+H114/I114</f>
        <v>3.44</v>
      </c>
      <c r="L114" s="194">
        <v>2167551</v>
      </c>
      <c r="M114" s="193">
        <v>196093</v>
      </c>
      <c r="N114" s="247">
        <f>+L114/M114</f>
        <v>11.053688810921349</v>
      </c>
      <c r="O114" s="90">
        <v>104</v>
      </c>
    </row>
    <row r="115" spans="1:15" s="83" customFormat="1" ht="12" customHeight="1">
      <c r="A115" s="84">
        <v>105</v>
      </c>
      <c r="B115" s="158" t="s">
        <v>285</v>
      </c>
      <c r="C115" s="26">
        <v>40424</v>
      </c>
      <c r="D115" s="215" t="s">
        <v>23</v>
      </c>
      <c r="E115" s="27">
        <v>107</v>
      </c>
      <c r="F115" s="27">
        <v>1</v>
      </c>
      <c r="G115" s="27">
        <v>19</v>
      </c>
      <c r="H115" s="467">
        <v>1204</v>
      </c>
      <c r="I115" s="468">
        <v>350</v>
      </c>
      <c r="J115" s="32">
        <f t="shared" si="16"/>
        <v>350</v>
      </c>
      <c r="K115" s="212">
        <f>+H115/I115</f>
        <v>3.44</v>
      </c>
      <c r="L115" s="30">
        <v>2166347</v>
      </c>
      <c r="M115" s="33">
        <v>195743</v>
      </c>
      <c r="N115" s="213">
        <f>+L115/M115</f>
        <v>11.067302534445677</v>
      </c>
      <c r="O115" s="90">
        <v>105</v>
      </c>
    </row>
    <row r="116" spans="1:15" s="83" customFormat="1" ht="12" customHeight="1">
      <c r="A116" s="84">
        <v>106</v>
      </c>
      <c r="B116" s="403" t="s">
        <v>286</v>
      </c>
      <c r="C116" s="404">
        <v>40396</v>
      </c>
      <c r="D116" s="165" t="s">
        <v>32</v>
      </c>
      <c r="E116" s="405">
        <v>4</v>
      </c>
      <c r="F116" s="405">
        <v>2</v>
      </c>
      <c r="G116" s="405">
        <v>22</v>
      </c>
      <c r="H116" s="325">
        <v>1323</v>
      </c>
      <c r="I116" s="326">
        <v>206</v>
      </c>
      <c r="J116" s="97">
        <f aca="true" t="shared" si="17" ref="J116:J125">(I116/F116)</f>
        <v>103</v>
      </c>
      <c r="K116" s="161">
        <f aca="true" t="shared" si="18" ref="K116:K132">H116/I116</f>
        <v>6.422330097087379</v>
      </c>
      <c r="L116" s="8">
        <f>14959+9646+7725+4386+3960+14571+6049+4818+2605+3811+4797+6372+2996+165+950.5+1598.5+276+381+768+800+1224+1323</f>
        <v>94181</v>
      </c>
      <c r="M116" s="7">
        <f>1646+1123+1125+547+522+2218+896+595+438+656+743+1047+452+23+148+219+42+85+83+91+196+206</f>
        <v>13101</v>
      </c>
      <c r="N116" s="163">
        <f aca="true" t="shared" si="19" ref="N116:N125">L116/M116</f>
        <v>7.188840546523166</v>
      </c>
      <c r="O116" s="90">
        <v>106</v>
      </c>
    </row>
    <row r="117" spans="1:15" s="83" customFormat="1" ht="12" customHeight="1">
      <c r="A117" s="84">
        <v>107</v>
      </c>
      <c r="B117" s="406" t="s">
        <v>286</v>
      </c>
      <c r="C117" s="407">
        <v>40396</v>
      </c>
      <c r="D117" s="165" t="s">
        <v>32</v>
      </c>
      <c r="E117" s="408">
        <v>4</v>
      </c>
      <c r="F117" s="408">
        <v>1</v>
      </c>
      <c r="G117" s="408">
        <v>21</v>
      </c>
      <c r="H117" s="469">
        <v>1224</v>
      </c>
      <c r="I117" s="470">
        <v>196</v>
      </c>
      <c r="J117" s="173">
        <f t="shared" si="17"/>
        <v>196</v>
      </c>
      <c r="K117" s="174">
        <f t="shared" si="18"/>
        <v>6.244897959183674</v>
      </c>
      <c r="L117" s="175">
        <f>14959+9646+7725+4386+3960+14571+6049+4818+2605+3811+4797+6372+2996+165+950.5+1598.5+276+381+768+800+1224</f>
        <v>92858</v>
      </c>
      <c r="M117" s="176">
        <f>1646+1123+1125+547+522+2218+896+595+438+656+743+1047+452+23+148+219+42+85+83+91+196</f>
        <v>12895</v>
      </c>
      <c r="N117" s="177">
        <f t="shared" si="19"/>
        <v>7.201085692128732</v>
      </c>
      <c r="O117" s="90">
        <v>107</v>
      </c>
    </row>
    <row r="118" spans="1:15" s="83" customFormat="1" ht="12" customHeight="1">
      <c r="A118" s="84">
        <v>108</v>
      </c>
      <c r="B118" s="409" t="s">
        <v>286</v>
      </c>
      <c r="C118" s="404">
        <v>40396</v>
      </c>
      <c r="D118" s="24" t="s">
        <v>32</v>
      </c>
      <c r="E118" s="410">
        <v>4</v>
      </c>
      <c r="F118" s="410">
        <v>1</v>
      </c>
      <c r="G118" s="410">
        <v>24</v>
      </c>
      <c r="H118" s="325">
        <v>915</v>
      </c>
      <c r="I118" s="326">
        <v>126</v>
      </c>
      <c r="J118" s="97">
        <f t="shared" si="17"/>
        <v>126</v>
      </c>
      <c r="K118" s="161">
        <f t="shared" si="18"/>
        <v>7.261904761904762</v>
      </c>
      <c r="L118" s="8">
        <f>14959+9646+7725+4386+3960+14571+6049+4818+2605+3811+4797+6372+2996+165+950.5+1598.5+276+381+768+800+1224+1323+280+915</f>
        <v>95376</v>
      </c>
      <c r="M118" s="7">
        <f>1646+1123+1125+547+522+2218+896+595+438+656+743+1047+452+23+148+219+42+85+83+91+196+206+40+126</f>
        <v>13267</v>
      </c>
      <c r="N118" s="163">
        <f t="shared" si="19"/>
        <v>7.188965101379362</v>
      </c>
      <c r="O118" s="90">
        <v>108</v>
      </c>
    </row>
    <row r="119" spans="1:15" s="83" customFormat="1" ht="12" customHeight="1">
      <c r="A119" s="84">
        <v>109</v>
      </c>
      <c r="B119" s="411" t="s">
        <v>286</v>
      </c>
      <c r="C119" s="404">
        <v>40396</v>
      </c>
      <c r="D119" s="165" t="s">
        <v>32</v>
      </c>
      <c r="E119" s="410">
        <v>4</v>
      </c>
      <c r="F119" s="410">
        <v>1</v>
      </c>
      <c r="G119" s="410">
        <v>20</v>
      </c>
      <c r="H119" s="325">
        <v>800</v>
      </c>
      <c r="I119" s="326">
        <v>91</v>
      </c>
      <c r="J119" s="97">
        <f t="shared" si="17"/>
        <v>91</v>
      </c>
      <c r="K119" s="161">
        <f t="shared" si="18"/>
        <v>8.791208791208792</v>
      </c>
      <c r="L119" s="8">
        <f>14959+9646+7725+4386+3960+14571+6049+4818+2605+3811+4797+6372+2996+165+950.5+1598.5+276+381+768+800</f>
        <v>91634</v>
      </c>
      <c r="M119" s="7">
        <f>1646+1123+1125+547+522+2218+896+595+438+656+743+1047+452+23+148+219+42+85+83+91</f>
        <v>12699</v>
      </c>
      <c r="N119" s="163">
        <f t="shared" si="19"/>
        <v>7.215843767225766</v>
      </c>
      <c r="O119" s="90">
        <v>109</v>
      </c>
    </row>
    <row r="120" spans="1:15" s="83" customFormat="1" ht="12" customHeight="1">
      <c r="A120" s="84">
        <v>110</v>
      </c>
      <c r="B120" s="406" t="s">
        <v>286</v>
      </c>
      <c r="C120" s="407">
        <v>40396</v>
      </c>
      <c r="D120" s="165" t="s">
        <v>32</v>
      </c>
      <c r="E120" s="408">
        <v>4</v>
      </c>
      <c r="F120" s="408">
        <v>1</v>
      </c>
      <c r="G120" s="408">
        <v>19</v>
      </c>
      <c r="H120" s="469">
        <v>768</v>
      </c>
      <c r="I120" s="470">
        <v>83</v>
      </c>
      <c r="J120" s="173">
        <f t="shared" si="17"/>
        <v>83</v>
      </c>
      <c r="K120" s="174">
        <f t="shared" si="18"/>
        <v>9.25301204819277</v>
      </c>
      <c r="L120" s="175">
        <f>14959+9646+7725+4386+3960+14571+6049+4818+2605+3811+4797+6372+2996+165+950.5+1598.5+276+381+768</f>
        <v>90834</v>
      </c>
      <c r="M120" s="176">
        <f>1646+1123+1125+547+522+2218+896+595+438+656+743+1047+452+23+148+219+42+85+83</f>
        <v>12608</v>
      </c>
      <c r="N120" s="177">
        <f t="shared" si="19"/>
        <v>7.204473350253807</v>
      </c>
      <c r="O120" s="90">
        <v>110</v>
      </c>
    </row>
    <row r="121" spans="1:15" s="83" customFormat="1" ht="12" customHeight="1">
      <c r="A121" s="84">
        <v>111</v>
      </c>
      <c r="B121" s="409" t="s">
        <v>286</v>
      </c>
      <c r="C121" s="404">
        <v>40396</v>
      </c>
      <c r="D121" s="24" t="s">
        <v>32</v>
      </c>
      <c r="E121" s="410">
        <v>4</v>
      </c>
      <c r="F121" s="410">
        <v>1</v>
      </c>
      <c r="G121" s="410">
        <v>25</v>
      </c>
      <c r="H121" s="325">
        <v>691</v>
      </c>
      <c r="I121" s="326">
        <v>100</v>
      </c>
      <c r="J121" s="97">
        <f t="shared" si="17"/>
        <v>100</v>
      </c>
      <c r="K121" s="161">
        <f t="shared" si="18"/>
        <v>6.91</v>
      </c>
      <c r="L121" s="8">
        <f>14959+9646+7725+4386+3960+14571+6049+4818+2605+3811+4797+6372+2996+165+950.5+1598.5+276+381+768+800+1224+1323+280+915+691</f>
        <v>96067</v>
      </c>
      <c r="M121" s="7">
        <f>1646+1123+1125+547+522+2218+896+595+438+656+743+1047+452+23+148+219+42+85+83+91+196+206+40+126+100</f>
        <v>13367</v>
      </c>
      <c r="N121" s="163">
        <f t="shared" si="19"/>
        <v>7.186878132714895</v>
      </c>
      <c r="O121" s="90">
        <v>111</v>
      </c>
    </row>
    <row r="122" spans="1:15" s="83" customFormat="1" ht="12" customHeight="1">
      <c r="A122" s="84">
        <v>112</v>
      </c>
      <c r="B122" s="403" t="s">
        <v>286</v>
      </c>
      <c r="C122" s="404">
        <v>40396</v>
      </c>
      <c r="D122" s="165" t="s">
        <v>32</v>
      </c>
      <c r="E122" s="405">
        <v>4</v>
      </c>
      <c r="F122" s="405">
        <v>1</v>
      </c>
      <c r="G122" s="405">
        <v>23</v>
      </c>
      <c r="H122" s="475">
        <v>280</v>
      </c>
      <c r="I122" s="476">
        <v>40</v>
      </c>
      <c r="J122" s="168">
        <f t="shared" si="17"/>
        <v>40</v>
      </c>
      <c r="K122" s="166">
        <f t="shared" si="18"/>
        <v>7</v>
      </c>
      <c r="L122" s="20">
        <f>14959+9646+7725+4386+3960+14571+6049+4818+2605+3811+4797+6372+2996+165+950.5+1598.5+276+381+768+800+1224+1323+280</f>
        <v>94461</v>
      </c>
      <c r="M122" s="21">
        <f>1646+1123+1125+547+522+2218+896+595+438+656+743+1047+452+23+148+219+42+85+83+91+196+206+40</f>
        <v>13141</v>
      </c>
      <c r="N122" s="163">
        <f t="shared" si="19"/>
        <v>7.188265733201431</v>
      </c>
      <c r="O122" s="90">
        <v>112</v>
      </c>
    </row>
    <row r="123" spans="1:15" s="83" customFormat="1" ht="12" customHeight="1">
      <c r="A123" s="84">
        <v>113</v>
      </c>
      <c r="B123" s="178" t="s">
        <v>287</v>
      </c>
      <c r="C123" s="26">
        <v>40430</v>
      </c>
      <c r="D123" s="165" t="s">
        <v>32</v>
      </c>
      <c r="E123" s="167">
        <v>57</v>
      </c>
      <c r="F123" s="167">
        <v>2</v>
      </c>
      <c r="G123" s="167">
        <v>17</v>
      </c>
      <c r="H123" s="325">
        <v>4752</v>
      </c>
      <c r="I123" s="326">
        <v>1188</v>
      </c>
      <c r="J123" s="97">
        <f t="shared" si="17"/>
        <v>594</v>
      </c>
      <c r="K123" s="161">
        <f t="shared" si="18"/>
        <v>4</v>
      </c>
      <c r="L123" s="8">
        <f>15818.5+150711.5+75138.5+33591.5+30249.5+17415.5+8294.5+10566+6016+6121.5+888.5+2484+322+4243.5+950.5+1782+1782+4752</f>
        <v>371127.5</v>
      </c>
      <c r="M123" s="7">
        <f>1512+15643+7345+4634+4073+2646+1136+2027+1109+1483+117+572+47+1041+237+445+446+1188</f>
        <v>45701</v>
      </c>
      <c r="N123" s="163">
        <f t="shared" si="19"/>
        <v>8.120774162490974</v>
      </c>
      <c r="O123" s="90">
        <v>113</v>
      </c>
    </row>
    <row r="124" spans="1:15" s="83" customFormat="1" ht="12" customHeight="1">
      <c r="A124" s="84">
        <v>114</v>
      </c>
      <c r="B124" s="158" t="s">
        <v>287</v>
      </c>
      <c r="C124" s="26">
        <v>40430</v>
      </c>
      <c r="D124" s="165" t="s">
        <v>32</v>
      </c>
      <c r="E124" s="27">
        <v>57</v>
      </c>
      <c r="F124" s="27">
        <v>1</v>
      </c>
      <c r="G124" s="27">
        <v>16</v>
      </c>
      <c r="H124" s="325">
        <v>1782</v>
      </c>
      <c r="I124" s="326">
        <v>446</v>
      </c>
      <c r="J124" s="97">
        <f t="shared" si="17"/>
        <v>446</v>
      </c>
      <c r="K124" s="161">
        <f t="shared" si="18"/>
        <v>3.995515695067265</v>
      </c>
      <c r="L124" s="8">
        <f>15818.5+150711.5+75138.5+33591.5+30249.5+17415.5+8294.5+10566+6016+6121.5+888.5+2484+322+4243.5+950.5+1782+1782</f>
        <v>366375.5</v>
      </c>
      <c r="M124" s="7">
        <f>1512+15643+7345+4634+4073+2646+1136+2027+1109+1483+117+572+47+1041+237+445+446</f>
        <v>44513</v>
      </c>
      <c r="N124" s="163">
        <f t="shared" si="19"/>
        <v>8.230752813784736</v>
      </c>
      <c r="O124" s="90">
        <v>114</v>
      </c>
    </row>
    <row r="125" spans="1:15" s="83" customFormat="1" ht="12" customHeight="1">
      <c r="A125" s="84">
        <v>115</v>
      </c>
      <c r="B125" s="158" t="s">
        <v>287</v>
      </c>
      <c r="C125" s="26">
        <v>40430</v>
      </c>
      <c r="D125" s="165" t="s">
        <v>32</v>
      </c>
      <c r="E125" s="27">
        <v>57</v>
      </c>
      <c r="F125" s="27">
        <v>1</v>
      </c>
      <c r="G125" s="27">
        <v>15</v>
      </c>
      <c r="H125" s="325">
        <v>1782</v>
      </c>
      <c r="I125" s="326">
        <v>445</v>
      </c>
      <c r="J125" s="97">
        <f t="shared" si="17"/>
        <v>445</v>
      </c>
      <c r="K125" s="161">
        <f t="shared" si="18"/>
        <v>4.004494382022472</v>
      </c>
      <c r="L125" s="8">
        <f>15818.5+150711.5+75138.5+33591.5+30249.5+17415.5+8294.5+10566+6016+6121.5+888.5+2484+322+4243.5+950.5+1782</f>
        <v>364593.5</v>
      </c>
      <c r="M125" s="7">
        <f>1512+15643+7345+4634+4073+2646+1136+2027+1109+1483+117+572+47+1041+237+445</f>
        <v>44067</v>
      </c>
      <c r="N125" s="163">
        <f t="shared" si="19"/>
        <v>8.273617446161527</v>
      </c>
      <c r="O125" s="90">
        <v>115</v>
      </c>
    </row>
    <row r="126" spans="1:15" s="83" customFormat="1" ht="12" customHeight="1">
      <c r="A126" s="84">
        <v>116</v>
      </c>
      <c r="B126" s="178" t="s">
        <v>288</v>
      </c>
      <c r="C126" s="26">
        <v>40319</v>
      </c>
      <c r="D126" s="165" t="s">
        <v>29</v>
      </c>
      <c r="E126" s="167">
        <v>55</v>
      </c>
      <c r="F126" s="167">
        <v>1</v>
      </c>
      <c r="G126" s="167">
        <v>18</v>
      </c>
      <c r="H126" s="467">
        <v>4324</v>
      </c>
      <c r="I126" s="468">
        <v>864</v>
      </c>
      <c r="J126" s="96">
        <f aca="true" t="shared" si="20" ref="J126:J132">I126/F126</f>
        <v>864</v>
      </c>
      <c r="K126" s="186">
        <f t="shared" si="18"/>
        <v>5.00462962962963</v>
      </c>
      <c r="L126" s="30">
        <f>65145+41204+28599.5+10743+2405+0.5+2368+274+127+891+124+545+573+114+1943+465+416+216+4324</f>
        <v>160477</v>
      </c>
      <c r="M126" s="32">
        <f>6350+4165+3879+1659+455+341+36+22+135+21+109+98+19+321+74+58+35+864</f>
        <v>18641</v>
      </c>
      <c r="N126" s="181">
        <f aca="true" t="shared" si="21" ref="N126:N132">+L126/M126</f>
        <v>8.608819269352503</v>
      </c>
      <c r="O126" s="90">
        <v>116</v>
      </c>
    </row>
    <row r="127" spans="1:15" s="83" customFormat="1" ht="12" customHeight="1">
      <c r="A127" s="84">
        <v>117</v>
      </c>
      <c r="B127" s="182" t="s">
        <v>289</v>
      </c>
      <c r="C127" s="2">
        <v>40508</v>
      </c>
      <c r="D127" s="16" t="s">
        <v>10</v>
      </c>
      <c r="E127" s="3">
        <v>72</v>
      </c>
      <c r="F127" s="3">
        <v>12</v>
      </c>
      <c r="G127" s="3">
        <v>6</v>
      </c>
      <c r="H127" s="477">
        <v>10277</v>
      </c>
      <c r="I127" s="376">
        <v>1355</v>
      </c>
      <c r="J127" s="96">
        <f t="shared" si="20"/>
        <v>112.91666666666667</v>
      </c>
      <c r="K127" s="183">
        <f t="shared" si="18"/>
        <v>7.58450184501845</v>
      </c>
      <c r="L127" s="184">
        <v>1208960</v>
      </c>
      <c r="M127" s="35">
        <v>105047</v>
      </c>
      <c r="N127" s="181">
        <f t="shared" si="21"/>
        <v>11.508753224747018</v>
      </c>
      <c r="O127" s="90">
        <v>117</v>
      </c>
    </row>
    <row r="128" spans="1:15" s="83" customFormat="1" ht="12" customHeight="1">
      <c r="A128" s="84">
        <v>118</v>
      </c>
      <c r="B128" s="185" t="s">
        <v>289</v>
      </c>
      <c r="C128" s="2">
        <v>40508</v>
      </c>
      <c r="D128" s="14" t="s">
        <v>10</v>
      </c>
      <c r="E128" s="4">
        <v>72</v>
      </c>
      <c r="F128" s="4">
        <v>2</v>
      </c>
      <c r="G128" s="4">
        <v>8</v>
      </c>
      <c r="H128" s="375">
        <v>2043</v>
      </c>
      <c r="I128" s="376">
        <v>282</v>
      </c>
      <c r="J128" s="96">
        <f t="shared" si="20"/>
        <v>141</v>
      </c>
      <c r="K128" s="169">
        <f t="shared" si="18"/>
        <v>7.24468085106383</v>
      </c>
      <c r="L128" s="36">
        <v>1211516</v>
      </c>
      <c r="M128" s="35">
        <v>105388</v>
      </c>
      <c r="N128" s="181">
        <f t="shared" si="21"/>
        <v>11.495768019129313</v>
      </c>
      <c r="O128" s="90">
        <v>118</v>
      </c>
    </row>
    <row r="129" spans="1:15" s="83" customFormat="1" ht="12" customHeight="1">
      <c r="A129" s="84">
        <v>119</v>
      </c>
      <c r="B129" s="180" t="s">
        <v>289</v>
      </c>
      <c r="C129" s="2">
        <v>40508</v>
      </c>
      <c r="D129" s="16" t="s">
        <v>10</v>
      </c>
      <c r="E129" s="3">
        <v>72</v>
      </c>
      <c r="F129" s="3">
        <v>1</v>
      </c>
      <c r="G129" s="3">
        <v>7</v>
      </c>
      <c r="H129" s="375">
        <v>513</v>
      </c>
      <c r="I129" s="376">
        <v>59</v>
      </c>
      <c r="J129" s="96">
        <f t="shared" si="20"/>
        <v>59</v>
      </c>
      <c r="K129" s="169">
        <f t="shared" si="18"/>
        <v>8.694915254237289</v>
      </c>
      <c r="L129" s="36">
        <v>1209473</v>
      </c>
      <c r="M129" s="35">
        <v>105106</v>
      </c>
      <c r="N129" s="181">
        <f t="shared" si="21"/>
        <v>11.507173710349551</v>
      </c>
      <c r="O129" s="90">
        <v>119</v>
      </c>
    </row>
    <row r="130" spans="1:15" s="83" customFormat="1" ht="12" customHeight="1">
      <c r="A130" s="84">
        <v>120</v>
      </c>
      <c r="B130" s="182" t="s">
        <v>290</v>
      </c>
      <c r="C130" s="2">
        <v>40459</v>
      </c>
      <c r="D130" s="16" t="s">
        <v>10</v>
      </c>
      <c r="E130" s="3">
        <v>55</v>
      </c>
      <c r="F130" s="3">
        <v>3</v>
      </c>
      <c r="G130" s="3">
        <v>13</v>
      </c>
      <c r="H130" s="477">
        <v>2794</v>
      </c>
      <c r="I130" s="376">
        <v>385</v>
      </c>
      <c r="J130" s="96">
        <f t="shared" si="20"/>
        <v>128.33333333333334</v>
      </c>
      <c r="K130" s="183">
        <f t="shared" si="18"/>
        <v>7.257142857142857</v>
      </c>
      <c r="L130" s="184">
        <v>2711808</v>
      </c>
      <c r="M130" s="35">
        <v>235959</v>
      </c>
      <c r="N130" s="181">
        <f t="shared" si="21"/>
        <v>11.492708479015421</v>
      </c>
      <c r="O130" s="90">
        <v>120</v>
      </c>
    </row>
    <row r="131" spans="1:15" s="83" customFormat="1" ht="12" customHeight="1">
      <c r="A131" s="84">
        <v>121</v>
      </c>
      <c r="B131" s="180" t="s">
        <v>290</v>
      </c>
      <c r="C131" s="2">
        <v>40459</v>
      </c>
      <c r="D131" s="13" t="s">
        <v>10</v>
      </c>
      <c r="E131" s="3">
        <v>55</v>
      </c>
      <c r="F131" s="3">
        <v>2</v>
      </c>
      <c r="G131" s="3">
        <v>17</v>
      </c>
      <c r="H131" s="375">
        <v>1379</v>
      </c>
      <c r="I131" s="376">
        <v>340</v>
      </c>
      <c r="J131" s="96">
        <f t="shared" si="20"/>
        <v>170</v>
      </c>
      <c r="K131" s="169">
        <f t="shared" si="18"/>
        <v>4.055882352941176</v>
      </c>
      <c r="L131" s="36">
        <v>2715672</v>
      </c>
      <c r="M131" s="35">
        <v>237405</v>
      </c>
      <c r="N131" s="181">
        <f t="shared" si="21"/>
        <v>11.438984014658494</v>
      </c>
      <c r="O131" s="90">
        <v>121</v>
      </c>
    </row>
    <row r="132" spans="1:15" s="83" customFormat="1" ht="12" customHeight="1">
      <c r="A132" s="84">
        <v>122</v>
      </c>
      <c r="B132" s="185" t="s">
        <v>290</v>
      </c>
      <c r="C132" s="2">
        <v>40459</v>
      </c>
      <c r="D132" s="14" t="s">
        <v>10</v>
      </c>
      <c r="E132" s="4">
        <v>55</v>
      </c>
      <c r="F132" s="4">
        <v>1</v>
      </c>
      <c r="G132" s="4">
        <v>14</v>
      </c>
      <c r="H132" s="375">
        <v>1190</v>
      </c>
      <c r="I132" s="376">
        <v>238</v>
      </c>
      <c r="J132" s="96">
        <f t="shared" si="20"/>
        <v>238</v>
      </c>
      <c r="K132" s="169">
        <f t="shared" si="18"/>
        <v>5</v>
      </c>
      <c r="L132" s="36">
        <v>2712998</v>
      </c>
      <c r="M132" s="35">
        <v>236197</v>
      </c>
      <c r="N132" s="181">
        <f t="shared" si="21"/>
        <v>11.486166208715606</v>
      </c>
      <c r="O132" s="90">
        <v>122</v>
      </c>
    </row>
    <row r="133" spans="1:15" s="83" customFormat="1" ht="12" customHeight="1">
      <c r="A133" s="84">
        <v>123</v>
      </c>
      <c r="B133" s="412" t="s">
        <v>290</v>
      </c>
      <c r="C133" s="216">
        <v>40459</v>
      </c>
      <c r="D133" s="413" t="s">
        <v>10</v>
      </c>
      <c r="E133" s="414">
        <v>55</v>
      </c>
      <c r="F133" s="414">
        <v>1</v>
      </c>
      <c r="G133" s="414">
        <v>16</v>
      </c>
      <c r="H133" s="375">
        <v>182</v>
      </c>
      <c r="I133" s="376">
        <v>40</v>
      </c>
      <c r="J133" s="96">
        <v>40</v>
      </c>
      <c r="K133" s="169">
        <v>4.55</v>
      </c>
      <c r="L133" s="36">
        <v>2714293</v>
      </c>
      <c r="M133" s="35">
        <v>237065</v>
      </c>
      <c r="N133" s="181">
        <v>11.449572901946723</v>
      </c>
      <c r="O133" s="90">
        <v>123</v>
      </c>
    </row>
    <row r="134" spans="1:15" s="83" customFormat="1" ht="12" customHeight="1">
      <c r="A134" s="84">
        <v>124</v>
      </c>
      <c r="B134" s="178" t="s">
        <v>291</v>
      </c>
      <c r="C134" s="26">
        <v>40333</v>
      </c>
      <c r="D134" s="165" t="s">
        <v>32</v>
      </c>
      <c r="E134" s="167">
        <v>2</v>
      </c>
      <c r="F134" s="167">
        <v>1</v>
      </c>
      <c r="G134" s="167">
        <v>18</v>
      </c>
      <c r="H134" s="475">
        <v>1307</v>
      </c>
      <c r="I134" s="476">
        <v>327</v>
      </c>
      <c r="J134" s="168">
        <f>(I134/F134)</f>
        <v>327</v>
      </c>
      <c r="K134" s="166">
        <f>H134/I134</f>
        <v>3.996941896024465</v>
      </c>
      <c r="L134" s="20">
        <f>20966+1047+769+1091.5+1901+1090.5+330+94+107+1307</f>
        <v>28703</v>
      </c>
      <c r="M134" s="21">
        <f>2304+127+92+121+475+146+92+18+21+327</f>
        <v>3723</v>
      </c>
      <c r="N134" s="163">
        <f>L134/M134</f>
        <v>7.7096427612140745</v>
      </c>
      <c r="O134" s="90">
        <v>124</v>
      </c>
    </row>
    <row r="135" spans="1:15" s="83" customFormat="1" ht="12" customHeight="1">
      <c r="A135" s="84">
        <v>125</v>
      </c>
      <c r="B135" s="384" t="s">
        <v>250</v>
      </c>
      <c r="C135" s="239">
        <v>40242</v>
      </c>
      <c r="D135" s="101" t="s">
        <v>21</v>
      </c>
      <c r="E135" s="241">
        <v>125</v>
      </c>
      <c r="F135" s="241">
        <v>1</v>
      </c>
      <c r="G135" s="383">
        <v>24</v>
      </c>
      <c r="H135" s="452">
        <v>2376</v>
      </c>
      <c r="I135" s="453">
        <v>475</v>
      </c>
      <c r="J135" s="87">
        <f>I135/F135</f>
        <v>475</v>
      </c>
      <c r="K135" s="88">
        <f>H135/I135</f>
        <v>5.002105263157895</v>
      </c>
      <c r="L135" s="29">
        <f>3052174.5+368+334+926+8316+2376</f>
        <v>3064494.5</v>
      </c>
      <c r="M135" s="32">
        <f>484917+57+56+140+1663+475</f>
        <v>487308</v>
      </c>
      <c r="N135" s="89">
        <f>+L135/M135</f>
        <v>6.288619312631846</v>
      </c>
      <c r="O135" s="90">
        <v>125</v>
      </c>
    </row>
    <row r="136" spans="1:15" s="83" customFormat="1" ht="12" customHeight="1">
      <c r="A136" s="84">
        <v>126</v>
      </c>
      <c r="B136" s="182" t="s">
        <v>292</v>
      </c>
      <c r="C136" s="2">
        <v>40207</v>
      </c>
      <c r="D136" s="16" t="s">
        <v>21</v>
      </c>
      <c r="E136" s="3">
        <v>47</v>
      </c>
      <c r="F136" s="3">
        <v>2</v>
      </c>
      <c r="G136" s="3">
        <v>40</v>
      </c>
      <c r="H136" s="479">
        <v>1782</v>
      </c>
      <c r="I136" s="453">
        <v>356</v>
      </c>
      <c r="J136" s="87">
        <f aca="true" t="shared" si="22" ref="J136:J141">IF(H136&lt;&gt;0,I136/F136,"")</f>
        <v>178</v>
      </c>
      <c r="K136" s="189">
        <f aca="true" t="shared" si="23" ref="K136:K141">IF(H136&lt;&gt;0,H136/I136,"")</f>
        <v>5.00561797752809</v>
      </c>
      <c r="L136" s="28">
        <f>1873890.5+5542+564+70+558+190+292+283.5+618+H136</f>
        <v>1883790</v>
      </c>
      <c r="M136" s="32">
        <f>160830+1202+112+10+80+27+42+44+119+I136</f>
        <v>162822</v>
      </c>
      <c r="N136" s="188">
        <f aca="true" t="shared" si="24" ref="N136:N141">IF(L136&lt;&gt;0,L136/M136,"")</f>
        <v>11.569628182923683</v>
      </c>
      <c r="O136" s="90">
        <v>126</v>
      </c>
    </row>
    <row r="137" spans="1:15" s="83" customFormat="1" ht="12" customHeight="1">
      <c r="A137" s="84">
        <v>127</v>
      </c>
      <c r="B137" s="217" t="s">
        <v>292</v>
      </c>
      <c r="C137" s="2">
        <v>40207</v>
      </c>
      <c r="D137" s="13" t="s">
        <v>21</v>
      </c>
      <c r="E137" s="3">
        <v>47</v>
      </c>
      <c r="F137" s="3">
        <v>1</v>
      </c>
      <c r="G137" s="3">
        <v>45</v>
      </c>
      <c r="H137" s="452">
        <v>450</v>
      </c>
      <c r="I137" s="453">
        <v>29</v>
      </c>
      <c r="J137" s="87">
        <f t="shared" si="22"/>
        <v>29</v>
      </c>
      <c r="K137" s="187">
        <f t="shared" si="23"/>
        <v>15.517241379310345</v>
      </c>
      <c r="L137" s="29">
        <f>1883790+184+100+80+110+450</f>
        <v>1884714</v>
      </c>
      <c r="M137" s="32">
        <f>162822+46+10+8+11+29</f>
        <v>162926</v>
      </c>
      <c r="N137" s="188">
        <f t="shared" si="24"/>
        <v>11.567914267827112</v>
      </c>
      <c r="O137" s="90">
        <v>127</v>
      </c>
    </row>
    <row r="138" spans="1:15" s="83" customFormat="1" ht="12" customHeight="1">
      <c r="A138" s="84">
        <v>128</v>
      </c>
      <c r="B138" s="180" t="s">
        <v>292</v>
      </c>
      <c r="C138" s="2">
        <v>40207</v>
      </c>
      <c r="D138" s="16" t="s">
        <v>21</v>
      </c>
      <c r="E138" s="3">
        <v>47</v>
      </c>
      <c r="F138" s="3">
        <v>1</v>
      </c>
      <c r="G138" s="3">
        <v>41</v>
      </c>
      <c r="H138" s="452">
        <v>184</v>
      </c>
      <c r="I138" s="453">
        <v>46</v>
      </c>
      <c r="J138" s="87">
        <f t="shared" si="22"/>
        <v>46</v>
      </c>
      <c r="K138" s="187">
        <f t="shared" si="23"/>
        <v>4</v>
      </c>
      <c r="L138" s="29">
        <f>1883790+184</f>
        <v>1883974</v>
      </c>
      <c r="M138" s="32">
        <f>162822+46</f>
        <v>162868</v>
      </c>
      <c r="N138" s="188">
        <f t="shared" si="24"/>
        <v>11.567490237492938</v>
      </c>
      <c r="O138" s="90">
        <v>128</v>
      </c>
    </row>
    <row r="139" spans="1:15" s="83" customFormat="1" ht="12" customHeight="1">
      <c r="A139" s="84">
        <v>129</v>
      </c>
      <c r="B139" s="180" t="s">
        <v>292</v>
      </c>
      <c r="C139" s="2">
        <v>40207</v>
      </c>
      <c r="D139" s="13" t="s">
        <v>21</v>
      </c>
      <c r="E139" s="3">
        <v>47</v>
      </c>
      <c r="F139" s="3">
        <v>1</v>
      </c>
      <c r="G139" s="3">
        <v>44</v>
      </c>
      <c r="H139" s="452">
        <v>110</v>
      </c>
      <c r="I139" s="453">
        <v>11</v>
      </c>
      <c r="J139" s="87">
        <f t="shared" si="22"/>
        <v>11</v>
      </c>
      <c r="K139" s="187">
        <f t="shared" si="23"/>
        <v>10</v>
      </c>
      <c r="L139" s="29">
        <f>1883790+184+100+80+110</f>
        <v>1884264</v>
      </c>
      <c r="M139" s="32">
        <f>162822+46+10+8+11</f>
        <v>162897</v>
      </c>
      <c r="N139" s="188">
        <f t="shared" si="24"/>
        <v>11.567211182526382</v>
      </c>
      <c r="O139" s="90">
        <v>129</v>
      </c>
    </row>
    <row r="140" spans="1:15" s="83" customFormat="1" ht="12" customHeight="1">
      <c r="A140" s="84">
        <v>130</v>
      </c>
      <c r="B140" s="185" t="s">
        <v>292</v>
      </c>
      <c r="C140" s="2">
        <v>40207</v>
      </c>
      <c r="D140" s="14" t="s">
        <v>21</v>
      </c>
      <c r="E140" s="4">
        <v>47</v>
      </c>
      <c r="F140" s="4">
        <v>1</v>
      </c>
      <c r="G140" s="4">
        <v>42</v>
      </c>
      <c r="H140" s="452">
        <v>100</v>
      </c>
      <c r="I140" s="453">
        <v>10</v>
      </c>
      <c r="J140" s="87">
        <f t="shared" si="22"/>
        <v>10</v>
      </c>
      <c r="K140" s="187">
        <f t="shared" si="23"/>
        <v>10</v>
      </c>
      <c r="L140" s="29">
        <f>1883790+184+100</f>
        <v>1884074</v>
      </c>
      <c r="M140" s="32">
        <f>162822+46+10</f>
        <v>162878</v>
      </c>
      <c r="N140" s="188">
        <f t="shared" si="24"/>
        <v>11.56739400041749</v>
      </c>
      <c r="O140" s="90">
        <v>130</v>
      </c>
    </row>
    <row r="141" spans="1:15" s="83" customFormat="1" ht="12" customHeight="1">
      <c r="A141" s="84">
        <v>131</v>
      </c>
      <c r="B141" s="185" t="s">
        <v>292</v>
      </c>
      <c r="C141" s="2">
        <v>40207</v>
      </c>
      <c r="D141" s="14" t="s">
        <v>21</v>
      </c>
      <c r="E141" s="4">
        <v>47</v>
      </c>
      <c r="F141" s="4">
        <v>1</v>
      </c>
      <c r="G141" s="4">
        <v>43</v>
      </c>
      <c r="H141" s="479">
        <v>80</v>
      </c>
      <c r="I141" s="490">
        <v>8</v>
      </c>
      <c r="J141" s="218">
        <f t="shared" si="22"/>
        <v>8</v>
      </c>
      <c r="K141" s="189">
        <f t="shared" si="23"/>
        <v>10</v>
      </c>
      <c r="L141" s="28">
        <f>1883790+184+100+80</f>
        <v>1884154</v>
      </c>
      <c r="M141" s="23">
        <f>162822+46+10+8</f>
        <v>162886</v>
      </c>
      <c r="N141" s="188">
        <f t="shared" si="24"/>
        <v>11.567317019265007</v>
      </c>
      <c r="O141" s="90">
        <v>131</v>
      </c>
    </row>
    <row r="142" spans="1:15" s="83" customFormat="1" ht="12" customHeight="1">
      <c r="A142" s="84">
        <v>132</v>
      </c>
      <c r="B142" s="178" t="s">
        <v>153</v>
      </c>
      <c r="C142" s="26">
        <v>39766</v>
      </c>
      <c r="D142" s="165" t="s">
        <v>140</v>
      </c>
      <c r="E142" s="167">
        <v>17</v>
      </c>
      <c r="F142" s="167">
        <v>1</v>
      </c>
      <c r="G142" s="167">
        <v>27</v>
      </c>
      <c r="H142" s="482">
        <v>403</v>
      </c>
      <c r="I142" s="483">
        <v>2016</v>
      </c>
      <c r="J142" s="99">
        <v>2016</v>
      </c>
      <c r="K142" s="219">
        <v>0.19990079365079366</v>
      </c>
      <c r="L142" s="195">
        <v>93607</v>
      </c>
      <c r="M142" s="196">
        <v>13556</v>
      </c>
      <c r="N142" s="197">
        <v>6.9052080259663615</v>
      </c>
      <c r="O142" s="90">
        <v>132</v>
      </c>
    </row>
    <row r="143" spans="1:15" s="83" customFormat="1" ht="12" customHeight="1">
      <c r="A143" s="84">
        <v>133</v>
      </c>
      <c r="B143" s="158" t="s">
        <v>293</v>
      </c>
      <c r="C143" s="26">
        <v>39878</v>
      </c>
      <c r="D143" s="24" t="s">
        <v>32</v>
      </c>
      <c r="E143" s="27">
        <v>39</v>
      </c>
      <c r="F143" s="27">
        <v>1</v>
      </c>
      <c r="G143" s="27">
        <v>38</v>
      </c>
      <c r="H143" s="325">
        <v>708</v>
      </c>
      <c r="I143" s="326">
        <v>164</v>
      </c>
      <c r="J143" s="97">
        <f>(I143/F143)</f>
        <v>164</v>
      </c>
      <c r="K143" s="161">
        <f aca="true" t="shared" si="25" ref="K143:K169">H143/I143</f>
        <v>4.317073170731708</v>
      </c>
      <c r="L143" s="8">
        <f>143992.5+82756.5+42509+41229+27290.5+16668+27602+17675+4710+8504.5+2403+4164+2272+3469+1997+135+299+674+178+30+240+1413+1006+209+393+680+1780+4040+1780+1780+952+745+2376+2376+2376+4752+2376+708</f>
        <v>458540</v>
      </c>
      <c r="M143" s="7">
        <f>15320+9228+5096+5970+4485+3115+5134+3946+1139+2307+509+879+411+637+472+29+62+165+32+6+48+348+139+43+54+68+445+1010+445+445+238+149+594+594+594+1188+594+164</f>
        <v>66102</v>
      </c>
      <c r="N143" s="163">
        <f>L143/M143</f>
        <v>6.93685516323258</v>
      </c>
      <c r="O143" s="90">
        <v>133</v>
      </c>
    </row>
    <row r="144" spans="1:15" s="83" customFormat="1" ht="12" customHeight="1">
      <c r="A144" s="84">
        <v>134</v>
      </c>
      <c r="B144" s="182" t="s">
        <v>294</v>
      </c>
      <c r="C144" s="2">
        <v>40499</v>
      </c>
      <c r="D144" s="16" t="s">
        <v>10</v>
      </c>
      <c r="E144" s="3">
        <v>216</v>
      </c>
      <c r="F144" s="3">
        <v>34</v>
      </c>
      <c r="G144" s="3">
        <v>7</v>
      </c>
      <c r="H144" s="477">
        <v>30434</v>
      </c>
      <c r="I144" s="376">
        <v>4757</v>
      </c>
      <c r="J144" s="96">
        <f aca="true" t="shared" si="26" ref="J144:J150">I144/F144</f>
        <v>139.91176470588235</v>
      </c>
      <c r="K144" s="183">
        <f t="shared" si="25"/>
        <v>6.397729661551398</v>
      </c>
      <c r="L144" s="184">
        <v>7544141</v>
      </c>
      <c r="M144" s="35">
        <v>795478</v>
      </c>
      <c r="N144" s="181">
        <f aca="true" t="shared" si="27" ref="N144:N150">+L144/M144</f>
        <v>9.4837833353028</v>
      </c>
      <c r="O144" s="90">
        <v>134</v>
      </c>
    </row>
    <row r="145" spans="1:15" s="83" customFormat="1" ht="12" customHeight="1">
      <c r="A145" s="84">
        <v>135</v>
      </c>
      <c r="B145" s="180" t="s">
        <v>294</v>
      </c>
      <c r="C145" s="2">
        <v>40499</v>
      </c>
      <c r="D145" s="16" t="s">
        <v>10</v>
      </c>
      <c r="E145" s="3">
        <v>216</v>
      </c>
      <c r="F145" s="3">
        <v>6</v>
      </c>
      <c r="G145" s="3">
        <v>8</v>
      </c>
      <c r="H145" s="375">
        <v>5700</v>
      </c>
      <c r="I145" s="376">
        <v>1097</v>
      </c>
      <c r="J145" s="96">
        <f t="shared" si="26"/>
        <v>182.83333333333334</v>
      </c>
      <c r="K145" s="169">
        <f t="shared" si="25"/>
        <v>5.195989061075661</v>
      </c>
      <c r="L145" s="36">
        <v>7549841</v>
      </c>
      <c r="M145" s="35">
        <v>796575</v>
      </c>
      <c r="N145" s="181">
        <f t="shared" si="27"/>
        <v>9.477878416972665</v>
      </c>
      <c r="O145" s="90">
        <v>135</v>
      </c>
    </row>
    <row r="146" spans="1:15" s="83" customFormat="1" ht="12" customHeight="1">
      <c r="A146" s="84">
        <v>136</v>
      </c>
      <c r="B146" s="185" t="s">
        <v>294</v>
      </c>
      <c r="C146" s="2">
        <v>40499</v>
      </c>
      <c r="D146" s="14" t="s">
        <v>10</v>
      </c>
      <c r="E146" s="4">
        <v>216</v>
      </c>
      <c r="F146" s="4">
        <v>6</v>
      </c>
      <c r="G146" s="4">
        <v>9</v>
      </c>
      <c r="H146" s="375">
        <v>5414</v>
      </c>
      <c r="I146" s="376">
        <v>1277</v>
      </c>
      <c r="J146" s="96">
        <f t="shared" si="26"/>
        <v>212.83333333333334</v>
      </c>
      <c r="K146" s="169">
        <f t="shared" si="25"/>
        <v>4.239624119028974</v>
      </c>
      <c r="L146" s="36">
        <v>7555255</v>
      </c>
      <c r="M146" s="35">
        <v>797852</v>
      </c>
      <c r="N146" s="181">
        <f t="shared" si="27"/>
        <v>9.4694943423091</v>
      </c>
      <c r="O146" s="90">
        <v>136</v>
      </c>
    </row>
    <row r="147" spans="1:15" s="83" customFormat="1" ht="12" customHeight="1">
      <c r="A147" s="84">
        <v>137</v>
      </c>
      <c r="B147" s="180" t="s">
        <v>294</v>
      </c>
      <c r="C147" s="2">
        <v>40499</v>
      </c>
      <c r="D147" s="13" t="s">
        <v>10</v>
      </c>
      <c r="E147" s="3">
        <v>216</v>
      </c>
      <c r="F147" s="3">
        <v>3</v>
      </c>
      <c r="G147" s="3">
        <v>13</v>
      </c>
      <c r="H147" s="375">
        <v>1907</v>
      </c>
      <c r="I147" s="376">
        <v>449</v>
      </c>
      <c r="J147" s="96">
        <f t="shared" si="26"/>
        <v>149.66666666666666</v>
      </c>
      <c r="K147" s="169">
        <f t="shared" si="25"/>
        <v>4.247216035634744</v>
      </c>
      <c r="L147" s="36">
        <v>7557967</v>
      </c>
      <c r="M147" s="35">
        <v>798432</v>
      </c>
      <c r="N147" s="181">
        <f t="shared" si="27"/>
        <v>9.466012133782213</v>
      </c>
      <c r="O147" s="90">
        <v>137</v>
      </c>
    </row>
    <row r="148" spans="1:15" s="83" customFormat="1" ht="12" customHeight="1">
      <c r="A148" s="84">
        <v>138</v>
      </c>
      <c r="B148" s="182" t="s">
        <v>294</v>
      </c>
      <c r="C148" s="2">
        <v>40499</v>
      </c>
      <c r="D148" s="13" t="s">
        <v>10</v>
      </c>
      <c r="E148" s="3">
        <v>216</v>
      </c>
      <c r="F148" s="3">
        <v>1</v>
      </c>
      <c r="G148" s="3">
        <v>10</v>
      </c>
      <c r="H148" s="375">
        <v>280</v>
      </c>
      <c r="I148" s="376">
        <v>46</v>
      </c>
      <c r="J148" s="96">
        <f t="shared" si="26"/>
        <v>46</v>
      </c>
      <c r="K148" s="169">
        <f t="shared" si="25"/>
        <v>6.086956521739131</v>
      </c>
      <c r="L148" s="36">
        <v>7555535</v>
      </c>
      <c r="M148" s="35">
        <v>797898</v>
      </c>
      <c r="N148" s="181">
        <f t="shared" si="27"/>
        <v>9.469299334000086</v>
      </c>
      <c r="O148" s="90">
        <v>138</v>
      </c>
    </row>
    <row r="149" spans="1:15" s="83" customFormat="1" ht="12" customHeight="1">
      <c r="A149" s="84">
        <v>139</v>
      </c>
      <c r="B149" s="185" t="s">
        <v>294</v>
      </c>
      <c r="C149" s="2">
        <v>40499</v>
      </c>
      <c r="D149" s="14" t="s">
        <v>10</v>
      </c>
      <c r="E149" s="4">
        <v>216</v>
      </c>
      <c r="F149" s="4">
        <v>1</v>
      </c>
      <c r="G149" s="4">
        <v>12</v>
      </c>
      <c r="H149" s="375">
        <v>265</v>
      </c>
      <c r="I149" s="376">
        <v>42</v>
      </c>
      <c r="J149" s="96">
        <f t="shared" si="26"/>
        <v>42</v>
      </c>
      <c r="K149" s="169">
        <f t="shared" si="25"/>
        <v>6.309523809523809</v>
      </c>
      <c r="L149" s="36">
        <v>7556060</v>
      </c>
      <c r="M149" s="35">
        <v>797983</v>
      </c>
      <c r="N149" s="181">
        <f t="shared" si="27"/>
        <v>9.468948586624025</v>
      </c>
      <c r="O149" s="90">
        <v>139</v>
      </c>
    </row>
    <row r="150" spans="1:15" s="83" customFormat="1" ht="12" customHeight="1">
      <c r="A150" s="84">
        <v>140</v>
      </c>
      <c r="B150" s="180" t="s">
        <v>294</v>
      </c>
      <c r="C150" s="2">
        <v>40499</v>
      </c>
      <c r="D150" s="13" t="s">
        <v>10</v>
      </c>
      <c r="E150" s="3">
        <v>216</v>
      </c>
      <c r="F150" s="3">
        <v>1</v>
      </c>
      <c r="G150" s="3">
        <v>11</v>
      </c>
      <c r="H150" s="375">
        <v>260</v>
      </c>
      <c r="I150" s="376">
        <v>43</v>
      </c>
      <c r="J150" s="96">
        <f t="shared" si="26"/>
        <v>43</v>
      </c>
      <c r="K150" s="169">
        <f t="shared" si="25"/>
        <v>6.046511627906977</v>
      </c>
      <c r="L150" s="36">
        <v>7555795</v>
      </c>
      <c r="M150" s="35">
        <v>797941</v>
      </c>
      <c r="N150" s="181">
        <f t="shared" si="27"/>
        <v>9.46911488443381</v>
      </c>
      <c r="O150" s="90">
        <v>140</v>
      </c>
    </row>
    <row r="151" spans="1:15" s="83" customFormat="1" ht="12" customHeight="1">
      <c r="A151" s="84">
        <v>141</v>
      </c>
      <c r="B151" s="158" t="s">
        <v>154</v>
      </c>
      <c r="C151" s="26">
        <v>39899</v>
      </c>
      <c r="D151" s="165" t="s">
        <v>32</v>
      </c>
      <c r="E151" s="27">
        <v>16</v>
      </c>
      <c r="F151" s="27">
        <v>1</v>
      </c>
      <c r="G151" s="27">
        <v>22</v>
      </c>
      <c r="H151" s="325">
        <v>2140</v>
      </c>
      <c r="I151" s="326">
        <v>535</v>
      </c>
      <c r="J151" s="97">
        <f>(I151/F151)</f>
        <v>535</v>
      </c>
      <c r="K151" s="161">
        <f t="shared" si="25"/>
        <v>4</v>
      </c>
      <c r="L151" s="8">
        <f>31480+15536+8716+2149+2897+1360+2390+1251+322+381+329+492+928+436+1103+1913+46+240+669.28+648.46+226+2140</f>
        <v>75652.74</v>
      </c>
      <c r="M151" s="7">
        <f>3450+1778+1361+440+508+248+548+290+68+72+58+96+96+70+137+309+9+48+150+151+48+535</f>
        <v>10470</v>
      </c>
      <c r="N151" s="163">
        <f>L151/M151</f>
        <v>7.225667621776505</v>
      </c>
      <c r="O151" s="90">
        <v>141</v>
      </c>
    </row>
    <row r="152" spans="1:15" s="83" customFormat="1" ht="12" customHeight="1">
      <c r="A152" s="84">
        <v>142</v>
      </c>
      <c r="B152" s="178" t="s">
        <v>295</v>
      </c>
      <c r="C152" s="26">
        <v>39892</v>
      </c>
      <c r="D152" s="165" t="s">
        <v>32</v>
      </c>
      <c r="E152" s="167">
        <v>5</v>
      </c>
      <c r="F152" s="167">
        <v>1</v>
      </c>
      <c r="G152" s="167">
        <v>24</v>
      </c>
      <c r="H152" s="464">
        <v>952</v>
      </c>
      <c r="I152" s="465">
        <v>238</v>
      </c>
      <c r="J152" s="31">
        <f>(I152/F152)</f>
        <v>238</v>
      </c>
      <c r="K152" s="415">
        <f t="shared" si="25"/>
        <v>4</v>
      </c>
      <c r="L152" s="5">
        <f>18881.5+13473+6553+4173.5+2378+3269+2172+792+240+60+1236+552+1321+1757+465+884+565+65+261+952+114+51+2376+952</f>
        <v>63543</v>
      </c>
      <c r="M152" s="6">
        <f>2268+1745+795+568+579+610+541+209+80+20+215+68+169+337+93+144+93+15+56+238+23+20+594+238</f>
        <v>9718</v>
      </c>
      <c r="N152" s="416">
        <f>L152/M152</f>
        <v>6.538691088701379</v>
      </c>
      <c r="O152" s="90">
        <v>142</v>
      </c>
    </row>
    <row r="153" spans="1:15" s="83" customFormat="1" ht="12" customHeight="1">
      <c r="A153" s="84">
        <v>143</v>
      </c>
      <c r="B153" s="158" t="s">
        <v>296</v>
      </c>
      <c r="C153" s="26">
        <v>40004</v>
      </c>
      <c r="D153" s="24" t="s">
        <v>32</v>
      </c>
      <c r="E153" s="27">
        <v>20</v>
      </c>
      <c r="F153" s="27">
        <v>1</v>
      </c>
      <c r="G153" s="27">
        <v>15</v>
      </c>
      <c r="H153" s="464">
        <v>952</v>
      </c>
      <c r="I153" s="465">
        <v>238</v>
      </c>
      <c r="J153" s="31">
        <f>(I153/F153)</f>
        <v>238</v>
      </c>
      <c r="K153" s="415">
        <f t="shared" si="25"/>
        <v>4</v>
      </c>
      <c r="L153" s="5">
        <f>27239+16683+9866+18646.5+11021.5+18905.5+11305+6948.5+5971.5+3862.5+1777+1145+520+193+952</f>
        <v>135036</v>
      </c>
      <c r="M153" s="6">
        <f>2632+2092+1344+2829+1912+3115+1963+1173+1001+690+304+193+74+27+238</f>
        <v>19587</v>
      </c>
      <c r="N153" s="416">
        <f>L153/M153</f>
        <v>6.894164496860163</v>
      </c>
      <c r="O153" s="90">
        <v>143</v>
      </c>
    </row>
    <row r="154" spans="1:15" s="83" customFormat="1" ht="12" customHeight="1">
      <c r="A154" s="84">
        <v>144</v>
      </c>
      <c r="B154" s="567" t="s">
        <v>297</v>
      </c>
      <c r="C154" s="171">
        <v>39995</v>
      </c>
      <c r="D154" s="537" t="s">
        <v>32</v>
      </c>
      <c r="E154" s="543">
        <v>209</v>
      </c>
      <c r="F154" s="543">
        <v>1</v>
      </c>
      <c r="G154" s="543">
        <v>67</v>
      </c>
      <c r="H154" s="475">
        <v>2852</v>
      </c>
      <c r="I154" s="476">
        <v>713</v>
      </c>
      <c r="J154" s="218">
        <f>I154/F154</f>
        <v>713</v>
      </c>
      <c r="K154" s="297">
        <f t="shared" si="25"/>
        <v>4</v>
      </c>
      <c r="L154" s="20">
        <f>11405777.5+385+1188+6614+2968+1417+277+2612+1424+952+1780+952+364.5+1188+1188+2852</f>
        <v>11431939</v>
      </c>
      <c r="M154" s="21">
        <f>1424397+63+297+1638+742+364+66+653+356+238+445+238+27+297+297+713</f>
        <v>1430831</v>
      </c>
      <c r="N154" s="298">
        <f>+L154/M154</f>
        <v>7.989719959939364</v>
      </c>
      <c r="O154" s="90">
        <v>144</v>
      </c>
    </row>
    <row r="155" spans="1:15" s="83" customFormat="1" ht="12" customHeight="1">
      <c r="A155" s="84">
        <v>145</v>
      </c>
      <c r="B155" s="403" t="s">
        <v>297</v>
      </c>
      <c r="C155" s="404">
        <v>39995</v>
      </c>
      <c r="D155" s="165" t="s">
        <v>32</v>
      </c>
      <c r="E155" s="405">
        <v>209</v>
      </c>
      <c r="F155" s="405">
        <v>1</v>
      </c>
      <c r="G155" s="405">
        <v>62</v>
      </c>
      <c r="H155" s="475">
        <v>1780</v>
      </c>
      <c r="I155" s="476">
        <v>445</v>
      </c>
      <c r="J155" s="168">
        <f>(I155/F155)</f>
        <v>445</v>
      </c>
      <c r="K155" s="166">
        <f t="shared" si="25"/>
        <v>4</v>
      </c>
      <c r="L155" s="20">
        <f>11405777.5+385+1188+6614+2968+1417+277+2612+1424+952+1780</f>
        <v>11425394.5</v>
      </c>
      <c r="M155" s="21">
        <f>1424397+63+297+1638+742+364+66+653+356+238+445</f>
        <v>1429259</v>
      </c>
      <c r="N155" s="163">
        <f>L155/M155</f>
        <v>7.993928672130104</v>
      </c>
      <c r="O155" s="90">
        <v>145</v>
      </c>
    </row>
    <row r="156" spans="1:15" s="83" customFormat="1" ht="12" customHeight="1">
      <c r="A156" s="84">
        <v>146</v>
      </c>
      <c r="B156" s="451" t="s">
        <v>297</v>
      </c>
      <c r="C156" s="171">
        <v>39995</v>
      </c>
      <c r="D156" s="101" t="s">
        <v>32</v>
      </c>
      <c r="E156" s="172">
        <v>209</v>
      </c>
      <c r="F156" s="172">
        <v>1</v>
      </c>
      <c r="G156" s="172">
        <v>66</v>
      </c>
      <c r="H156" s="325">
        <v>1188</v>
      </c>
      <c r="I156" s="326">
        <v>297</v>
      </c>
      <c r="J156" s="87">
        <f>I156/F156</f>
        <v>297</v>
      </c>
      <c r="K156" s="88">
        <f t="shared" si="25"/>
        <v>4</v>
      </c>
      <c r="L156" s="8">
        <f>11405777.5+385+1188+6614+2968+1417+277+2612+1424+952+1780+952+364.5+1188+1188</f>
        <v>11429087</v>
      </c>
      <c r="M156" s="7">
        <f>1424397+63+297+1638+742+364+66+653+356+238+445+238+27+297+297</f>
        <v>1430118</v>
      </c>
      <c r="N156" s="92">
        <f>L156/M156</f>
        <v>7.991709075754588</v>
      </c>
      <c r="O156" s="90">
        <v>146</v>
      </c>
    </row>
    <row r="157" spans="1:15" s="83" customFormat="1" ht="12" customHeight="1">
      <c r="A157" s="84">
        <v>147</v>
      </c>
      <c r="B157" s="417" t="s">
        <v>297</v>
      </c>
      <c r="C157" s="418">
        <v>39995</v>
      </c>
      <c r="D157" s="419" t="s">
        <v>137</v>
      </c>
      <c r="E157" s="420">
        <v>209</v>
      </c>
      <c r="F157" s="172">
        <v>1</v>
      </c>
      <c r="G157" s="420">
        <v>65</v>
      </c>
      <c r="H157" s="325">
        <v>1188</v>
      </c>
      <c r="I157" s="326">
        <v>297</v>
      </c>
      <c r="J157" s="218">
        <f>I157/F157</f>
        <v>297</v>
      </c>
      <c r="K157" s="297">
        <f t="shared" si="25"/>
        <v>4</v>
      </c>
      <c r="L157" s="8">
        <f>11405777.5+385+1188+6614+2968+1417+277+2612+1424+952+1780+952+364.5+1188</f>
        <v>11427899</v>
      </c>
      <c r="M157" s="7">
        <f>1424397+63+297+1638+742+364+66+653+356+238+445+238+27+297</f>
        <v>1429821</v>
      </c>
      <c r="N157" s="89">
        <f>+L157/M157</f>
        <v>7.992538226813006</v>
      </c>
      <c r="O157" s="90">
        <v>147</v>
      </c>
    </row>
    <row r="158" spans="1:15" s="83" customFormat="1" ht="12" customHeight="1">
      <c r="A158" s="84">
        <v>148</v>
      </c>
      <c r="B158" s="409" t="s">
        <v>297</v>
      </c>
      <c r="C158" s="404">
        <v>39995</v>
      </c>
      <c r="D158" s="24" t="s">
        <v>32</v>
      </c>
      <c r="E158" s="410">
        <v>209</v>
      </c>
      <c r="F158" s="410">
        <v>1</v>
      </c>
      <c r="G158" s="410">
        <v>63</v>
      </c>
      <c r="H158" s="325">
        <v>952</v>
      </c>
      <c r="I158" s="326">
        <v>238</v>
      </c>
      <c r="J158" s="97">
        <f>(I158/F158)</f>
        <v>238</v>
      </c>
      <c r="K158" s="161">
        <f t="shared" si="25"/>
        <v>4</v>
      </c>
      <c r="L158" s="8">
        <f>11405777.5+385+1188+6614+2968+1417+277+2612+1424+952+1780+952</f>
        <v>11426346.5</v>
      </c>
      <c r="M158" s="7">
        <f>1424397+63+297+1638+742+364+66+653+356+238+445+238</f>
        <v>1429497</v>
      </c>
      <c r="N158" s="163">
        <f>L158/M158</f>
        <v>7.993263714439415</v>
      </c>
      <c r="O158" s="90">
        <v>148</v>
      </c>
    </row>
    <row r="159" spans="1:15" s="83" customFormat="1" ht="12" customHeight="1">
      <c r="A159" s="84">
        <v>149</v>
      </c>
      <c r="B159" s="409" t="s">
        <v>297</v>
      </c>
      <c r="C159" s="404">
        <v>39995</v>
      </c>
      <c r="D159" s="165" t="s">
        <v>32</v>
      </c>
      <c r="E159" s="410">
        <v>209</v>
      </c>
      <c r="F159" s="410">
        <v>1</v>
      </c>
      <c r="G159" s="410">
        <v>61</v>
      </c>
      <c r="H159" s="325">
        <v>952</v>
      </c>
      <c r="I159" s="326">
        <v>238</v>
      </c>
      <c r="J159" s="97">
        <f>(I159/F159)</f>
        <v>238</v>
      </c>
      <c r="K159" s="161">
        <f t="shared" si="25"/>
        <v>4</v>
      </c>
      <c r="L159" s="8">
        <f>11405777.5+385+1188+6614+2968+1417+277+2612+1424+952</f>
        <v>11423614.5</v>
      </c>
      <c r="M159" s="7">
        <f>1424397+63+297+1638+742+364+66+653+356+238</f>
        <v>1428814</v>
      </c>
      <c r="N159" s="163">
        <f>L159/M159</f>
        <v>7.995172569697665</v>
      </c>
      <c r="O159" s="90">
        <v>149</v>
      </c>
    </row>
    <row r="160" spans="1:15" s="83" customFormat="1" ht="12" customHeight="1">
      <c r="A160" s="84">
        <v>150</v>
      </c>
      <c r="B160" s="409" t="s">
        <v>297</v>
      </c>
      <c r="C160" s="404">
        <v>39995</v>
      </c>
      <c r="D160" s="421" t="s">
        <v>137</v>
      </c>
      <c r="E160" s="410">
        <v>209</v>
      </c>
      <c r="F160" s="410">
        <v>1</v>
      </c>
      <c r="G160" s="410">
        <v>64</v>
      </c>
      <c r="H160" s="475">
        <v>364.5</v>
      </c>
      <c r="I160" s="476">
        <v>27</v>
      </c>
      <c r="J160" s="218">
        <f>I160/F160</f>
        <v>27</v>
      </c>
      <c r="K160" s="297">
        <f t="shared" si="25"/>
        <v>13.5</v>
      </c>
      <c r="L160" s="20">
        <f>11405777.5+385+1188+6614+2968+1417+277+2612+1424+952+1780+952+364.5</f>
        <v>11426711</v>
      </c>
      <c r="M160" s="21">
        <f>1424397+63+297+1638+742+364+66+653+356+238+445+238+27</f>
        <v>1429524</v>
      </c>
      <c r="N160" s="298">
        <f>L160/M160</f>
        <v>7.993367722402702</v>
      </c>
      <c r="O160" s="90">
        <v>150</v>
      </c>
    </row>
    <row r="161" spans="1:15" s="83" customFormat="1" ht="12" customHeight="1">
      <c r="A161" s="84">
        <v>151</v>
      </c>
      <c r="B161" s="178" t="s">
        <v>298</v>
      </c>
      <c r="C161" s="26">
        <v>39738</v>
      </c>
      <c r="D161" s="165" t="s">
        <v>32</v>
      </c>
      <c r="E161" s="167">
        <v>67</v>
      </c>
      <c r="F161" s="167">
        <v>1</v>
      </c>
      <c r="G161" s="167">
        <v>44</v>
      </c>
      <c r="H161" s="325">
        <v>1780</v>
      </c>
      <c r="I161" s="326">
        <v>445</v>
      </c>
      <c r="J161" s="97">
        <f>(I161/F161)</f>
        <v>445</v>
      </c>
      <c r="K161" s="161">
        <f t="shared" si="25"/>
        <v>4</v>
      </c>
      <c r="L161" s="8">
        <f>575413.5+2968+2376+2737+2376+2376+4752+2376+952+1780</f>
        <v>598106.5</v>
      </c>
      <c r="M161" s="7">
        <f>83313+742+594+635+594+594+1188+594+238+445</f>
        <v>88937</v>
      </c>
      <c r="N161" s="163">
        <f>L161/M161</f>
        <v>6.725058187256147</v>
      </c>
      <c r="O161" s="90">
        <v>151</v>
      </c>
    </row>
    <row r="162" spans="1:15" s="83" customFormat="1" ht="12" customHeight="1">
      <c r="A162" s="84">
        <v>152</v>
      </c>
      <c r="B162" s="158" t="s">
        <v>298</v>
      </c>
      <c r="C162" s="26">
        <v>39738</v>
      </c>
      <c r="D162" s="165" t="s">
        <v>32</v>
      </c>
      <c r="E162" s="27">
        <v>67</v>
      </c>
      <c r="F162" s="27">
        <v>1</v>
      </c>
      <c r="G162" s="27">
        <v>43</v>
      </c>
      <c r="H162" s="325">
        <v>952</v>
      </c>
      <c r="I162" s="326">
        <v>238</v>
      </c>
      <c r="J162" s="97">
        <f>(I162/F162)</f>
        <v>238</v>
      </c>
      <c r="K162" s="161">
        <f t="shared" si="25"/>
        <v>4</v>
      </c>
      <c r="L162" s="8">
        <f>575413.5+2968+2376+2737+2376+2376+4752+2376+952</f>
        <v>596326.5</v>
      </c>
      <c r="M162" s="7">
        <f>83313+742+594+635+594+594+1188+594+238</f>
        <v>88492</v>
      </c>
      <c r="N162" s="163">
        <f>L162/M162</f>
        <v>6.738761695972517</v>
      </c>
      <c r="O162" s="90">
        <v>152</v>
      </c>
    </row>
    <row r="163" spans="1:15" s="83" customFormat="1" ht="12" customHeight="1">
      <c r="A163" s="84">
        <v>153</v>
      </c>
      <c r="B163" s="180" t="s">
        <v>299</v>
      </c>
      <c r="C163" s="2">
        <v>40389</v>
      </c>
      <c r="D163" s="13" t="s">
        <v>10</v>
      </c>
      <c r="E163" s="3">
        <v>139</v>
      </c>
      <c r="F163" s="3">
        <v>1</v>
      </c>
      <c r="G163" s="3">
        <v>23</v>
      </c>
      <c r="H163" s="375">
        <v>9523</v>
      </c>
      <c r="I163" s="376">
        <v>1587</v>
      </c>
      <c r="J163" s="96">
        <f aca="true" t="shared" si="28" ref="J163:J169">I163/F163</f>
        <v>1587</v>
      </c>
      <c r="K163" s="169">
        <f t="shared" si="25"/>
        <v>6.000630119722747</v>
      </c>
      <c r="L163" s="36">
        <v>11041118</v>
      </c>
      <c r="M163" s="35">
        <v>1103147</v>
      </c>
      <c r="N163" s="181">
        <f aca="true" t="shared" si="29" ref="N163:N171">+L163/M163</f>
        <v>10.008745887900705</v>
      </c>
      <c r="O163" s="90">
        <v>153</v>
      </c>
    </row>
    <row r="164" spans="1:15" s="83" customFormat="1" ht="12" customHeight="1">
      <c r="A164" s="84">
        <v>154</v>
      </c>
      <c r="B164" s="180" t="s">
        <v>299</v>
      </c>
      <c r="C164" s="2">
        <v>40389</v>
      </c>
      <c r="D164" s="13" t="s">
        <v>10</v>
      </c>
      <c r="E164" s="3">
        <v>139</v>
      </c>
      <c r="F164" s="3">
        <v>2</v>
      </c>
      <c r="G164" s="3">
        <v>22</v>
      </c>
      <c r="H164" s="375">
        <v>1178</v>
      </c>
      <c r="I164" s="376">
        <v>911</v>
      </c>
      <c r="J164" s="96">
        <f t="shared" si="28"/>
        <v>455.5</v>
      </c>
      <c r="K164" s="169">
        <f t="shared" si="25"/>
        <v>1.2930845225027443</v>
      </c>
      <c r="L164" s="36">
        <v>11031595</v>
      </c>
      <c r="M164" s="35">
        <v>1101560</v>
      </c>
      <c r="N164" s="181">
        <f t="shared" si="29"/>
        <v>10.014520316641853</v>
      </c>
      <c r="O164" s="90">
        <v>154</v>
      </c>
    </row>
    <row r="165" spans="1:15" s="83" customFormat="1" ht="12" customHeight="1">
      <c r="A165" s="84">
        <v>155</v>
      </c>
      <c r="B165" s="422" t="s">
        <v>300</v>
      </c>
      <c r="C165" s="374">
        <v>40480</v>
      </c>
      <c r="D165" s="105" t="s">
        <v>8</v>
      </c>
      <c r="E165" s="106">
        <v>1</v>
      </c>
      <c r="F165" s="4">
        <v>1</v>
      </c>
      <c r="G165" s="4">
        <v>15</v>
      </c>
      <c r="H165" s="464">
        <v>961</v>
      </c>
      <c r="I165" s="465">
        <v>135</v>
      </c>
      <c r="J165" s="218">
        <f t="shared" si="28"/>
        <v>135</v>
      </c>
      <c r="K165" s="297">
        <f t="shared" si="25"/>
        <v>7.118518518518519</v>
      </c>
      <c r="L165" s="5">
        <v>16922</v>
      </c>
      <c r="M165" s="6">
        <v>1420</v>
      </c>
      <c r="N165" s="89">
        <f t="shared" si="29"/>
        <v>11.916901408450704</v>
      </c>
      <c r="O165" s="90">
        <v>155</v>
      </c>
    </row>
    <row r="166" spans="1:15" s="83" customFormat="1" ht="12" customHeight="1">
      <c r="A166" s="84">
        <v>156</v>
      </c>
      <c r="B166" s="422" t="s">
        <v>300</v>
      </c>
      <c r="C166" s="100">
        <v>40480</v>
      </c>
      <c r="D166" s="105" t="s">
        <v>8</v>
      </c>
      <c r="E166" s="106">
        <v>1</v>
      </c>
      <c r="F166" s="4">
        <v>1</v>
      </c>
      <c r="G166" s="329">
        <v>16</v>
      </c>
      <c r="H166" s="464">
        <v>574</v>
      </c>
      <c r="I166" s="465">
        <v>81</v>
      </c>
      <c r="J166" s="87">
        <f t="shared" si="28"/>
        <v>81</v>
      </c>
      <c r="K166" s="88">
        <f t="shared" si="25"/>
        <v>7.08641975308642</v>
      </c>
      <c r="L166" s="5">
        <v>17076</v>
      </c>
      <c r="M166" s="6">
        <v>1441</v>
      </c>
      <c r="N166" s="89">
        <f t="shared" si="29"/>
        <v>11.850104094378903</v>
      </c>
      <c r="O166" s="90">
        <v>156</v>
      </c>
    </row>
    <row r="167" spans="1:15" s="83" customFormat="1" ht="12" customHeight="1">
      <c r="A167" s="84">
        <v>157</v>
      </c>
      <c r="B167" s="422" t="s">
        <v>300</v>
      </c>
      <c r="C167" s="100">
        <v>40480</v>
      </c>
      <c r="D167" s="105" t="s">
        <v>8</v>
      </c>
      <c r="E167" s="106">
        <v>1</v>
      </c>
      <c r="F167" s="106">
        <v>1</v>
      </c>
      <c r="G167" s="106">
        <v>13</v>
      </c>
      <c r="H167" s="491">
        <v>492</v>
      </c>
      <c r="I167" s="492">
        <v>72</v>
      </c>
      <c r="J167" s="218">
        <f t="shared" si="28"/>
        <v>72</v>
      </c>
      <c r="K167" s="297">
        <f t="shared" si="25"/>
        <v>6.833333333333333</v>
      </c>
      <c r="L167" s="17">
        <v>15720</v>
      </c>
      <c r="M167" s="423">
        <v>1252</v>
      </c>
      <c r="N167" s="309">
        <f t="shared" si="29"/>
        <v>12.55591054313099</v>
      </c>
      <c r="O167" s="90">
        <v>157</v>
      </c>
    </row>
    <row r="168" spans="1:15" s="83" customFormat="1" ht="12" customHeight="1">
      <c r="A168" s="84">
        <v>158</v>
      </c>
      <c r="B168" s="559" t="s">
        <v>300</v>
      </c>
      <c r="C168" s="100">
        <v>40480</v>
      </c>
      <c r="D168" s="541" t="s">
        <v>8</v>
      </c>
      <c r="E168" s="18">
        <v>1</v>
      </c>
      <c r="F168" s="18">
        <v>1</v>
      </c>
      <c r="G168" s="18">
        <v>19</v>
      </c>
      <c r="H168" s="491">
        <v>453</v>
      </c>
      <c r="I168" s="492">
        <v>47</v>
      </c>
      <c r="J168" s="218">
        <f t="shared" si="28"/>
        <v>47</v>
      </c>
      <c r="K168" s="297">
        <f t="shared" si="25"/>
        <v>9.638297872340425</v>
      </c>
      <c r="L168" s="17">
        <v>18344</v>
      </c>
      <c r="M168" s="423">
        <v>1585</v>
      </c>
      <c r="N168" s="309">
        <f t="shared" si="29"/>
        <v>11.573501577287066</v>
      </c>
      <c r="O168" s="90">
        <v>158</v>
      </c>
    </row>
    <row r="169" spans="1:15" s="83" customFormat="1" ht="12" customHeight="1">
      <c r="A169" s="84">
        <v>159</v>
      </c>
      <c r="B169" s="559" t="s">
        <v>300</v>
      </c>
      <c r="C169" s="100">
        <v>40480</v>
      </c>
      <c r="D169" s="541" t="s">
        <v>8</v>
      </c>
      <c r="E169" s="18">
        <v>1</v>
      </c>
      <c r="F169" s="18">
        <v>1</v>
      </c>
      <c r="G169" s="18">
        <v>18</v>
      </c>
      <c r="H169" s="464">
        <v>436</v>
      </c>
      <c r="I169" s="465">
        <v>49</v>
      </c>
      <c r="J169" s="87">
        <f t="shared" si="28"/>
        <v>49</v>
      </c>
      <c r="K169" s="88">
        <f t="shared" si="25"/>
        <v>8.89795918367347</v>
      </c>
      <c r="L169" s="5">
        <v>17891</v>
      </c>
      <c r="M169" s="6">
        <v>1538</v>
      </c>
      <c r="N169" s="89">
        <f t="shared" si="29"/>
        <v>11.632639791937581</v>
      </c>
      <c r="O169" s="90">
        <v>159</v>
      </c>
    </row>
    <row r="170" spans="1:15" s="83" customFormat="1" ht="12" customHeight="1">
      <c r="A170" s="84">
        <v>160</v>
      </c>
      <c r="B170" s="185" t="s">
        <v>300</v>
      </c>
      <c r="C170" s="2">
        <v>40480</v>
      </c>
      <c r="D170" s="15" t="s">
        <v>8</v>
      </c>
      <c r="E170" s="4">
        <v>1</v>
      </c>
      <c r="F170" s="4">
        <v>1</v>
      </c>
      <c r="G170" s="4">
        <v>9</v>
      </c>
      <c r="H170" s="464">
        <v>368</v>
      </c>
      <c r="I170" s="465">
        <v>57</v>
      </c>
      <c r="J170" s="87">
        <f>+I170/F170</f>
        <v>57</v>
      </c>
      <c r="K170" s="187">
        <f>+H170/I170</f>
        <v>6.456140350877193</v>
      </c>
      <c r="L170" s="5">
        <v>14543</v>
      </c>
      <c r="M170" s="6">
        <v>1072</v>
      </c>
      <c r="N170" s="188">
        <f t="shared" si="29"/>
        <v>13.566231343283581</v>
      </c>
      <c r="O170" s="90">
        <v>160</v>
      </c>
    </row>
    <row r="171" spans="1:15" s="83" customFormat="1" ht="12" customHeight="1">
      <c r="A171" s="84">
        <v>161</v>
      </c>
      <c r="B171" s="185" t="s">
        <v>300</v>
      </c>
      <c r="C171" s="2">
        <v>40480</v>
      </c>
      <c r="D171" s="15" t="s">
        <v>8</v>
      </c>
      <c r="E171" s="4">
        <v>1</v>
      </c>
      <c r="F171" s="4">
        <v>1</v>
      </c>
      <c r="G171" s="4">
        <v>11</v>
      </c>
      <c r="H171" s="464">
        <v>341</v>
      </c>
      <c r="I171" s="465">
        <v>57</v>
      </c>
      <c r="J171" s="87">
        <f>+I171/F171</f>
        <v>57</v>
      </c>
      <c r="K171" s="187">
        <f>+H171/I171</f>
        <v>5.982456140350878</v>
      </c>
      <c r="L171" s="5">
        <v>15150</v>
      </c>
      <c r="M171" s="6">
        <v>1167</v>
      </c>
      <c r="N171" s="188">
        <f t="shared" si="29"/>
        <v>12.982005141388175</v>
      </c>
      <c r="O171" s="90">
        <v>161</v>
      </c>
    </row>
    <row r="172" spans="1:15" s="83" customFormat="1" ht="12" customHeight="1">
      <c r="A172" s="84">
        <v>162</v>
      </c>
      <c r="B172" s="422" t="s">
        <v>300</v>
      </c>
      <c r="C172" s="100">
        <v>40480</v>
      </c>
      <c r="D172" s="105" t="s">
        <v>8</v>
      </c>
      <c r="E172" s="4">
        <v>1</v>
      </c>
      <c r="F172" s="4">
        <v>1</v>
      </c>
      <c r="G172" s="4">
        <v>16</v>
      </c>
      <c r="H172" s="464">
        <v>288</v>
      </c>
      <c r="I172" s="465">
        <v>32</v>
      </c>
      <c r="J172" s="87">
        <f>I172/F172</f>
        <v>32</v>
      </c>
      <c r="K172" s="88">
        <f>H172/I172</f>
        <v>9</v>
      </c>
      <c r="L172" s="5">
        <v>1473</v>
      </c>
      <c r="M172" s="6">
        <v>17363</v>
      </c>
      <c r="N172" s="92">
        <f>L172/M172</f>
        <v>0.08483556988999597</v>
      </c>
      <c r="O172" s="90">
        <v>162</v>
      </c>
    </row>
    <row r="173" spans="1:15" s="83" customFormat="1" ht="12" customHeight="1">
      <c r="A173" s="84">
        <v>163</v>
      </c>
      <c r="B173" s="185" t="s">
        <v>300</v>
      </c>
      <c r="C173" s="2">
        <v>40480</v>
      </c>
      <c r="D173" s="15" t="s">
        <v>8</v>
      </c>
      <c r="E173" s="4">
        <v>1</v>
      </c>
      <c r="F173" s="4">
        <v>1</v>
      </c>
      <c r="G173" s="4">
        <v>10</v>
      </c>
      <c r="H173" s="464">
        <v>266</v>
      </c>
      <c r="I173" s="465">
        <v>38</v>
      </c>
      <c r="J173" s="87">
        <f>+I173/F173</f>
        <v>38</v>
      </c>
      <c r="K173" s="187">
        <f>+H173/I173</f>
        <v>7</v>
      </c>
      <c r="L173" s="5">
        <v>14809</v>
      </c>
      <c r="M173" s="6">
        <v>1110</v>
      </c>
      <c r="N173" s="188">
        <f>+L173/M173</f>
        <v>13.341441441441441</v>
      </c>
      <c r="O173" s="90">
        <v>163</v>
      </c>
    </row>
    <row r="174" spans="1:15" s="83" customFormat="1" ht="12" customHeight="1">
      <c r="A174" s="84">
        <v>164</v>
      </c>
      <c r="B174" s="422" t="s">
        <v>300</v>
      </c>
      <c r="C174" s="100">
        <v>40480</v>
      </c>
      <c r="D174" s="105" t="s">
        <v>8</v>
      </c>
      <c r="E174" s="106">
        <v>1</v>
      </c>
      <c r="F174" s="4">
        <v>1</v>
      </c>
      <c r="G174" s="4">
        <v>14</v>
      </c>
      <c r="H174" s="464">
        <v>241</v>
      </c>
      <c r="I174" s="465">
        <v>33</v>
      </c>
      <c r="J174" s="218">
        <f>I174/F174</f>
        <v>33</v>
      </c>
      <c r="K174" s="297">
        <f>H174/I174</f>
        <v>7.303030303030303</v>
      </c>
      <c r="L174" s="5">
        <v>15961</v>
      </c>
      <c r="M174" s="6">
        <v>1285</v>
      </c>
      <c r="N174" s="92">
        <f>L174/M174</f>
        <v>12.421011673151751</v>
      </c>
      <c r="O174" s="90">
        <v>164</v>
      </c>
    </row>
    <row r="175" spans="1:15" s="83" customFormat="1" ht="12" customHeight="1">
      <c r="A175" s="84">
        <v>165</v>
      </c>
      <c r="B175" s="422" t="s">
        <v>300</v>
      </c>
      <c r="C175" s="100">
        <v>40480</v>
      </c>
      <c r="D175" s="105" t="s">
        <v>8</v>
      </c>
      <c r="E175" s="4">
        <v>1</v>
      </c>
      <c r="F175" s="4">
        <v>1</v>
      </c>
      <c r="G175" s="4">
        <v>17</v>
      </c>
      <c r="H175" s="464">
        <v>92</v>
      </c>
      <c r="I175" s="465">
        <v>16</v>
      </c>
      <c r="J175" s="87">
        <f>I175/F175</f>
        <v>16</v>
      </c>
      <c r="K175" s="88">
        <f>H175/I175</f>
        <v>5.75</v>
      </c>
      <c r="L175" s="5">
        <v>17455</v>
      </c>
      <c r="M175" s="6">
        <v>1489</v>
      </c>
      <c r="N175" s="89">
        <f>+L175/M175</f>
        <v>11.722632639355272</v>
      </c>
      <c r="O175" s="90">
        <v>165</v>
      </c>
    </row>
    <row r="176" spans="1:15" s="83" customFormat="1" ht="12" customHeight="1">
      <c r="A176" s="84">
        <v>166</v>
      </c>
      <c r="B176" s="185" t="s">
        <v>300</v>
      </c>
      <c r="C176" s="2">
        <v>40480</v>
      </c>
      <c r="D176" s="15" t="s">
        <v>8</v>
      </c>
      <c r="E176" s="4">
        <v>21</v>
      </c>
      <c r="F176" s="4">
        <v>1</v>
      </c>
      <c r="G176" s="4">
        <v>12</v>
      </c>
      <c r="H176" s="464">
        <v>78</v>
      </c>
      <c r="I176" s="465">
        <v>13</v>
      </c>
      <c r="J176" s="96">
        <f>I176/F176</f>
        <v>13</v>
      </c>
      <c r="K176" s="169">
        <f>H176/I176</f>
        <v>6</v>
      </c>
      <c r="L176" s="5">
        <v>15228</v>
      </c>
      <c r="M176" s="6">
        <v>1180</v>
      </c>
      <c r="N176" s="188">
        <f>+L176/M176</f>
        <v>12.905084745762712</v>
      </c>
      <c r="O176" s="90">
        <v>166</v>
      </c>
    </row>
    <row r="177" spans="1:15" s="83" customFormat="1" ht="12" customHeight="1">
      <c r="A177" s="84">
        <v>167</v>
      </c>
      <c r="B177" s="205" t="s">
        <v>300</v>
      </c>
      <c r="C177" s="2">
        <v>40480</v>
      </c>
      <c r="D177" s="19" t="s">
        <v>8</v>
      </c>
      <c r="E177" s="4">
        <v>1</v>
      </c>
      <c r="F177" s="4">
        <v>1</v>
      </c>
      <c r="G177" s="4">
        <v>8</v>
      </c>
      <c r="H177" s="491">
        <v>42</v>
      </c>
      <c r="I177" s="465">
        <v>6</v>
      </c>
      <c r="J177" s="87">
        <f>+I177/F177</f>
        <v>6</v>
      </c>
      <c r="K177" s="189">
        <f>+H177/I177</f>
        <v>7</v>
      </c>
      <c r="L177" s="17">
        <v>14175</v>
      </c>
      <c r="M177" s="6">
        <v>1015</v>
      </c>
      <c r="N177" s="188">
        <f>+L177/M177</f>
        <v>13.96551724137931</v>
      </c>
      <c r="O177" s="90">
        <v>167</v>
      </c>
    </row>
    <row r="178" spans="1:15" s="83" customFormat="1" ht="12" customHeight="1">
      <c r="A178" s="84">
        <v>168</v>
      </c>
      <c r="B178" s="178" t="s">
        <v>301</v>
      </c>
      <c r="C178" s="26">
        <v>39710</v>
      </c>
      <c r="D178" s="165" t="s">
        <v>32</v>
      </c>
      <c r="E178" s="167">
        <v>1</v>
      </c>
      <c r="F178" s="167">
        <v>1</v>
      </c>
      <c r="G178" s="167">
        <v>16</v>
      </c>
      <c r="H178" s="475">
        <v>236</v>
      </c>
      <c r="I178" s="476">
        <v>59</v>
      </c>
      <c r="J178" s="168">
        <f>(I178/F178)</f>
        <v>59</v>
      </c>
      <c r="K178" s="166">
        <f>H178/I178</f>
        <v>4</v>
      </c>
      <c r="L178" s="20">
        <f>11305+5960+2538+2056+455+891+1621+1302+712+1484+1484+1424+1188+1188+1188+236</f>
        <v>35032</v>
      </c>
      <c r="M178" s="21">
        <f>835+676+295+239+136+275+187+148+178+371+371+356+297+297+297+59</f>
        <v>5017</v>
      </c>
      <c r="N178" s="163">
        <f>L178/M178</f>
        <v>6.982658959537572</v>
      </c>
      <c r="O178" s="90">
        <v>168</v>
      </c>
    </row>
    <row r="179" spans="1:15" s="83" customFormat="1" ht="12" customHeight="1">
      <c r="A179" s="84">
        <v>169</v>
      </c>
      <c r="B179" s="178" t="s">
        <v>302</v>
      </c>
      <c r="C179" s="26">
        <v>39997</v>
      </c>
      <c r="D179" s="165" t="s">
        <v>32</v>
      </c>
      <c r="E179" s="167">
        <v>5</v>
      </c>
      <c r="F179" s="167">
        <v>1</v>
      </c>
      <c r="G179" s="167">
        <v>21</v>
      </c>
      <c r="H179" s="325">
        <v>952</v>
      </c>
      <c r="I179" s="326">
        <v>238</v>
      </c>
      <c r="J179" s="97">
        <f>(I179/F179)</f>
        <v>238</v>
      </c>
      <c r="K179" s="161">
        <f>H179/I179</f>
        <v>4</v>
      </c>
      <c r="L179" s="8">
        <f>18914.5+7321+4028.5+1674+6130+4818.5+6984.5+5012.5+1695+4556+3587.5+1286+2931+2868+2878.5+3369+1780+1780+162+63+952</f>
        <v>82791.5</v>
      </c>
      <c r="M179" s="7">
        <f>1467+674+673+324+645+765+779+620+311+670+508+195+503+424+502+755+445+445+35+21+238</f>
        <v>10999</v>
      </c>
      <c r="N179" s="163">
        <f>L179/M179</f>
        <v>7.527184289480862</v>
      </c>
      <c r="O179" s="90">
        <v>169</v>
      </c>
    </row>
    <row r="180" spans="1:15" s="83" customFormat="1" ht="12" customHeight="1">
      <c r="A180" s="84">
        <v>170</v>
      </c>
      <c r="B180" s="249" t="s">
        <v>267</v>
      </c>
      <c r="C180" s="100">
        <v>40445</v>
      </c>
      <c r="D180" s="101" t="s">
        <v>268</v>
      </c>
      <c r="E180" s="106">
        <v>3</v>
      </c>
      <c r="F180" s="106">
        <v>1</v>
      </c>
      <c r="G180" s="106">
        <v>11</v>
      </c>
      <c r="H180" s="325">
        <v>968</v>
      </c>
      <c r="I180" s="326">
        <v>96</v>
      </c>
      <c r="J180" s="87">
        <f>I180/F180</f>
        <v>96</v>
      </c>
      <c r="K180" s="88">
        <f>H180/I180</f>
        <v>10.083333333333334</v>
      </c>
      <c r="L180" s="194">
        <v>25133</v>
      </c>
      <c r="M180" s="193">
        <v>2678</v>
      </c>
      <c r="N180" s="92">
        <f>L180/M180</f>
        <v>9.384988797610157</v>
      </c>
      <c r="O180" s="90">
        <v>170</v>
      </c>
    </row>
    <row r="181" spans="1:15" s="83" customFormat="1" ht="12" customHeight="1">
      <c r="A181" s="84">
        <v>171</v>
      </c>
      <c r="B181" s="249" t="s">
        <v>267</v>
      </c>
      <c r="C181" s="100">
        <v>40445</v>
      </c>
      <c r="D181" s="101" t="s">
        <v>268</v>
      </c>
      <c r="E181" s="106">
        <v>3</v>
      </c>
      <c r="F181" s="106">
        <v>1</v>
      </c>
      <c r="G181" s="106">
        <v>12</v>
      </c>
      <c r="H181" s="380">
        <v>844</v>
      </c>
      <c r="I181" s="381">
        <v>84</v>
      </c>
      <c r="J181" s="87">
        <f>I181/F181</f>
        <v>84</v>
      </c>
      <c r="K181" s="88">
        <f>H181/I181</f>
        <v>10.047619047619047</v>
      </c>
      <c r="L181" s="370">
        <v>25977</v>
      </c>
      <c r="M181" s="371">
        <v>9405</v>
      </c>
      <c r="N181" s="89">
        <f>+L181/M181</f>
        <v>2.762041467304625</v>
      </c>
      <c r="O181" s="90">
        <v>171</v>
      </c>
    </row>
    <row r="182" spans="1:15" s="83" customFormat="1" ht="12" customHeight="1">
      <c r="A182" s="84">
        <v>172</v>
      </c>
      <c r="B182" s="158" t="s">
        <v>303</v>
      </c>
      <c r="C182" s="26">
        <v>40424</v>
      </c>
      <c r="D182" s="165" t="s">
        <v>32</v>
      </c>
      <c r="E182" s="27">
        <v>5</v>
      </c>
      <c r="F182" s="27">
        <v>1</v>
      </c>
      <c r="G182" s="27">
        <v>10</v>
      </c>
      <c r="H182" s="325">
        <v>1188</v>
      </c>
      <c r="I182" s="326">
        <v>297</v>
      </c>
      <c r="J182" s="97">
        <f>(I182/F182)</f>
        <v>297</v>
      </c>
      <c r="K182" s="161">
        <f>H182/I182</f>
        <v>4</v>
      </c>
      <c r="L182" s="8">
        <f>11822.5+3468.5+3273+3742.5+3152+1092+927+1058+2153.5+1188</f>
        <v>31877</v>
      </c>
      <c r="M182" s="7">
        <f>827+293+410+398+368+137+124+170+462+297</f>
        <v>3486</v>
      </c>
      <c r="N182" s="163">
        <f>L182/M182</f>
        <v>9.144291451520367</v>
      </c>
      <c r="O182" s="90">
        <v>172</v>
      </c>
    </row>
    <row r="183" spans="1:15" s="83" customFormat="1" ht="12" customHeight="1">
      <c r="A183" s="84">
        <v>173</v>
      </c>
      <c r="B183" s="185" t="s">
        <v>304</v>
      </c>
      <c r="C183" s="2">
        <v>39647</v>
      </c>
      <c r="D183" s="14" t="s">
        <v>21</v>
      </c>
      <c r="E183" s="4">
        <v>108</v>
      </c>
      <c r="F183" s="4">
        <v>1</v>
      </c>
      <c r="G183" s="4">
        <v>20</v>
      </c>
      <c r="H183" s="452">
        <v>3020</v>
      </c>
      <c r="I183" s="453">
        <v>604</v>
      </c>
      <c r="J183" s="87">
        <f>+I183/F183</f>
        <v>604</v>
      </c>
      <c r="K183" s="187">
        <f>+H183/I183</f>
        <v>5</v>
      </c>
      <c r="L183" s="29">
        <f>4275145.5+3020</f>
        <v>4278165.5</v>
      </c>
      <c r="M183" s="32">
        <f>437002+604</f>
        <v>437606</v>
      </c>
      <c r="N183" s="188">
        <f>IF(L183&lt;&gt;0,L183/M183,"")</f>
        <v>9.776295343299681</v>
      </c>
      <c r="O183" s="90">
        <v>173</v>
      </c>
    </row>
    <row r="184" spans="1:15" s="83" customFormat="1" ht="12" customHeight="1">
      <c r="A184" s="84">
        <v>174</v>
      </c>
      <c r="B184" s="182" t="s">
        <v>155</v>
      </c>
      <c r="C184" s="2">
        <v>40452</v>
      </c>
      <c r="D184" s="13" t="s">
        <v>21</v>
      </c>
      <c r="E184" s="3">
        <v>67</v>
      </c>
      <c r="F184" s="3">
        <v>3</v>
      </c>
      <c r="G184" s="3">
        <v>12</v>
      </c>
      <c r="H184" s="452">
        <v>1188</v>
      </c>
      <c r="I184" s="453">
        <v>297</v>
      </c>
      <c r="J184" s="87">
        <f>IF(H184&lt;&gt;0,I184/F184,"")</f>
        <v>99</v>
      </c>
      <c r="K184" s="187">
        <f>IF(H184&lt;&gt;0,H184/I184,"")</f>
        <v>4</v>
      </c>
      <c r="L184" s="29">
        <f>148907+7057+8529+4040+573.5+1227+412+727+521+258+1188</f>
        <v>173439.5</v>
      </c>
      <c r="M184" s="32">
        <f>14954+1128+1323+621+141+331+59+105+73+51+297</f>
        <v>19083</v>
      </c>
      <c r="N184" s="188">
        <f>IF(L184&lt;&gt;0,L184/M184,"")</f>
        <v>9.08869150552848</v>
      </c>
      <c r="O184" s="90">
        <v>174</v>
      </c>
    </row>
    <row r="185" spans="1:15" s="83" customFormat="1" ht="12" customHeight="1">
      <c r="A185" s="84">
        <v>175</v>
      </c>
      <c r="B185" s="182" t="s">
        <v>155</v>
      </c>
      <c r="C185" s="2">
        <v>40452</v>
      </c>
      <c r="D185" s="16" t="s">
        <v>21</v>
      </c>
      <c r="E185" s="3">
        <v>67</v>
      </c>
      <c r="F185" s="3">
        <v>3</v>
      </c>
      <c r="G185" s="3">
        <v>11</v>
      </c>
      <c r="H185" s="479">
        <v>258</v>
      </c>
      <c r="I185" s="453">
        <v>51</v>
      </c>
      <c r="J185" s="87">
        <f>IF(H185&lt;&gt;0,I185/F185,"")</f>
        <v>17</v>
      </c>
      <c r="K185" s="189">
        <f>IF(H185&lt;&gt;0,H185/I185,"")</f>
        <v>5.0588235294117645</v>
      </c>
      <c r="L185" s="28">
        <f>148907+7057+8529+4040+573.5+1227+412+727+521+H185</f>
        <v>172251.5</v>
      </c>
      <c r="M185" s="32">
        <f>14954+1128+1323+621+141+331+59+105+73+I185</f>
        <v>18786</v>
      </c>
      <c r="N185" s="188">
        <f>IF(L185&lt;&gt;0,L185/M185,"")</f>
        <v>9.16914191419142</v>
      </c>
      <c r="O185" s="90">
        <v>175</v>
      </c>
    </row>
    <row r="186" spans="1:15" s="83" customFormat="1" ht="12" customHeight="1">
      <c r="A186" s="84">
        <v>176</v>
      </c>
      <c r="B186" s="185" t="s">
        <v>155</v>
      </c>
      <c r="C186" s="2">
        <v>40452</v>
      </c>
      <c r="D186" s="14" t="s">
        <v>21</v>
      </c>
      <c r="E186" s="4">
        <v>67</v>
      </c>
      <c r="F186" s="4">
        <v>1</v>
      </c>
      <c r="G186" s="4">
        <v>13</v>
      </c>
      <c r="H186" s="479">
        <v>129</v>
      </c>
      <c r="I186" s="490">
        <v>19</v>
      </c>
      <c r="J186" s="218">
        <f>IF(H186&lt;&gt;0,I186/F186,"")</f>
        <v>19</v>
      </c>
      <c r="K186" s="189">
        <f>IF(H186&lt;&gt;0,H186/I186,"")</f>
        <v>6.7894736842105265</v>
      </c>
      <c r="L186" s="28">
        <f>148907+7057+8529+4040+573.5+1227+412+727+521+258+1188+129</f>
        <v>173568.5</v>
      </c>
      <c r="M186" s="23">
        <f>14954+1128+1323+621+141+331+59+105+73+51+297+19</f>
        <v>19102</v>
      </c>
      <c r="N186" s="188">
        <f>IF(L186&lt;&gt;0,L186/M186,"")</f>
        <v>9.086404564967019</v>
      </c>
      <c r="O186" s="90">
        <v>176</v>
      </c>
    </row>
    <row r="187" spans="1:15" s="83" customFormat="1" ht="12" customHeight="1">
      <c r="A187" s="84">
        <v>177</v>
      </c>
      <c r="B187" s="403" t="s">
        <v>305</v>
      </c>
      <c r="C187" s="404">
        <v>40368</v>
      </c>
      <c r="D187" s="165" t="s">
        <v>32</v>
      </c>
      <c r="E187" s="405">
        <v>126</v>
      </c>
      <c r="F187" s="405">
        <v>1</v>
      </c>
      <c r="G187" s="405">
        <v>23</v>
      </c>
      <c r="H187" s="325">
        <v>1782</v>
      </c>
      <c r="I187" s="326">
        <v>445</v>
      </c>
      <c r="J187" s="97">
        <f>(I187/F187)</f>
        <v>445</v>
      </c>
      <c r="K187" s="161">
        <f aca="true" t="shared" si="30" ref="K187:K194">H187/I187</f>
        <v>4.004494382022472</v>
      </c>
      <c r="L187" s="8">
        <f>2106797.5+50230.5+32558.5+15249.5+15137+17418.5+7784.5+2808+2841.5+1328+2453+1693+613+726+713+1425.5+1782+1437+1782</f>
        <v>2264778</v>
      </c>
      <c r="M187" s="7">
        <f>220679+7944+5486+2451+2714+3159+1414+494+658+202+452+398+85+227+178+356+445+228+445</f>
        <v>248015</v>
      </c>
      <c r="N187" s="163">
        <f>L187/M187</f>
        <v>9.131617039291978</v>
      </c>
      <c r="O187" s="90">
        <v>177</v>
      </c>
    </row>
    <row r="188" spans="1:15" s="83" customFormat="1" ht="12" customHeight="1">
      <c r="A188" s="84">
        <v>178</v>
      </c>
      <c r="B188" s="451" t="s">
        <v>305</v>
      </c>
      <c r="C188" s="171">
        <v>40368</v>
      </c>
      <c r="D188" s="101" t="s">
        <v>32</v>
      </c>
      <c r="E188" s="172">
        <v>126</v>
      </c>
      <c r="F188" s="172">
        <v>1</v>
      </c>
      <c r="G188" s="172">
        <v>25</v>
      </c>
      <c r="H188" s="325">
        <v>1544.5</v>
      </c>
      <c r="I188" s="326">
        <v>386</v>
      </c>
      <c r="J188" s="87">
        <f aca="true" t="shared" si="31" ref="J188:J193">I188/F188</f>
        <v>386</v>
      </c>
      <c r="K188" s="88">
        <f t="shared" si="30"/>
        <v>4.001295336787565</v>
      </c>
      <c r="L188" s="8">
        <f>2106797.5+50230.5+32558.5+15249.5+15137+17418.5+7784.5+2808+2841.5+1328+2453+1693+613+726+713+1425.5+1782+1437+1782+2376+1544.5</f>
        <v>2268698.5</v>
      </c>
      <c r="M188" s="7">
        <f>220679+7944+5486+2451+2714+3159+1414+494+658+202+452+398+85+227+178+356+445+228+445+594+386</f>
        <v>248995</v>
      </c>
      <c r="N188" s="89">
        <f>+L188/M188</f>
        <v>9.111421916102733</v>
      </c>
      <c r="O188" s="90">
        <v>178</v>
      </c>
    </row>
    <row r="189" spans="1:15" s="83" customFormat="1" ht="12" customHeight="1">
      <c r="A189" s="84">
        <v>179</v>
      </c>
      <c r="B189" s="451" t="s">
        <v>306</v>
      </c>
      <c r="C189" s="171">
        <v>40368</v>
      </c>
      <c r="D189" s="101" t="s">
        <v>32</v>
      </c>
      <c r="E189" s="172">
        <v>126</v>
      </c>
      <c r="F189" s="172">
        <v>1</v>
      </c>
      <c r="G189" s="172">
        <v>26</v>
      </c>
      <c r="H189" s="325">
        <v>2376</v>
      </c>
      <c r="I189" s="326">
        <v>594</v>
      </c>
      <c r="J189" s="218">
        <f t="shared" si="31"/>
        <v>594</v>
      </c>
      <c r="K189" s="297">
        <f t="shared" si="30"/>
        <v>4</v>
      </c>
      <c r="L189" s="8">
        <f>2106797.5+50230.5+32558.5+15249.5+15137+17418.5+7784.5+2808+2841.5+1328+2453+1693+613+726+713+1425.5+1782+1437+1782+2376+1544.5+2376</f>
        <v>2271074.5</v>
      </c>
      <c r="M189" s="7">
        <f>220679+7944+5486+2451+2714+3159+1414+494+658+202+452+398+85+227+178+356+445+228+445+594+386+594</f>
        <v>249589</v>
      </c>
      <c r="N189" s="92">
        <f>+L189/M189</f>
        <v>9.09925717880195</v>
      </c>
      <c r="O189" s="90">
        <v>179</v>
      </c>
    </row>
    <row r="190" spans="1:15" s="83" customFormat="1" ht="12" customHeight="1">
      <c r="A190" s="84">
        <v>180</v>
      </c>
      <c r="B190" s="417" t="s">
        <v>306</v>
      </c>
      <c r="C190" s="418">
        <v>40368</v>
      </c>
      <c r="D190" s="101" t="s">
        <v>32</v>
      </c>
      <c r="E190" s="420">
        <v>126</v>
      </c>
      <c r="F190" s="172">
        <v>1</v>
      </c>
      <c r="G190" s="322">
        <v>24</v>
      </c>
      <c r="H190" s="325">
        <v>2376</v>
      </c>
      <c r="I190" s="326">
        <v>594</v>
      </c>
      <c r="J190" s="87">
        <f t="shared" si="31"/>
        <v>594</v>
      </c>
      <c r="K190" s="88">
        <f t="shared" si="30"/>
        <v>4</v>
      </c>
      <c r="L190" s="8">
        <f>2106797.5+50230.5+32558.5+15249.5+15137+17418.5+7784.5+2808+2841.5+1328+2453+1693+613+726+713+1425.5+1782+1437+1782+2376</f>
        <v>2267154</v>
      </c>
      <c r="M190" s="7">
        <f>220679+7944+5486+2451+2714+3159+1414+494+658+202+452+398+85+227+178+356+445+228+445+594</f>
        <v>248609</v>
      </c>
      <c r="N190" s="92">
        <f>L190/M190</f>
        <v>9.11935609732552</v>
      </c>
      <c r="O190" s="90">
        <v>180</v>
      </c>
    </row>
    <row r="191" spans="1:15" s="83" customFormat="1" ht="12" customHeight="1">
      <c r="A191" s="84">
        <v>181</v>
      </c>
      <c r="B191" s="567" t="s">
        <v>306</v>
      </c>
      <c r="C191" s="171">
        <v>40368</v>
      </c>
      <c r="D191" s="537" t="s">
        <v>32</v>
      </c>
      <c r="E191" s="543">
        <v>126</v>
      </c>
      <c r="F191" s="543">
        <v>1</v>
      </c>
      <c r="G191" s="543">
        <v>28</v>
      </c>
      <c r="H191" s="475">
        <v>1188</v>
      </c>
      <c r="I191" s="476">
        <v>297</v>
      </c>
      <c r="J191" s="218">
        <f t="shared" si="31"/>
        <v>297</v>
      </c>
      <c r="K191" s="297">
        <f t="shared" si="30"/>
        <v>4</v>
      </c>
      <c r="L191" s="20">
        <f>2106797.5+50230.5+32558.5+15249.5+15137+17418.5+7784.5+2808+2841.5+1328+2453+1693+613+726+713+1425.5+1782+1437+1782+2376+1544.5+2376+1188+1188</f>
        <v>2273450.5</v>
      </c>
      <c r="M191" s="21">
        <f>220679+7944+5486+2451+2714+3159+1414+494+658+202+452+398+85+227+178+356+445+228+445+594+386+594+297+297</f>
        <v>250183</v>
      </c>
      <c r="N191" s="298">
        <f>+L191/M191</f>
        <v>9.087150206049172</v>
      </c>
      <c r="O191" s="90">
        <v>181</v>
      </c>
    </row>
    <row r="192" spans="1:15" s="83" customFormat="1" ht="12" customHeight="1">
      <c r="A192" s="84">
        <v>182</v>
      </c>
      <c r="B192" s="557" t="s">
        <v>306</v>
      </c>
      <c r="C192" s="418">
        <v>40368</v>
      </c>
      <c r="D192" s="101" t="s">
        <v>32</v>
      </c>
      <c r="E192" s="420">
        <v>126</v>
      </c>
      <c r="F192" s="172">
        <v>1</v>
      </c>
      <c r="G192" s="420">
        <v>27</v>
      </c>
      <c r="H192" s="325">
        <v>1188</v>
      </c>
      <c r="I192" s="326">
        <v>297</v>
      </c>
      <c r="J192" s="87">
        <f t="shared" si="31"/>
        <v>297</v>
      </c>
      <c r="K192" s="88">
        <f t="shared" si="30"/>
        <v>4</v>
      </c>
      <c r="L192" s="8">
        <f>2106797.5+50230.5+32558.5+15249.5+15137+17418.5+7784.5+2808+2841.5+1328+2453+1693+613+726+713+1425.5+1782+1437+1782+2376+1544.5+2376+1188</f>
        <v>2272262.5</v>
      </c>
      <c r="M192" s="7">
        <f>220679+7944+5486+2451+2714+3159+1414+494+658+202+452+398+85+227+178+356+445+228+445+594+386+594+297</f>
        <v>249886</v>
      </c>
      <c r="N192" s="89">
        <f>+L192/M192</f>
        <v>9.093196497602907</v>
      </c>
      <c r="O192" s="90">
        <v>182</v>
      </c>
    </row>
    <row r="193" spans="1:15" s="83" customFormat="1" ht="12" customHeight="1">
      <c r="A193" s="84">
        <v>183</v>
      </c>
      <c r="B193" s="451" t="s">
        <v>366</v>
      </c>
      <c r="C193" s="171">
        <v>40284</v>
      </c>
      <c r="D193" s="101" t="s">
        <v>32</v>
      </c>
      <c r="E193" s="172">
        <v>14</v>
      </c>
      <c r="F193" s="172">
        <v>1</v>
      </c>
      <c r="G193" s="172">
        <v>23</v>
      </c>
      <c r="H193" s="325">
        <v>1425.5</v>
      </c>
      <c r="I193" s="326">
        <v>356</v>
      </c>
      <c r="J193" s="87">
        <f t="shared" si="31"/>
        <v>356</v>
      </c>
      <c r="K193" s="88">
        <f t="shared" si="30"/>
        <v>4.004213483146067</v>
      </c>
      <c r="L193" s="8">
        <f>45403.5+26416+19522+5885+5520+2576+2604+1325+840+957.5+196+2970+1095+960+1330+1159+1173+1901+475+2019.5+1188+1307+1425.5</f>
        <v>128248</v>
      </c>
      <c r="M193" s="7">
        <f>4053+2594+2599+732+962+495+470+215+146+347+28+743+229+194+270+236+188+475+119+505+297+327+356</f>
        <v>16580</v>
      </c>
      <c r="N193" s="92">
        <f>L193/M193</f>
        <v>7.735102533172497</v>
      </c>
      <c r="O193" s="90">
        <v>183</v>
      </c>
    </row>
    <row r="194" spans="1:15" s="83" customFormat="1" ht="12" customHeight="1">
      <c r="A194" s="84">
        <v>184</v>
      </c>
      <c r="B194" s="158" t="s">
        <v>156</v>
      </c>
      <c r="C194" s="26">
        <v>40284</v>
      </c>
      <c r="D194" s="24" t="s">
        <v>32</v>
      </c>
      <c r="E194" s="27">
        <v>14</v>
      </c>
      <c r="F194" s="27">
        <v>1</v>
      </c>
      <c r="G194" s="27">
        <v>22</v>
      </c>
      <c r="H194" s="325">
        <v>1307</v>
      </c>
      <c r="I194" s="326">
        <v>327</v>
      </c>
      <c r="J194" s="97">
        <f>(I194/F194)</f>
        <v>327</v>
      </c>
      <c r="K194" s="161">
        <f t="shared" si="30"/>
        <v>3.996941896024465</v>
      </c>
      <c r="L194" s="8">
        <f>45403.5+26416+19522+5885+5520+2576+2604+1325+840+957.5+196+2970+1095+960+1330+1159+1173+1901+475+2019.5+1188+1307</f>
        <v>126822.5</v>
      </c>
      <c r="M194" s="7">
        <f>4053+2594+2599+732+962+495+470+215+146+347+28+743+229+194+270+236+188+475+119+505+297+327</f>
        <v>16224</v>
      </c>
      <c r="N194" s="163">
        <f>L194/M194</f>
        <v>7.816968688362919</v>
      </c>
      <c r="O194" s="90">
        <v>184</v>
      </c>
    </row>
    <row r="195" spans="1:15" s="83" customFormat="1" ht="12" customHeight="1">
      <c r="A195" s="84">
        <v>185</v>
      </c>
      <c r="B195" s="185" t="s">
        <v>157</v>
      </c>
      <c r="C195" s="2">
        <v>40480</v>
      </c>
      <c r="D195" s="14" t="s">
        <v>21</v>
      </c>
      <c r="E195" s="4">
        <v>71</v>
      </c>
      <c r="F195" s="4">
        <v>2</v>
      </c>
      <c r="G195" s="4">
        <v>11</v>
      </c>
      <c r="H195" s="452">
        <v>3270</v>
      </c>
      <c r="I195" s="453">
        <v>654</v>
      </c>
      <c r="J195" s="87">
        <f>IF(H195&lt;&gt;0,I195/F195,"")</f>
        <v>327</v>
      </c>
      <c r="K195" s="187">
        <f>IF(H195&lt;&gt;0,H195/I195,"")</f>
        <v>5</v>
      </c>
      <c r="L195" s="29">
        <f>72774.5+23673+5827+3625+7534.5+38620+936+11563+4979+496.5+3270</f>
        <v>173298.5</v>
      </c>
      <c r="M195" s="32">
        <f>8533+3652+916+601+1795+7393+145+2290+697+79+654</f>
        <v>26755</v>
      </c>
      <c r="N195" s="188">
        <f>IF(L195&lt;&gt;0,L195/M195,"")</f>
        <v>6.4772378994580455</v>
      </c>
      <c r="O195" s="90">
        <v>185</v>
      </c>
    </row>
    <row r="196" spans="1:15" s="83" customFormat="1" ht="12" customHeight="1">
      <c r="A196" s="84">
        <v>186</v>
      </c>
      <c r="B196" s="182" t="s">
        <v>157</v>
      </c>
      <c r="C196" s="2">
        <v>40480</v>
      </c>
      <c r="D196" s="13" t="s">
        <v>21</v>
      </c>
      <c r="E196" s="3">
        <v>71</v>
      </c>
      <c r="F196" s="3">
        <v>1</v>
      </c>
      <c r="G196" s="3">
        <v>12</v>
      </c>
      <c r="H196" s="452">
        <v>526</v>
      </c>
      <c r="I196" s="453">
        <v>85</v>
      </c>
      <c r="J196" s="87">
        <f>IF(H196&lt;&gt;0,I196/F196,"")</f>
        <v>85</v>
      </c>
      <c r="K196" s="187">
        <f>IF(H196&lt;&gt;0,H196/I196,"")</f>
        <v>6.188235294117647</v>
      </c>
      <c r="L196" s="29">
        <f>72774.5+23673+5827+3625+7534.5+38620+936+11563+4979+496.5+3270+526</f>
        <v>173824.5</v>
      </c>
      <c r="M196" s="33">
        <f>8533+3652+916+601+1795+7393+145+2290+697+79+654+85</f>
        <v>26840</v>
      </c>
      <c r="N196" s="188">
        <f>IF(L196&lt;&gt;0,L196/M196,"")</f>
        <v>6.476322652757079</v>
      </c>
      <c r="O196" s="90">
        <v>186</v>
      </c>
    </row>
    <row r="197" spans="1:15" s="83" customFormat="1" ht="12" customHeight="1">
      <c r="A197" s="84">
        <v>187</v>
      </c>
      <c r="B197" s="182" t="s">
        <v>157</v>
      </c>
      <c r="C197" s="2">
        <v>40480</v>
      </c>
      <c r="D197" s="16" t="s">
        <v>21</v>
      </c>
      <c r="E197" s="3">
        <v>71</v>
      </c>
      <c r="F197" s="3">
        <v>8</v>
      </c>
      <c r="G197" s="3">
        <v>10</v>
      </c>
      <c r="H197" s="479">
        <v>496.5</v>
      </c>
      <c r="I197" s="453">
        <v>79</v>
      </c>
      <c r="J197" s="87">
        <f>IF(H197&lt;&gt;0,I197/F197,"")</f>
        <v>9.875</v>
      </c>
      <c r="K197" s="189">
        <f>IF(H197&lt;&gt;0,H197/I197,"")</f>
        <v>6.284810126582278</v>
      </c>
      <c r="L197" s="28">
        <f>72774.5+23673+5827+3625+7534.5+38620+936+11563+4979+H197</f>
        <v>170028.5</v>
      </c>
      <c r="M197" s="33">
        <f>8533+3652+916+601+1795+7393+145+2290+697+I197</f>
        <v>26101</v>
      </c>
      <c r="N197" s="188">
        <f>IF(L197&lt;&gt;0,L197/M197,"")</f>
        <v>6.514252327497031</v>
      </c>
      <c r="O197" s="90">
        <v>187</v>
      </c>
    </row>
    <row r="198" spans="1:15" s="83" customFormat="1" ht="12" customHeight="1">
      <c r="A198" s="84">
        <v>188</v>
      </c>
      <c r="B198" s="217" t="s">
        <v>307</v>
      </c>
      <c r="C198" s="2">
        <v>40067</v>
      </c>
      <c r="D198" s="13" t="s">
        <v>21</v>
      </c>
      <c r="E198" s="3">
        <v>105</v>
      </c>
      <c r="F198" s="3">
        <v>2</v>
      </c>
      <c r="G198" s="3">
        <v>48</v>
      </c>
      <c r="H198" s="452">
        <v>3071</v>
      </c>
      <c r="I198" s="453">
        <v>592</v>
      </c>
      <c r="J198" s="87">
        <f>IF(H198&lt;&gt;0,I198/F198,"")</f>
        <v>296</v>
      </c>
      <c r="K198" s="187">
        <f>IF(H198&lt;&gt;0,H198/I198,"")</f>
        <v>5.1875</v>
      </c>
      <c r="L198" s="29">
        <f>645861.5+391+1223+705+141+3564+3071</f>
        <v>654956.5</v>
      </c>
      <c r="M198" s="32">
        <f>78550+64+202+109+20+713+592</f>
        <v>80250</v>
      </c>
      <c r="N198" s="188">
        <f>IF(L198&lt;&gt;0,L198/M198,"")</f>
        <v>8.161451713395639</v>
      </c>
      <c r="O198" s="90">
        <v>188</v>
      </c>
    </row>
    <row r="199" spans="1:15" s="83" customFormat="1" ht="12" customHeight="1">
      <c r="A199" s="84">
        <v>189</v>
      </c>
      <c r="B199" s="164" t="s">
        <v>308</v>
      </c>
      <c r="C199" s="26">
        <v>40473</v>
      </c>
      <c r="D199" s="165" t="s">
        <v>32</v>
      </c>
      <c r="E199" s="27">
        <v>30</v>
      </c>
      <c r="F199" s="27">
        <v>10</v>
      </c>
      <c r="G199" s="27">
        <v>11</v>
      </c>
      <c r="H199" s="475">
        <v>8357</v>
      </c>
      <c r="I199" s="326">
        <v>1374</v>
      </c>
      <c r="J199" s="97">
        <f>(I199/F199)</f>
        <v>137.4</v>
      </c>
      <c r="K199" s="166">
        <f aca="true" t="shared" si="32" ref="K199:K208">H199/I199</f>
        <v>6.082241630276565</v>
      </c>
      <c r="L199" s="20">
        <f>140269+106844+7979+4849+4700.5+7059+2232+1390+2769+13917+8357</f>
        <v>300365.5</v>
      </c>
      <c r="M199" s="7">
        <f>11518+8629+641+577+660+1341+325+348+324+2259+1374</f>
        <v>27996</v>
      </c>
      <c r="N199" s="163">
        <f>L199/M199</f>
        <v>10.728871981711674</v>
      </c>
      <c r="O199" s="90">
        <v>189</v>
      </c>
    </row>
    <row r="200" spans="1:15" s="83" customFormat="1" ht="12" customHeight="1">
      <c r="A200" s="84">
        <v>190</v>
      </c>
      <c r="B200" s="170" t="s">
        <v>308</v>
      </c>
      <c r="C200" s="171">
        <v>40473</v>
      </c>
      <c r="D200" s="165" t="s">
        <v>32</v>
      </c>
      <c r="E200" s="172">
        <v>30</v>
      </c>
      <c r="F200" s="172">
        <v>3</v>
      </c>
      <c r="G200" s="172">
        <v>13</v>
      </c>
      <c r="H200" s="469">
        <v>4704</v>
      </c>
      <c r="I200" s="470">
        <v>506</v>
      </c>
      <c r="J200" s="173">
        <f>(I200/F200)</f>
        <v>168.66666666666666</v>
      </c>
      <c r="K200" s="174">
        <f t="shared" si="32"/>
        <v>9.296442687747035</v>
      </c>
      <c r="L200" s="175">
        <f>140269+106844+7979+4849+4700.5+7059+2232+1390+2769+13917+8357+891.5+4704</f>
        <v>305961</v>
      </c>
      <c r="M200" s="176">
        <f>11518+8629+641+577+660+1341+325+348+324+2259+1374+332+506</f>
        <v>28834</v>
      </c>
      <c r="N200" s="177">
        <f>L200/M200</f>
        <v>10.61111881806201</v>
      </c>
      <c r="O200" s="90">
        <v>190</v>
      </c>
    </row>
    <row r="201" spans="1:15" s="83" customFormat="1" ht="12" customHeight="1">
      <c r="A201" s="84">
        <v>191</v>
      </c>
      <c r="B201" s="170" t="s">
        <v>308</v>
      </c>
      <c r="C201" s="171">
        <v>40473</v>
      </c>
      <c r="D201" s="165" t="s">
        <v>32</v>
      </c>
      <c r="E201" s="172">
        <v>30</v>
      </c>
      <c r="F201" s="172">
        <v>1</v>
      </c>
      <c r="G201" s="172">
        <v>14</v>
      </c>
      <c r="H201" s="469">
        <v>1307</v>
      </c>
      <c r="I201" s="470">
        <v>327</v>
      </c>
      <c r="J201" s="173">
        <f>(I201/F201)</f>
        <v>327</v>
      </c>
      <c r="K201" s="174">
        <f t="shared" si="32"/>
        <v>3.996941896024465</v>
      </c>
      <c r="L201" s="175">
        <f>140269+106844+7979+4849+4700.5+7059+2232+1390+2769+13917+8357+891.5+4704+1307</f>
        <v>307268</v>
      </c>
      <c r="M201" s="176">
        <f>11518+8629+641+577+660+1341+325+348+324+2259+1374+332+506+327</f>
        <v>29161</v>
      </c>
      <c r="N201" s="177">
        <f>L201/M201</f>
        <v>10.536950036006996</v>
      </c>
      <c r="O201" s="90">
        <v>191</v>
      </c>
    </row>
    <row r="202" spans="1:15" s="83" customFormat="1" ht="12" customHeight="1">
      <c r="A202" s="84">
        <v>192</v>
      </c>
      <c r="B202" s="178" t="s">
        <v>308</v>
      </c>
      <c r="C202" s="26">
        <v>40473</v>
      </c>
      <c r="D202" s="165" t="s">
        <v>32</v>
      </c>
      <c r="E202" s="167">
        <v>30</v>
      </c>
      <c r="F202" s="167">
        <v>1</v>
      </c>
      <c r="G202" s="167">
        <v>15</v>
      </c>
      <c r="H202" s="325">
        <v>1076</v>
      </c>
      <c r="I202" s="326">
        <v>114</v>
      </c>
      <c r="J202" s="97">
        <f>(I202/F202)</f>
        <v>114</v>
      </c>
      <c r="K202" s="161">
        <f t="shared" si="32"/>
        <v>9.43859649122807</v>
      </c>
      <c r="L202" s="8">
        <f>140269+106844+7979+4849+4700.5+7059+2232+1390+2769+13917+8357+891.5+4704+1307+1076</f>
        <v>308344</v>
      </c>
      <c r="M202" s="7">
        <f>11518+8629+641+577+660+1341+325+348+324+2259+1374+332+506+327+114</f>
        <v>29275</v>
      </c>
      <c r="N202" s="163">
        <f>L202/M202</f>
        <v>10.53267292912041</v>
      </c>
      <c r="O202" s="90">
        <v>192</v>
      </c>
    </row>
    <row r="203" spans="1:15" s="83" customFormat="1" ht="12" customHeight="1">
      <c r="A203" s="84">
        <v>193</v>
      </c>
      <c r="B203" s="451" t="s">
        <v>308</v>
      </c>
      <c r="C203" s="171">
        <v>40473</v>
      </c>
      <c r="D203" s="101" t="s">
        <v>32</v>
      </c>
      <c r="E203" s="172">
        <v>30</v>
      </c>
      <c r="F203" s="172">
        <v>1</v>
      </c>
      <c r="G203" s="172">
        <v>17</v>
      </c>
      <c r="H203" s="325">
        <v>973</v>
      </c>
      <c r="I203" s="326">
        <v>109</v>
      </c>
      <c r="J203" s="218">
        <f>I203/F203</f>
        <v>109</v>
      </c>
      <c r="K203" s="297">
        <f t="shared" si="32"/>
        <v>8.926605504587156</v>
      </c>
      <c r="L203" s="8">
        <f>140269+106844+7979+4849+4700.5+7059+2232+1390+2769+13917+8357+891.5+4704+1307+1076+311+973</f>
        <v>309628</v>
      </c>
      <c r="M203" s="7">
        <f>11518+8629+641+577+660+1341+325+348+324+2259+1374+332+506+327+114+46+109</f>
        <v>29430</v>
      </c>
      <c r="N203" s="92">
        <f>+L203/M203</f>
        <v>10.520829085966701</v>
      </c>
      <c r="O203" s="90">
        <v>193</v>
      </c>
    </row>
    <row r="204" spans="1:15" s="83" customFormat="1" ht="12" customHeight="1">
      <c r="A204" s="84">
        <v>194</v>
      </c>
      <c r="B204" s="158" t="s">
        <v>308</v>
      </c>
      <c r="C204" s="26">
        <v>40473</v>
      </c>
      <c r="D204" s="165" t="s">
        <v>32</v>
      </c>
      <c r="E204" s="27">
        <v>30</v>
      </c>
      <c r="F204" s="27">
        <v>1</v>
      </c>
      <c r="G204" s="27">
        <v>12</v>
      </c>
      <c r="H204" s="325">
        <v>891.5</v>
      </c>
      <c r="I204" s="326">
        <v>332</v>
      </c>
      <c r="J204" s="97">
        <f>(I204/F204)</f>
        <v>332</v>
      </c>
      <c r="K204" s="161">
        <f t="shared" si="32"/>
        <v>2.6852409638554215</v>
      </c>
      <c r="L204" s="8">
        <f>140269+106844+7979+4849+4700.5+7059+2232+1390+2769+13917+8357+891.5</f>
        <v>301257</v>
      </c>
      <c r="M204" s="7">
        <f>11518+8629+641+577+660+1341+325+348+324+2259+1374+332</f>
        <v>28328</v>
      </c>
      <c r="N204" s="163">
        <f>L204/M204</f>
        <v>10.63460180739904</v>
      </c>
      <c r="O204" s="90">
        <v>194</v>
      </c>
    </row>
    <row r="205" spans="1:15" s="83" customFormat="1" ht="12" customHeight="1">
      <c r="A205" s="84">
        <v>195</v>
      </c>
      <c r="B205" s="158" t="s">
        <v>308</v>
      </c>
      <c r="C205" s="26">
        <v>40473</v>
      </c>
      <c r="D205" s="24" t="s">
        <v>32</v>
      </c>
      <c r="E205" s="27">
        <v>30</v>
      </c>
      <c r="F205" s="27">
        <v>1</v>
      </c>
      <c r="G205" s="27">
        <v>16</v>
      </c>
      <c r="H205" s="325">
        <v>311</v>
      </c>
      <c r="I205" s="326">
        <v>46</v>
      </c>
      <c r="J205" s="97">
        <f>(I205/F205)</f>
        <v>46</v>
      </c>
      <c r="K205" s="161">
        <f t="shared" si="32"/>
        <v>6.760869565217392</v>
      </c>
      <c r="L205" s="8">
        <f>140269+106844+7979+4849+4700.5+7059+2232+1390+2769+13917+8357+891.5+4704+1307+1076+311</f>
        <v>308655</v>
      </c>
      <c r="M205" s="7">
        <f>11518+8629+641+577+660+1341+325+348+324+2259+1374+332+506+327+114+46</f>
        <v>29321</v>
      </c>
      <c r="N205" s="163">
        <f>L205/M205</f>
        <v>10.526755567681866</v>
      </c>
      <c r="O205" s="90">
        <v>195</v>
      </c>
    </row>
    <row r="206" spans="1:15" s="83" customFormat="1" ht="12" customHeight="1">
      <c r="A206" s="84">
        <v>196</v>
      </c>
      <c r="B206" s="409" t="s">
        <v>309</v>
      </c>
      <c r="C206" s="404">
        <v>40438</v>
      </c>
      <c r="D206" s="24" t="s">
        <v>32</v>
      </c>
      <c r="E206" s="410">
        <v>19</v>
      </c>
      <c r="F206" s="410">
        <v>1</v>
      </c>
      <c r="G206" s="410">
        <v>14</v>
      </c>
      <c r="H206" s="325">
        <v>1425.5</v>
      </c>
      <c r="I206" s="326">
        <v>356</v>
      </c>
      <c r="J206" s="97">
        <f>(I206/F206)</f>
        <v>356</v>
      </c>
      <c r="K206" s="161">
        <f t="shared" si="32"/>
        <v>4.004213483146067</v>
      </c>
      <c r="L206" s="8">
        <f>56752.5+38871+22868.5+4839+2786+2829.5+8012+670+1368+140+42+628+1188+1425.5</f>
        <v>142420</v>
      </c>
      <c r="M206" s="7">
        <f>4639+3072+2103+531+316+368+936+83+203+20+6+98+297+356</f>
        <v>13028</v>
      </c>
      <c r="N206" s="163">
        <f>L206/M206</f>
        <v>10.931839115750691</v>
      </c>
      <c r="O206" s="90">
        <v>196</v>
      </c>
    </row>
    <row r="207" spans="1:15" s="83" customFormat="1" ht="12" customHeight="1">
      <c r="A207" s="84">
        <v>197</v>
      </c>
      <c r="B207" s="411" t="s">
        <v>309</v>
      </c>
      <c r="C207" s="404">
        <v>40438</v>
      </c>
      <c r="D207" s="165" t="s">
        <v>32</v>
      </c>
      <c r="E207" s="410">
        <v>19</v>
      </c>
      <c r="F207" s="410">
        <v>1</v>
      </c>
      <c r="G207" s="410">
        <v>13</v>
      </c>
      <c r="H207" s="475">
        <v>1188</v>
      </c>
      <c r="I207" s="326">
        <v>297</v>
      </c>
      <c r="J207" s="97">
        <f>(I207/F207)</f>
        <v>297</v>
      </c>
      <c r="K207" s="166">
        <f t="shared" si="32"/>
        <v>4</v>
      </c>
      <c r="L207" s="20">
        <f>56752.5+38871+22868.5+4839+2786+2829.5+8012+670+1368+140+42+628+1188</f>
        <v>140994.5</v>
      </c>
      <c r="M207" s="7">
        <f>4639+3072+2103+531+316+368+936+83+203+20+6+98+297</f>
        <v>12672</v>
      </c>
      <c r="N207" s="163">
        <f>L207/M207</f>
        <v>11.12645991161616</v>
      </c>
      <c r="O207" s="90">
        <v>197</v>
      </c>
    </row>
    <row r="208" spans="1:15" s="83" customFormat="1" ht="12" customHeight="1">
      <c r="A208" s="84">
        <v>198</v>
      </c>
      <c r="B208" s="178" t="s">
        <v>310</v>
      </c>
      <c r="C208" s="26">
        <v>39871</v>
      </c>
      <c r="D208" s="165" t="s">
        <v>32</v>
      </c>
      <c r="E208" s="167">
        <v>1</v>
      </c>
      <c r="F208" s="167">
        <v>1</v>
      </c>
      <c r="G208" s="167">
        <v>24</v>
      </c>
      <c r="H208" s="325">
        <v>952</v>
      </c>
      <c r="I208" s="326">
        <v>238</v>
      </c>
      <c r="J208" s="97">
        <f>(I208/F208)</f>
        <v>238</v>
      </c>
      <c r="K208" s="161">
        <f t="shared" si="32"/>
        <v>4</v>
      </c>
      <c r="L208" s="8">
        <f>1088+1510+1304+856+387+214+424+106+162+130+476+60.5+118+96+1664+1780+454+259.5+1188+119.5+1188+1780+1780+1780+952</f>
        <v>19876.5</v>
      </c>
      <c r="M208" s="7">
        <f>267+175+155+102+46+26+51+12+18+16+57+8+22+16+416+445+57+31+297+19+297+445+445+445+238</f>
        <v>4106</v>
      </c>
      <c r="N208" s="163">
        <f>L208/M208</f>
        <v>4.840842669264491</v>
      </c>
      <c r="O208" s="90">
        <v>198</v>
      </c>
    </row>
    <row r="209" spans="1:15" s="83" customFormat="1" ht="12" customHeight="1">
      <c r="A209" s="84">
        <v>199</v>
      </c>
      <c r="B209" s="182" t="s">
        <v>311</v>
      </c>
      <c r="C209" s="2">
        <v>40529</v>
      </c>
      <c r="D209" s="16" t="s">
        <v>10</v>
      </c>
      <c r="E209" s="3">
        <v>72</v>
      </c>
      <c r="F209" s="3">
        <v>71</v>
      </c>
      <c r="G209" s="3">
        <v>3</v>
      </c>
      <c r="H209" s="477">
        <v>165182</v>
      </c>
      <c r="I209" s="376">
        <v>14707</v>
      </c>
      <c r="J209" s="96">
        <f aca="true" t="shared" si="33" ref="J209:J214">I209/F209</f>
        <v>207.14084507042253</v>
      </c>
      <c r="K209" s="220">
        <f>+H209/I209</f>
        <v>11.231522404297273</v>
      </c>
      <c r="L209" s="184">
        <v>909930</v>
      </c>
      <c r="M209" s="35">
        <v>83118</v>
      </c>
      <c r="N209" s="181">
        <f aca="true" t="shared" si="34" ref="N209:N215">+L209/M209</f>
        <v>10.94744820616473</v>
      </c>
      <c r="O209" s="90">
        <v>199</v>
      </c>
    </row>
    <row r="210" spans="1:15" s="83" customFormat="1" ht="12" customHeight="1">
      <c r="A210" s="84">
        <v>200</v>
      </c>
      <c r="B210" s="185" t="s">
        <v>311</v>
      </c>
      <c r="C210" s="2">
        <v>40529</v>
      </c>
      <c r="D210" s="14" t="s">
        <v>10</v>
      </c>
      <c r="E210" s="4">
        <v>72</v>
      </c>
      <c r="F210" s="4">
        <v>3</v>
      </c>
      <c r="G210" s="4">
        <v>5</v>
      </c>
      <c r="H210" s="375">
        <v>3407</v>
      </c>
      <c r="I210" s="376">
        <v>461</v>
      </c>
      <c r="J210" s="96">
        <f t="shared" si="33"/>
        <v>153.66666666666666</v>
      </c>
      <c r="K210" s="169">
        <f>H210/I210</f>
        <v>7.390455531453362</v>
      </c>
      <c r="L210" s="36">
        <v>915738</v>
      </c>
      <c r="M210" s="35">
        <v>84149</v>
      </c>
      <c r="N210" s="181">
        <f t="shared" si="34"/>
        <v>10.88233965941366</v>
      </c>
      <c r="O210" s="90">
        <v>200</v>
      </c>
    </row>
    <row r="211" spans="1:15" s="83" customFormat="1" ht="12" customHeight="1">
      <c r="A211" s="84">
        <v>201</v>
      </c>
      <c r="B211" s="180" t="s">
        <v>311</v>
      </c>
      <c r="C211" s="2">
        <v>40529</v>
      </c>
      <c r="D211" s="16" t="s">
        <v>10</v>
      </c>
      <c r="E211" s="3">
        <v>72</v>
      </c>
      <c r="F211" s="3">
        <v>2</v>
      </c>
      <c r="G211" s="3">
        <v>4</v>
      </c>
      <c r="H211" s="375">
        <v>2401</v>
      </c>
      <c r="I211" s="376">
        <v>570</v>
      </c>
      <c r="J211" s="96">
        <f t="shared" si="33"/>
        <v>285</v>
      </c>
      <c r="K211" s="169">
        <f>H211/I211</f>
        <v>4.212280701754386</v>
      </c>
      <c r="L211" s="36">
        <v>912331</v>
      </c>
      <c r="M211" s="35">
        <v>83688</v>
      </c>
      <c r="N211" s="181">
        <f t="shared" si="34"/>
        <v>10.901574897237358</v>
      </c>
      <c r="O211" s="90">
        <v>201</v>
      </c>
    </row>
    <row r="212" spans="1:15" s="83" customFormat="1" ht="12" customHeight="1">
      <c r="A212" s="84">
        <v>202</v>
      </c>
      <c r="B212" s="180" t="s">
        <v>311</v>
      </c>
      <c r="C212" s="2">
        <v>40529</v>
      </c>
      <c r="D212" s="13" t="s">
        <v>10</v>
      </c>
      <c r="E212" s="3">
        <v>72</v>
      </c>
      <c r="F212" s="3">
        <v>4</v>
      </c>
      <c r="G212" s="3">
        <v>7</v>
      </c>
      <c r="H212" s="375">
        <v>2361</v>
      </c>
      <c r="I212" s="376">
        <v>403</v>
      </c>
      <c r="J212" s="96">
        <f t="shared" si="33"/>
        <v>100.75</v>
      </c>
      <c r="K212" s="169">
        <f>H212/I212</f>
        <v>5.858560794044665</v>
      </c>
      <c r="L212" s="36">
        <v>919279</v>
      </c>
      <c r="M212" s="35">
        <v>84735</v>
      </c>
      <c r="N212" s="181">
        <f t="shared" si="34"/>
        <v>10.848870006490824</v>
      </c>
      <c r="O212" s="90">
        <v>202</v>
      </c>
    </row>
    <row r="213" spans="1:15" s="83" customFormat="1" ht="12" customHeight="1">
      <c r="A213" s="84">
        <v>203</v>
      </c>
      <c r="B213" s="182" t="s">
        <v>311</v>
      </c>
      <c r="C213" s="2">
        <v>40529</v>
      </c>
      <c r="D213" s="13" t="s">
        <v>10</v>
      </c>
      <c r="E213" s="3">
        <v>72</v>
      </c>
      <c r="F213" s="3">
        <v>2</v>
      </c>
      <c r="G213" s="3">
        <v>6</v>
      </c>
      <c r="H213" s="375">
        <v>1181</v>
      </c>
      <c r="I213" s="376">
        <v>183</v>
      </c>
      <c r="J213" s="96">
        <f t="shared" si="33"/>
        <v>91.5</v>
      </c>
      <c r="K213" s="169">
        <f>H213/I213</f>
        <v>6.453551912568306</v>
      </c>
      <c r="L213" s="36">
        <v>916919</v>
      </c>
      <c r="M213" s="35">
        <v>84332</v>
      </c>
      <c r="N213" s="181">
        <f t="shared" si="34"/>
        <v>10.87272921311009</v>
      </c>
      <c r="O213" s="90">
        <v>203</v>
      </c>
    </row>
    <row r="214" spans="1:15" s="83" customFormat="1" ht="12" customHeight="1">
      <c r="A214" s="84">
        <v>204</v>
      </c>
      <c r="B214" s="185" t="s">
        <v>311</v>
      </c>
      <c r="C214" s="2">
        <v>40529</v>
      </c>
      <c r="D214" s="14" t="s">
        <v>10</v>
      </c>
      <c r="E214" s="4">
        <v>72</v>
      </c>
      <c r="F214" s="4">
        <v>1</v>
      </c>
      <c r="G214" s="4">
        <v>8</v>
      </c>
      <c r="H214" s="375">
        <v>500</v>
      </c>
      <c r="I214" s="376">
        <v>70</v>
      </c>
      <c r="J214" s="96">
        <f t="shared" si="33"/>
        <v>70</v>
      </c>
      <c r="K214" s="169">
        <f>H214/I214</f>
        <v>7.142857142857143</v>
      </c>
      <c r="L214" s="36">
        <v>919779</v>
      </c>
      <c r="M214" s="35">
        <v>84805</v>
      </c>
      <c r="N214" s="181">
        <f t="shared" si="34"/>
        <v>10.84581097812629</v>
      </c>
      <c r="O214" s="90">
        <v>204</v>
      </c>
    </row>
    <row r="215" spans="1:15" s="83" customFormat="1" ht="12" customHeight="1">
      <c r="A215" s="84">
        <v>205</v>
      </c>
      <c r="B215" s="498" t="s">
        <v>312</v>
      </c>
      <c r="C215" s="424">
        <v>40480</v>
      </c>
      <c r="D215" s="24" t="s">
        <v>140</v>
      </c>
      <c r="E215" s="425">
        <v>15</v>
      </c>
      <c r="F215" s="425">
        <v>1</v>
      </c>
      <c r="G215" s="425">
        <v>9</v>
      </c>
      <c r="H215" s="482">
        <v>2135</v>
      </c>
      <c r="I215" s="483">
        <v>427</v>
      </c>
      <c r="J215" s="99">
        <v>427</v>
      </c>
      <c r="K215" s="245">
        <v>5</v>
      </c>
      <c r="L215" s="195">
        <v>60143</v>
      </c>
      <c r="M215" s="196">
        <v>6696</v>
      </c>
      <c r="N215" s="181">
        <f t="shared" si="34"/>
        <v>8.981929510155316</v>
      </c>
      <c r="O215" s="90">
        <v>205</v>
      </c>
    </row>
    <row r="216" spans="1:15" s="83" customFormat="1" ht="12" customHeight="1">
      <c r="A216" s="84">
        <v>206</v>
      </c>
      <c r="B216" s="426" t="s">
        <v>312</v>
      </c>
      <c r="C216" s="424">
        <v>40480</v>
      </c>
      <c r="D216" s="165" t="s">
        <v>140</v>
      </c>
      <c r="E216" s="427">
        <v>15</v>
      </c>
      <c r="F216" s="427">
        <v>1</v>
      </c>
      <c r="G216" s="167">
        <v>10</v>
      </c>
      <c r="H216" s="482">
        <v>1898</v>
      </c>
      <c r="I216" s="483">
        <v>380</v>
      </c>
      <c r="J216" s="99">
        <v>380</v>
      </c>
      <c r="K216" s="219">
        <v>4.994736842105263</v>
      </c>
      <c r="L216" s="195">
        <v>62041</v>
      </c>
      <c r="M216" s="196">
        <v>7076</v>
      </c>
      <c r="N216" s="197">
        <v>8.767806670435274</v>
      </c>
      <c r="O216" s="90">
        <v>206</v>
      </c>
    </row>
    <row r="217" spans="1:15" s="83" customFormat="1" ht="12" customHeight="1">
      <c r="A217" s="84">
        <v>207</v>
      </c>
      <c r="B217" s="426" t="s">
        <v>312</v>
      </c>
      <c r="C217" s="424">
        <v>40480</v>
      </c>
      <c r="D217" s="428" t="s">
        <v>140</v>
      </c>
      <c r="E217" s="427">
        <v>15</v>
      </c>
      <c r="F217" s="427">
        <v>1</v>
      </c>
      <c r="G217" s="427">
        <v>7</v>
      </c>
      <c r="H217" s="482">
        <v>1779</v>
      </c>
      <c r="I217" s="483">
        <v>356</v>
      </c>
      <c r="J217" s="196">
        <v>356</v>
      </c>
      <c r="K217" s="429">
        <v>4.997191011235955</v>
      </c>
      <c r="L217" s="195">
        <v>57513</v>
      </c>
      <c r="M217" s="196">
        <v>6199</v>
      </c>
      <c r="N217" s="430">
        <v>9.277786739796742</v>
      </c>
      <c r="O217" s="90">
        <v>207</v>
      </c>
    </row>
    <row r="218" spans="1:15" s="83" customFormat="1" ht="12" customHeight="1">
      <c r="A218" s="84">
        <v>208</v>
      </c>
      <c r="B218" s="431" t="s">
        <v>312</v>
      </c>
      <c r="C218" s="432">
        <v>40480</v>
      </c>
      <c r="D218" s="101" t="s">
        <v>140</v>
      </c>
      <c r="E218" s="433">
        <v>15</v>
      </c>
      <c r="F218" s="433">
        <v>1</v>
      </c>
      <c r="G218" s="434">
        <v>11</v>
      </c>
      <c r="H218" s="380">
        <v>1179</v>
      </c>
      <c r="I218" s="381">
        <v>356</v>
      </c>
      <c r="J218" s="87">
        <f>I218/F218</f>
        <v>356</v>
      </c>
      <c r="K218" s="88">
        <f>H218/I218</f>
        <v>3.311797752808989</v>
      </c>
      <c r="L218" s="370">
        <v>63220</v>
      </c>
      <c r="M218" s="371">
        <v>7432</v>
      </c>
      <c r="N218" s="89">
        <f>+L218/M218</f>
        <v>8.506458557588806</v>
      </c>
      <c r="O218" s="90">
        <v>208</v>
      </c>
    </row>
    <row r="219" spans="1:15" s="83" customFormat="1" ht="12" customHeight="1">
      <c r="A219" s="84">
        <v>209</v>
      </c>
      <c r="B219" s="435" t="s">
        <v>312</v>
      </c>
      <c r="C219" s="424">
        <v>40480</v>
      </c>
      <c r="D219" s="436" t="s">
        <v>313</v>
      </c>
      <c r="E219" s="425">
        <v>15</v>
      </c>
      <c r="F219" s="425">
        <v>1</v>
      </c>
      <c r="G219" s="425">
        <v>8</v>
      </c>
      <c r="H219" s="482">
        <v>495</v>
      </c>
      <c r="I219" s="483">
        <v>70</v>
      </c>
      <c r="J219" s="97">
        <f>(I219/F219)</f>
        <v>70</v>
      </c>
      <c r="K219" s="161">
        <f>H219/I219</f>
        <v>7.071428571428571</v>
      </c>
      <c r="L219" s="195">
        <v>58008</v>
      </c>
      <c r="M219" s="196">
        <v>6269</v>
      </c>
      <c r="N219" s="163">
        <f>L219/M219</f>
        <v>9.253150422714947</v>
      </c>
      <c r="O219" s="90">
        <v>209</v>
      </c>
    </row>
    <row r="220" spans="1:15" s="83" customFormat="1" ht="12" customHeight="1">
      <c r="A220" s="84">
        <v>210</v>
      </c>
      <c r="B220" s="191" t="s">
        <v>314</v>
      </c>
      <c r="C220" s="26">
        <v>40536</v>
      </c>
      <c r="D220" s="215" t="s">
        <v>23</v>
      </c>
      <c r="E220" s="27">
        <v>91</v>
      </c>
      <c r="F220" s="27">
        <v>92</v>
      </c>
      <c r="G220" s="27">
        <v>2</v>
      </c>
      <c r="H220" s="489">
        <v>390086</v>
      </c>
      <c r="I220" s="468">
        <v>33581</v>
      </c>
      <c r="J220" s="32">
        <f aca="true" t="shared" si="35" ref="J220:J227">I220/F220</f>
        <v>365.0108695652174</v>
      </c>
      <c r="K220" s="220">
        <f aca="true" t="shared" si="36" ref="K220:K227">+H220/I220</f>
        <v>11.616271105684762</v>
      </c>
      <c r="L220" s="22">
        <v>972705</v>
      </c>
      <c r="M220" s="33">
        <v>84601</v>
      </c>
      <c r="N220" s="213">
        <f aca="true" t="shared" si="37" ref="N220:N227">+L220/M220</f>
        <v>11.497559130506732</v>
      </c>
      <c r="O220" s="90">
        <v>210</v>
      </c>
    </row>
    <row r="221" spans="1:15" s="83" customFormat="1" ht="12" customHeight="1">
      <c r="A221" s="84">
        <v>211</v>
      </c>
      <c r="B221" s="158" t="s">
        <v>314</v>
      </c>
      <c r="C221" s="26">
        <v>40536</v>
      </c>
      <c r="D221" s="215" t="s">
        <v>23</v>
      </c>
      <c r="E221" s="27">
        <v>91</v>
      </c>
      <c r="F221" s="27">
        <v>90</v>
      </c>
      <c r="G221" s="27">
        <v>3</v>
      </c>
      <c r="H221" s="467">
        <v>191201</v>
      </c>
      <c r="I221" s="468">
        <v>16807</v>
      </c>
      <c r="J221" s="32">
        <f t="shared" si="35"/>
        <v>186.74444444444444</v>
      </c>
      <c r="K221" s="212">
        <f t="shared" si="36"/>
        <v>11.37627179151544</v>
      </c>
      <c r="L221" s="30">
        <v>1163906</v>
      </c>
      <c r="M221" s="33">
        <v>101408</v>
      </c>
      <c r="N221" s="213">
        <f t="shared" si="37"/>
        <v>11.477457399810666</v>
      </c>
      <c r="O221" s="90">
        <v>211</v>
      </c>
    </row>
    <row r="222" spans="1:15" s="83" customFormat="1" ht="12" customHeight="1">
      <c r="A222" s="84">
        <v>212</v>
      </c>
      <c r="B222" s="399" t="s">
        <v>314</v>
      </c>
      <c r="C222" s="401">
        <v>40536</v>
      </c>
      <c r="D222" s="402" t="s">
        <v>23</v>
      </c>
      <c r="E222" s="192">
        <v>91</v>
      </c>
      <c r="F222" s="192">
        <v>22</v>
      </c>
      <c r="G222" s="192">
        <v>4</v>
      </c>
      <c r="H222" s="377">
        <v>28672</v>
      </c>
      <c r="I222" s="378">
        <v>2679</v>
      </c>
      <c r="J222" s="193">
        <f t="shared" si="35"/>
        <v>121.77272727272727</v>
      </c>
      <c r="K222" s="246">
        <f t="shared" si="36"/>
        <v>10.702500933184023</v>
      </c>
      <c r="L222" s="194">
        <v>1192578</v>
      </c>
      <c r="M222" s="193">
        <v>104087</v>
      </c>
      <c r="N222" s="247">
        <f t="shared" si="37"/>
        <v>11.45751150479887</v>
      </c>
      <c r="O222" s="90">
        <v>212</v>
      </c>
    </row>
    <row r="223" spans="1:15" s="83" customFormat="1" ht="12" customHeight="1">
      <c r="A223" s="84">
        <v>213</v>
      </c>
      <c r="B223" s="191" t="s">
        <v>314</v>
      </c>
      <c r="C223" s="26">
        <v>40536</v>
      </c>
      <c r="D223" s="222" t="s">
        <v>23</v>
      </c>
      <c r="E223" s="27">
        <v>91</v>
      </c>
      <c r="F223" s="27">
        <v>6</v>
      </c>
      <c r="G223" s="27">
        <v>5</v>
      </c>
      <c r="H223" s="467">
        <v>2455</v>
      </c>
      <c r="I223" s="468">
        <v>339</v>
      </c>
      <c r="J223" s="32">
        <f t="shared" si="35"/>
        <v>56.5</v>
      </c>
      <c r="K223" s="212">
        <f t="shared" si="36"/>
        <v>7.241887905604719</v>
      </c>
      <c r="L223" s="30">
        <v>1195033</v>
      </c>
      <c r="M223" s="33">
        <v>104426</v>
      </c>
      <c r="N223" s="213">
        <f t="shared" si="37"/>
        <v>11.443826250167582</v>
      </c>
      <c r="O223" s="90">
        <v>213</v>
      </c>
    </row>
    <row r="224" spans="1:15" s="83" customFormat="1" ht="12" customHeight="1">
      <c r="A224" s="84">
        <v>214</v>
      </c>
      <c r="B224" s="393" t="s">
        <v>314</v>
      </c>
      <c r="C224" s="26">
        <v>40536</v>
      </c>
      <c r="D224" s="165" t="s">
        <v>23</v>
      </c>
      <c r="E224" s="167">
        <v>91</v>
      </c>
      <c r="F224" s="167">
        <v>3</v>
      </c>
      <c r="G224" s="167">
        <v>10</v>
      </c>
      <c r="H224" s="489">
        <v>1793</v>
      </c>
      <c r="I224" s="493">
        <v>426</v>
      </c>
      <c r="J224" s="23">
        <f t="shared" si="35"/>
        <v>142</v>
      </c>
      <c r="K224" s="220">
        <f t="shared" si="36"/>
        <v>4.208920187793427</v>
      </c>
      <c r="L224" s="22">
        <v>1199776</v>
      </c>
      <c r="M224" s="437">
        <v>105815</v>
      </c>
      <c r="N224" s="213">
        <f t="shared" si="37"/>
        <v>11.338430279260974</v>
      </c>
      <c r="O224" s="90">
        <v>214</v>
      </c>
    </row>
    <row r="225" spans="1:15" s="83" customFormat="1" ht="12" customHeight="1">
      <c r="A225" s="84">
        <v>215</v>
      </c>
      <c r="B225" s="393" t="s">
        <v>314</v>
      </c>
      <c r="C225" s="26">
        <v>40536</v>
      </c>
      <c r="D225" s="165" t="s">
        <v>23</v>
      </c>
      <c r="E225" s="167">
        <v>91</v>
      </c>
      <c r="F225" s="167">
        <v>1</v>
      </c>
      <c r="G225" s="167">
        <v>9</v>
      </c>
      <c r="H225" s="467">
        <v>1546</v>
      </c>
      <c r="I225" s="468">
        <v>759</v>
      </c>
      <c r="J225" s="32">
        <f t="shared" si="35"/>
        <v>759</v>
      </c>
      <c r="K225" s="212">
        <f t="shared" si="36"/>
        <v>2.036890645586298</v>
      </c>
      <c r="L225" s="30">
        <v>1197983</v>
      </c>
      <c r="M225" s="33">
        <v>105389</v>
      </c>
      <c r="N225" s="213">
        <f t="shared" si="37"/>
        <v>11.367248953875642</v>
      </c>
      <c r="O225" s="90">
        <v>215</v>
      </c>
    </row>
    <row r="226" spans="1:15" s="83" customFormat="1" ht="12" customHeight="1">
      <c r="A226" s="84">
        <v>216</v>
      </c>
      <c r="B226" s="158" t="s">
        <v>314</v>
      </c>
      <c r="C226" s="26">
        <v>40536</v>
      </c>
      <c r="D226" s="222" t="s">
        <v>23</v>
      </c>
      <c r="E226" s="27">
        <v>91</v>
      </c>
      <c r="F226" s="27">
        <v>1</v>
      </c>
      <c r="G226" s="27">
        <v>6</v>
      </c>
      <c r="H226" s="467">
        <v>901</v>
      </c>
      <c r="I226" s="468">
        <v>123</v>
      </c>
      <c r="J226" s="32">
        <f t="shared" si="35"/>
        <v>123</v>
      </c>
      <c r="K226" s="212">
        <f t="shared" si="36"/>
        <v>7.32520325203252</v>
      </c>
      <c r="L226" s="30">
        <v>1195880</v>
      </c>
      <c r="M226" s="33">
        <v>104549</v>
      </c>
      <c r="N226" s="181">
        <f t="shared" si="37"/>
        <v>11.438464260777243</v>
      </c>
      <c r="O226" s="90">
        <v>216</v>
      </c>
    </row>
    <row r="227" spans="1:15" s="83" customFormat="1" ht="12" customHeight="1">
      <c r="A227" s="84">
        <v>217</v>
      </c>
      <c r="B227" s="399" t="s">
        <v>314</v>
      </c>
      <c r="C227" s="401">
        <v>40536</v>
      </c>
      <c r="D227" s="402" t="s">
        <v>23</v>
      </c>
      <c r="E227" s="192">
        <v>91</v>
      </c>
      <c r="F227" s="192">
        <v>1</v>
      </c>
      <c r="G227" s="192">
        <v>8</v>
      </c>
      <c r="H227" s="377">
        <v>557</v>
      </c>
      <c r="I227" s="378">
        <v>81</v>
      </c>
      <c r="J227" s="193">
        <f t="shared" si="35"/>
        <v>81</v>
      </c>
      <c r="K227" s="246">
        <f t="shared" si="36"/>
        <v>6.8765432098765435</v>
      </c>
      <c r="L227" s="194">
        <v>1196437</v>
      </c>
      <c r="M227" s="193">
        <v>104630</v>
      </c>
      <c r="N227" s="247">
        <f t="shared" si="37"/>
        <v>11.43493261970754</v>
      </c>
      <c r="O227" s="90">
        <v>217</v>
      </c>
    </row>
    <row r="228" spans="1:15" s="83" customFormat="1" ht="12" customHeight="1">
      <c r="A228" s="84">
        <v>218</v>
      </c>
      <c r="B228" s="441" t="s">
        <v>315</v>
      </c>
      <c r="C228" s="439">
        <v>40193</v>
      </c>
      <c r="D228" s="24" t="s">
        <v>32</v>
      </c>
      <c r="E228" s="440">
        <v>55</v>
      </c>
      <c r="F228" s="440">
        <v>1</v>
      </c>
      <c r="G228" s="440">
        <v>31</v>
      </c>
      <c r="H228" s="325">
        <v>1782</v>
      </c>
      <c r="I228" s="326">
        <v>445</v>
      </c>
      <c r="J228" s="97">
        <f>(I228/F228)</f>
        <v>445</v>
      </c>
      <c r="K228" s="161">
        <f>H228/I228</f>
        <v>4.004494382022472</v>
      </c>
      <c r="L228" s="8">
        <f>197266+158498+94472.5+25746.5+5341+4975+4175+3550+3868+6158+8020+1277+951+3397+4599+198+566+1146+2247.5+174+31.5+2775.5+1188+735+2376+307+324+2613.5+1782+1782+1782</f>
        <v>542322</v>
      </c>
      <c r="M228" s="7">
        <f>19567+17056+12441+3194+866+909+697+693+818+1478+1988+298+238+832+1154+55+212+207+411+57+12+610+297+71+594+46+71+653+445+445+445</f>
        <v>66860</v>
      </c>
      <c r="N228" s="163">
        <f>L228/M228</f>
        <v>8.111307209093628</v>
      </c>
      <c r="O228" s="90">
        <v>218</v>
      </c>
    </row>
    <row r="229" spans="1:15" s="83" customFormat="1" ht="12" customHeight="1">
      <c r="A229" s="84">
        <v>219</v>
      </c>
      <c r="B229" s="438" t="s">
        <v>315</v>
      </c>
      <c r="C229" s="439">
        <v>40193</v>
      </c>
      <c r="D229" s="165" t="s">
        <v>32</v>
      </c>
      <c r="E229" s="440">
        <v>55</v>
      </c>
      <c r="F229" s="440">
        <v>1</v>
      </c>
      <c r="G229" s="440">
        <v>30</v>
      </c>
      <c r="H229" s="325">
        <v>1782</v>
      </c>
      <c r="I229" s="326">
        <v>445</v>
      </c>
      <c r="J229" s="97">
        <f>(I229/F229)</f>
        <v>445</v>
      </c>
      <c r="K229" s="161">
        <f>H229/I229</f>
        <v>4.004494382022472</v>
      </c>
      <c r="L229" s="8">
        <f>197266+158498+94472.5+25746.5+5341+4975+4175+3550+3868+6158+8020+1277+951+3397+4599+198+566+1146+2247.5+174+31.5+2775.5+1188+735+2376+307+324+2613.5+1782+1782</f>
        <v>540540</v>
      </c>
      <c r="M229" s="7">
        <f>19567+17056+12441+3194+866+909+697+693+818+1478+1988+298+238+832+1154+55+212+207+411+57+12+610+297+71+594+46+71+653+445+445</f>
        <v>66415</v>
      </c>
      <c r="N229" s="163">
        <f>L229/M229</f>
        <v>8.138824060829633</v>
      </c>
      <c r="O229" s="90">
        <v>219</v>
      </c>
    </row>
    <row r="230" spans="1:15" s="83" customFormat="1" ht="12" customHeight="1">
      <c r="A230" s="84">
        <v>220</v>
      </c>
      <c r="B230" s="435" t="s">
        <v>315</v>
      </c>
      <c r="C230" s="424">
        <v>40193</v>
      </c>
      <c r="D230" s="165" t="s">
        <v>32</v>
      </c>
      <c r="E230" s="425">
        <v>55</v>
      </c>
      <c r="F230" s="425">
        <v>1</v>
      </c>
      <c r="G230" s="425">
        <v>29</v>
      </c>
      <c r="H230" s="325">
        <v>1782</v>
      </c>
      <c r="I230" s="326">
        <v>445</v>
      </c>
      <c r="J230" s="97">
        <f>(I230/F230)</f>
        <v>445</v>
      </c>
      <c r="K230" s="161">
        <f>H230/I230</f>
        <v>4.004494382022472</v>
      </c>
      <c r="L230" s="8">
        <f>197266+158498+94472.5+25746.5+5341+4975+4175+3550+3868+6158+8020+1277+951+3397+4599+198+566+1146+2247.5+174+31.5+2775.5+1188+735+2376+307+324+2613.5+1782</f>
        <v>538758</v>
      </c>
      <c r="M230" s="7">
        <f>19567+17056+12441+3194+866+909+697+693+818+1478+1988+298+238+832+1154+55+212+207+411+57+12+610+297+71+594+46+71+653+445</f>
        <v>65970</v>
      </c>
      <c r="N230" s="163">
        <f>L230/M230</f>
        <v>8.166712141882673</v>
      </c>
      <c r="O230" s="90">
        <v>220</v>
      </c>
    </row>
    <row r="231" spans="1:15" s="83" customFormat="1" ht="12" customHeight="1">
      <c r="A231" s="84">
        <v>221</v>
      </c>
      <c r="B231" s="164" t="s">
        <v>316</v>
      </c>
      <c r="C231" s="26">
        <v>40312</v>
      </c>
      <c r="D231" s="165" t="s">
        <v>32</v>
      </c>
      <c r="E231" s="27">
        <v>8</v>
      </c>
      <c r="F231" s="27">
        <v>1</v>
      </c>
      <c r="G231" s="27">
        <v>18</v>
      </c>
      <c r="H231" s="325">
        <v>1188</v>
      </c>
      <c r="I231" s="326">
        <v>297</v>
      </c>
      <c r="J231" s="97">
        <f>(I231/F231)</f>
        <v>297</v>
      </c>
      <c r="K231" s="161">
        <f>H231/I231</f>
        <v>4</v>
      </c>
      <c r="L231" s="8">
        <f>41764.5+663+13.5+1901+220.5+1188</f>
        <v>45750.5</v>
      </c>
      <c r="M231" s="7">
        <f>4847+89+1+475+63+297</f>
        <v>5772</v>
      </c>
      <c r="N231" s="163">
        <f>L231/M231</f>
        <v>7.926282051282051</v>
      </c>
      <c r="O231" s="90">
        <v>221</v>
      </c>
    </row>
    <row r="232" spans="1:15" s="83" customFormat="1" ht="12" customHeight="1">
      <c r="A232" s="84">
        <v>222</v>
      </c>
      <c r="B232" s="191" t="s">
        <v>158</v>
      </c>
      <c r="C232" s="26">
        <v>40515</v>
      </c>
      <c r="D232" s="215" t="s">
        <v>23</v>
      </c>
      <c r="E232" s="27">
        <v>122</v>
      </c>
      <c r="F232" s="27">
        <v>7</v>
      </c>
      <c r="G232" s="27">
        <v>4</v>
      </c>
      <c r="H232" s="489">
        <v>4679</v>
      </c>
      <c r="I232" s="468">
        <v>723</v>
      </c>
      <c r="J232" s="32">
        <f>I232/F232</f>
        <v>103.28571428571429</v>
      </c>
      <c r="K232" s="220">
        <f>+H232/I232</f>
        <v>6.4716459197787</v>
      </c>
      <c r="L232" s="22">
        <v>611175</v>
      </c>
      <c r="M232" s="33">
        <v>72305</v>
      </c>
      <c r="N232" s="213">
        <f>+L232/M232</f>
        <v>8.452734942258488</v>
      </c>
      <c r="O232" s="90">
        <v>222</v>
      </c>
    </row>
    <row r="233" spans="1:15" s="83" customFormat="1" ht="12" customHeight="1">
      <c r="A233" s="84">
        <v>223</v>
      </c>
      <c r="B233" s="158" t="s">
        <v>158</v>
      </c>
      <c r="C233" s="26">
        <v>40515</v>
      </c>
      <c r="D233" s="222" t="s">
        <v>23</v>
      </c>
      <c r="E233" s="27">
        <v>122</v>
      </c>
      <c r="F233" s="27">
        <v>1</v>
      </c>
      <c r="G233" s="27">
        <v>13</v>
      </c>
      <c r="H233" s="467">
        <v>519</v>
      </c>
      <c r="I233" s="468">
        <v>74</v>
      </c>
      <c r="J233" s="32">
        <f>I233/F233</f>
        <v>74</v>
      </c>
      <c r="K233" s="212">
        <f>+H233/I233</f>
        <v>7.013513513513513</v>
      </c>
      <c r="L233" s="30">
        <v>613786</v>
      </c>
      <c r="M233" s="33">
        <v>73223</v>
      </c>
      <c r="N233" s="213">
        <f>+L233/M233</f>
        <v>8.382420824058014</v>
      </c>
      <c r="O233" s="90">
        <v>223</v>
      </c>
    </row>
    <row r="234" spans="1:15" s="83" customFormat="1" ht="12" customHeight="1">
      <c r="A234" s="84">
        <v>224</v>
      </c>
      <c r="B234" s="158" t="s">
        <v>158</v>
      </c>
      <c r="C234" s="26">
        <v>40515</v>
      </c>
      <c r="D234" s="215" t="s">
        <v>23</v>
      </c>
      <c r="E234" s="27">
        <v>122</v>
      </c>
      <c r="F234" s="27">
        <v>2</v>
      </c>
      <c r="G234" s="27">
        <v>5</v>
      </c>
      <c r="H234" s="467">
        <v>474</v>
      </c>
      <c r="I234" s="468">
        <v>70</v>
      </c>
      <c r="J234" s="32">
        <f>I234/F234</f>
        <v>35</v>
      </c>
      <c r="K234" s="212">
        <f>+H234/I234</f>
        <v>6.771428571428571</v>
      </c>
      <c r="L234" s="30">
        <v>611649</v>
      </c>
      <c r="M234" s="33">
        <v>72375</v>
      </c>
      <c r="N234" s="213">
        <f>+L234/M234</f>
        <v>8.451108808290156</v>
      </c>
      <c r="O234" s="90">
        <v>224</v>
      </c>
    </row>
    <row r="235" spans="1:15" s="83" customFormat="1" ht="12" customHeight="1">
      <c r="A235" s="84">
        <v>225</v>
      </c>
      <c r="B235" s="223" t="s">
        <v>158</v>
      </c>
      <c r="C235" s="224">
        <v>40515</v>
      </c>
      <c r="D235" s="225" t="s">
        <v>23</v>
      </c>
      <c r="E235" s="226">
        <v>122</v>
      </c>
      <c r="F235" s="226">
        <v>1</v>
      </c>
      <c r="G235" s="226">
        <v>14</v>
      </c>
      <c r="H235" s="377">
        <v>147</v>
      </c>
      <c r="I235" s="378">
        <v>21</v>
      </c>
      <c r="J235" s="227">
        <f>I235/F235</f>
        <v>21</v>
      </c>
      <c r="K235" s="228">
        <f>+H235/I235</f>
        <v>7</v>
      </c>
      <c r="L235" s="229">
        <v>613933</v>
      </c>
      <c r="M235" s="230">
        <v>73244</v>
      </c>
      <c r="N235" s="231">
        <f>+L235/M235</f>
        <v>8.382024466167877</v>
      </c>
      <c r="O235" s="90">
        <v>225</v>
      </c>
    </row>
    <row r="236" spans="1:15" s="83" customFormat="1" ht="12" customHeight="1">
      <c r="A236" s="84">
        <v>226</v>
      </c>
      <c r="B236" s="170" t="s">
        <v>317</v>
      </c>
      <c r="C236" s="171">
        <v>40389</v>
      </c>
      <c r="D236" s="165" t="s">
        <v>32</v>
      </c>
      <c r="E236" s="172">
        <v>19</v>
      </c>
      <c r="F236" s="172">
        <v>1</v>
      </c>
      <c r="G236" s="172">
        <v>13</v>
      </c>
      <c r="H236" s="469">
        <v>1307</v>
      </c>
      <c r="I236" s="470">
        <v>327</v>
      </c>
      <c r="J236" s="173">
        <f>(I236/F236)</f>
        <v>327</v>
      </c>
      <c r="K236" s="174">
        <f>H236/I236</f>
        <v>3.996941896024465</v>
      </c>
      <c r="L236" s="175">
        <f>69032+15425.5+9802+4755.5+7049.5+3610.5+8536+6024.5+2322+245+405.5+1307</f>
        <v>128515</v>
      </c>
      <c r="M236" s="176">
        <f>5509+1589+1417+704+842+602+1038+829+323+37+46+327</f>
        <v>13263</v>
      </c>
      <c r="N236" s="177">
        <f>L236/M236</f>
        <v>9.68973836990123</v>
      </c>
      <c r="O236" s="90">
        <v>226</v>
      </c>
    </row>
    <row r="237" spans="1:15" s="83" customFormat="1" ht="12" customHeight="1">
      <c r="A237" s="84">
        <v>227</v>
      </c>
      <c r="B237" s="205" t="s">
        <v>318</v>
      </c>
      <c r="C237" s="2">
        <v>40459</v>
      </c>
      <c r="D237" s="19" t="s">
        <v>8</v>
      </c>
      <c r="E237" s="4">
        <v>50</v>
      </c>
      <c r="F237" s="4">
        <v>5</v>
      </c>
      <c r="G237" s="4">
        <v>13</v>
      </c>
      <c r="H237" s="491">
        <v>4218</v>
      </c>
      <c r="I237" s="465">
        <v>597</v>
      </c>
      <c r="J237" s="87">
        <f>+I237/F237</f>
        <v>119.4</v>
      </c>
      <c r="K237" s="189">
        <f>+H237/I237</f>
        <v>7.065326633165829</v>
      </c>
      <c r="L237" s="17">
        <v>377106</v>
      </c>
      <c r="M237" s="6">
        <v>34343</v>
      </c>
      <c r="N237" s="188">
        <f>+L237/M237</f>
        <v>10.980578283784178</v>
      </c>
      <c r="O237" s="90">
        <v>227</v>
      </c>
    </row>
    <row r="238" spans="1:15" s="83" customFormat="1" ht="12" customHeight="1">
      <c r="A238" s="84">
        <v>228</v>
      </c>
      <c r="B238" s="422" t="s">
        <v>318</v>
      </c>
      <c r="C238" s="100">
        <v>40459</v>
      </c>
      <c r="D238" s="105" t="s">
        <v>8</v>
      </c>
      <c r="E238" s="106">
        <v>50</v>
      </c>
      <c r="F238" s="4">
        <v>1</v>
      </c>
      <c r="G238" s="329">
        <v>15</v>
      </c>
      <c r="H238" s="464">
        <v>653</v>
      </c>
      <c r="I238" s="465">
        <v>108</v>
      </c>
      <c r="J238" s="87">
        <f>I238/F238</f>
        <v>108</v>
      </c>
      <c r="K238" s="88">
        <f>H238/I238</f>
        <v>6.046296296296297</v>
      </c>
      <c r="L238" s="5">
        <v>378155</v>
      </c>
      <c r="M238" s="6">
        <v>34516</v>
      </c>
      <c r="N238" s="89">
        <f>+L238/M238</f>
        <v>10.955933480125159</v>
      </c>
      <c r="O238" s="90">
        <v>228</v>
      </c>
    </row>
    <row r="239" spans="1:15" s="83" customFormat="1" ht="12" customHeight="1">
      <c r="A239" s="84">
        <v>229</v>
      </c>
      <c r="B239" s="422" t="s">
        <v>318</v>
      </c>
      <c r="C239" s="374">
        <v>40459</v>
      </c>
      <c r="D239" s="105" t="s">
        <v>8</v>
      </c>
      <c r="E239" s="106">
        <v>50</v>
      </c>
      <c r="F239" s="4">
        <v>1</v>
      </c>
      <c r="G239" s="4">
        <v>15</v>
      </c>
      <c r="H239" s="464">
        <v>334</v>
      </c>
      <c r="I239" s="465">
        <v>55</v>
      </c>
      <c r="J239" s="218">
        <f>I239/F239</f>
        <v>55</v>
      </c>
      <c r="K239" s="166">
        <f>H239/I239</f>
        <v>6.072727272727272</v>
      </c>
      <c r="L239" s="5">
        <v>377502</v>
      </c>
      <c r="M239" s="6">
        <v>34408</v>
      </c>
      <c r="N239" s="92">
        <f>L239/M239</f>
        <v>10.971343873517787</v>
      </c>
      <c r="O239" s="90">
        <v>229</v>
      </c>
    </row>
    <row r="240" spans="1:15" s="83" customFormat="1" ht="12" customHeight="1">
      <c r="A240" s="84">
        <v>230</v>
      </c>
      <c r="B240" s="185" t="s">
        <v>318</v>
      </c>
      <c r="C240" s="2">
        <v>40459</v>
      </c>
      <c r="D240" s="19" t="s">
        <v>8</v>
      </c>
      <c r="E240" s="4">
        <v>50</v>
      </c>
      <c r="F240" s="4">
        <v>1</v>
      </c>
      <c r="G240" s="4">
        <v>14</v>
      </c>
      <c r="H240" s="464">
        <v>62</v>
      </c>
      <c r="I240" s="465">
        <v>10</v>
      </c>
      <c r="J240" s="87">
        <f>+I240/F240</f>
        <v>10</v>
      </c>
      <c r="K240" s="187">
        <f>+H240/I240</f>
        <v>6.2</v>
      </c>
      <c r="L240" s="5">
        <v>377168</v>
      </c>
      <c r="M240" s="6">
        <v>34353</v>
      </c>
      <c r="N240" s="188">
        <f>+L240/M240</f>
        <v>10.979186679474864</v>
      </c>
      <c r="O240" s="90">
        <v>230</v>
      </c>
    </row>
    <row r="241" spans="1:15" s="83" customFormat="1" ht="12" customHeight="1">
      <c r="A241" s="84">
        <v>231</v>
      </c>
      <c r="B241" s="164" t="s">
        <v>159</v>
      </c>
      <c r="C241" s="26">
        <v>40480</v>
      </c>
      <c r="D241" s="25" t="s">
        <v>29</v>
      </c>
      <c r="E241" s="27">
        <v>135</v>
      </c>
      <c r="F241" s="27">
        <v>5</v>
      </c>
      <c r="G241" s="27">
        <v>10</v>
      </c>
      <c r="H241" s="489">
        <v>604</v>
      </c>
      <c r="I241" s="468">
        <v>91</v>
      </c>
      <c r="J241" s="87">
        <f>IF(H241&lt;&gt;0,I241/F241,"")</f>
        <v>18.2</v>
      </c>
      <c r="K241" s="189">
        <f>IF(H241&lt;&gt;0,H241/I241,"")</f>
        <v>6.637362637362638</v>
      </c>
      <c r="L241" s="22">
        <f>151771.5+44278.5+20156+4831.5+5960.5+2697+3743.5+81+2518+2320+604</f>
        <v>238961.5</v>
      </c>
      <c r="M241" s="32">
        <f>19003+7410+3277+795+995+475+746+11+433+386+91</f>
        <v>33622</v>
      </c>
      <c r="N241" s="188">
        <f>IF(L241&lt;&gt;0,L241/M241,"")</f>
        <v>7.107295818214264</v>
      </c>
      <c r="O241" s="90">
        <v>231</v>
      </c>
    </row>
    <row r="242" spans="1:15" s="83" customFormat="1" ht="12" customHeight="1">
      <c r="A242" s="84">
        <v>232</v>
      </c>
      <c r="B242" s="158" t="s">
        <v>159</v>
      </c>
      <c r="C242" s="26">
        <v>40480</v>
      </c>
      <c r="D242" s="25" t="s">
        <v>29</v>
      </c>
      <c r="E242" s="27">
        <v>135</v>
      </c>
      <c r="F242" s="27">
        <v>1</v>
      </c>
      <c r="G242" s="27">
        <v>11</v>
      </c>
      <c r="H242" s="467">
        <v>265</v>
      </c>
      <c r="I242" s="468">
        <v>52</v>
      </c>
      <c r="J242" s="32">
        <f>I242/F242</f>
        <v>52</v>
      </c>
      <c r="K242" s="212">
        <f>H242/I242</f>
        <v>5.096153846153846</v>
      </c>
      <c r="L242" s="30">
        <f>151771.5+44278.5+20156+4831.5+5960.5+2697+3743.5+81+2518+2320+604+265</f>
        <v>239226.5</v>
      </c>
      <c r="M242" s="32">
        <f>19003+7410+3277+795+995+475+746+11+433+386+91+52</f>
        <v>33674</v>
      </c>
      <c r="N242" s="213">
        <f>L242/M242</f>
        <v>7.10419017639722</v>
      </c>
      <c r="O242" s="90">
        <v>232</v>
      </c>
    </row>
    <row r="243" spans="1:15" s="83" customFormat="1" ht="12" customHeight="1">
      <c r="A243" s="84">
        <v>233</v>
      </c>
      <c r="B243" s="422" t="s">
        <v>269</v>
      </c>
      <c r="C243" s="100">
        <v>40487</v>
      </c>
      <c r="D243" s="105" t="s">
        <v>8</v>
      </c>
      <c r="E243" s="106">
        <v>383</v>
      </c>
      <c r="F243" s="4">
        <v>1</v>
      </c>
      <c r="G243" s="4">
        <v>13</v>
      </c>
      <c r="H243" s="464">
        <v>288</v>
      </c>
      <c r="I243" s="465">
        <v>36</v>
      </c>
      <c r="J243" s="87">
        <f>I243/F243</f>
        <v>36</v>
      </c>
      <c r="K243" s="88">
        <f>H243/I243</f>
        <v>8</v>
      </c>
      <c r="L243" s="5">
        <v>31645541</v>
      </c>
      <c r="M243" s="6">
        <v>3474495</v>
      </c>
      <c r="N243" s="89">
        <f>+L243/M243</f>
        <v>9.107954105560664</v>
      </c>
      <c r="O243" s="90">
        <v>233</v>
      </c>
    </row>
    <row r="244" spans="1:15" s="83" customFormat="1" ht="12" customHeight="1">
      <c r="A244" s="84">
        <v>234</v>
      </c>
      <c r="B244" s="205" t="s">
        <v>160</v>
      </c>
      <c r="C244" s="2">
        <v>40487</v>
      </c>
      <c r="D244" s="19" t="s">
        <v>8</v>
      </c>
      <c r="E244" s="4">
        <v>312</v>
      </c>
      <c r="F244" s="4">
        <v>86</v>
      </c>
      <c r="G244" s="4">
        <v>9</v>
      </c>
      <c r="H244" s="491">
        <v>125458</v>
      </c>
      <c r="I244" s="465">
        <v>15869</v>
      </c>
      <c r="J244" s="87">
        <f>+I244/F244</f>
        <v>184.52325581395348</v>
      </c>
      <c r="K244" s="189">
        <f>+H244/I244</f>
        <v>7.90585418110782</v>
      </c>
      <c r="L244" s="17">
        <v>31622053</v>
      </c>
      <c r="M244" s="6">
        <v>3470958</v>
      </c>
      <c r="N244" s="188">
        <f>+L244/M244</f>
        <v>9.110468349084028</v>
      </c>
      <c r="O244" s="90">
        <v>234</v>
      </c>
    </row>
    <row r="245" spans="1:15" s="83" customFormat="1" ht="12" customHeight="1">
      <c r="A245" s="84">
        <v>235</v>
      </c>
      <c r="B245" s="185" t="s">
        <v>160</v>
      </c>
      <c r="C245" s="2">
        <v>40487</v>
      </c>
      <c r="D245" s="19" t="s">
        <v>8</v>
      </c>
      <c r="E245" s="4">
        <v>312</v>
      </c>
      <c r="F245" s="4">
        <v>19</v>
      </c>
      <c r="G245" s="4">
        <v>10</v>
      </c>
      <c r="H245" s="464">
        <v>12589</v>
      </c>
      <c r="I245" s="465">
        <v>1965</v>
      </c>
      <c r="J245" s="87">
        <f>+I245/F245</f>
        <v>103.42105263157895</v>
      </c>
      <c r="K245" s="187">
        <f>+H245/I245</f>
        <v>6.406615776081425</v>
      </c>
      <c r="L245" s="5">
        <v>31634642</v>
      </c>
      <c r="M245" s="6">
        <v>3472923</v>
      </c>
      <c r="N245" s="188">
        <f>+L245/M245</f>
        <v>9.108938493597469</v>
      </c>
      <c r="O245" s="90">
        <v>235</v>
      </c>
    </row>
    <row r="246" spans="1:15" s="83" customFormat="1" ht="12" customHeight="1">
      <c r="A246" s="84">
        <v>236</v>
      </c>
      <c r="B246" s="185" t="s">
        <v>160</v>
      </c>
      <c r="C246" s="2">
        <v>40487</v>
      </c>
      <c r="D246" s="14" t="s">
        <v>8</v>
      </c>
      <c r="E246" s="4">
        <v>312</v>
      </c>
      <c r="F246" s="4">
        <v>12</v>
      </c>
      <c r="G246" s="4">
        <v>11</v>
      </c>
      <c r="H246" s="464">
        <v>5621</v>
      </c>
      <c r="I246" s="465">
        <v>841</v>
      </c>
      <c r="J246" s="87">
        <f>+I246/F246</f>
        <v>70.08333333333333</v>
      </c>
      <c r="K246" s="187">
        <f>+H246/I246</f>
        <v>6.683709869203329</v>
      </c>
      <c r="L246" s="5">
        <v>31640263</v>
      </c>
      <c r="M246" s="6">
        <v>3473764</v>
      </c>
      <c r="N246" s="188">
        <f>+L246/M246</f>
        <v>9.108351344535784</v>
      </c>
      <c r="O246" s="90">
        <v>236</v>
      </c>
    </row>
    <row r="247" spans="1:15" s="83" customFormat="1" ht="12" customHeight="1">
      <c r="A247" s="84">
        <v>237</v>
      </c>
      <c r="B247" s="205" t="s">
        <v>160</v>
      </c>
      <c r="C247" s="2">
        <v>40487</v>
      </c>
      <c r="D247" s="15" t="s">
        <v>8</v>
      </c>
      <c r="E247" s="4">
        <v>312</v>
      </c>
      <c r="F247" s="4">
        <v>7</v>
      </c>
      <c r="G247" s="4">
        <v>12</v>
      </c>
      <c r="H247" s="464">
        <v>4990</v>
      </c>
      <c r="I247" s="465">
        <v>695</v>
      </c>
      <c r="J247" s="97">
        <f>(I247/F247)</f>
        <v>99.28571428571429</v>
      </c>
      <c r="K247" s="161">
        <f>H247/I247</f>
        <v>7.179856115107913</v>
      </c>
      <c r="L247" s="5">
        <v>31645253</v>
      </c>
      <c r="M247" s="6">
        <v>3474459</v>
      </c>
      <c r="N247" s="163">
        <f>L247/M247</f>
        <v>9.107965585433588</v>
      </c>
      <c r="O247" s="90">
        <v>237</v>
      </c>
    </row>
    <row r="248" spans="1:15" s="83" customFormat="1" ht="12" customHeight="1">
      <c r="A248" s="84">
        <v>238</v>
      </c>
      <c r="B248" s="232" t="s">
        <v>161</v>
      </c>
      <c r="C248" s="26">
        <v>39941</v>
      </c>
      <c r="D248" s="24" t="s">
        <v>32</v>
      </c>
      <c r="E248" s="27">
        <v>26</v>
      </c>
      <c r="F248" s="27">
        <v>1</v>
      </c>
      <c r="G248" s="27">
        <v>26</v>
      </c>
      <c r="H248" s="325">
        <v>2376</v>
      </c>
      <c r="I248" s="326">
        <v>594</v>
      </c>
      <c r="J248" s="97">
        <f>(I248/F248)</f>
        <v>594</v>
      </c>
      <c r="K248" s="161">
        <f>H248/I248</f>
        <v>4</v>
      </c>
      <c r="L248" s="8">
        <f>36482.75+16583.5+5922.75+3249+4769+4925+4199.5+5525+366+924+414+2215+2444+33+1987+838+1440+537+604+3792+2376+1780+3800+2376+310.7+381.86+2376</f>
        <v>110651.06</v>
      </c>
      <c r="M248" s="7">
        <f>4495+1934+744+517+1003+1215+722+968+65+193+83+369+384+5+336+159+238+83+151+948+594+445+950+594+72+92+594</f>
        <v>17953</v>
      </c>
      <c r="N248" s="163">
        <f>L248/M248</f>
        <v>6.163374366401158</v>
      </c>
      <c r="O248" s="90">
        <v>238</v>
      </c>
    </row>
    <row r="249" spans="1:15" s="83" customFormat="1" ht="12" customHeight="1">
      <c r="A249" s="84">
        <v>239</v>
      </c>
      <c r="B249" s="178" t="s">
        <v>162</v>
      </c>
      <c r="C249" s="26">
        <v>40473</v>
      </c>
      <c r="D249" s="165" t="s">
        <v>29</v>
      </c>
      <c r="E249" s="167">
        <v>36</v>
      </c>
      <c r="F249" s="167">
        <v>1</v>
      </c>
      <c r="G249" s="167">
        <v>9</v>
      </c>
      <c r="H249" s="489">
        <v>926</v>
      </c>
      <c r="I249" s="493">
        <v>136</v>
      </c>
      <c r="J249" s="218">
        <f>+I249/F249</f>
        <v>136</v>
      </c>
      <c r="K249" s="189">
        <f>+H249/I249</f>
        <v>6.8088235294117645</v>
      </c>
      <c r="L249" s="22">
        <f>34961.5+23009.5+1351+805+533+530+156+172+926</f>
        <v>62444</v>
      </c>
      <c r="M249" s="23">
        <f>4408+3132+214+122+62+78+26+27+136</f>
        <v>8205</v>
      </c>
      <c r="N249" s="188">
        <f>+L249/M249</f>
        <v>7.61048141377209</v>
      </c>
      <c r="O249" s="90">
        <v>239</v>
      </c>
    </row>
    <row r="250" spans="1:15" s="83" customFormat="1" ht="12" customHeight="1">
      <c r="A250" s="84">
        <v>240</v>
      </c>
      <c r="B250" s="164" t="s">
        <v>162</v>
      </c>
      <c r="C250" s="26">
        <v>40473</v>
      </c>
      <c r="D250" s="25" t="s">
        <v>29</v>
      </c>
      <c r="E250" s="27">
        <v>36</v>
      </c>
      <c r="F250" s="27">
        <v>1</v>
      </c>
      <c r="G250" s="27">
        <v>8</v>
      </c>
      <c r="H250" s="489">
        <v>172</v>
      </c>
      <c r="I250" s="468">
        <v>27</v>
      </c>
      <c r="J250" s="87">
        <f>IF(H250&lt;&gt;0,I250/F250,"")</f>
        <v>27</v>
      </c>
      <c r="K250" s="189">
        <f>IF(H250&lt;&gt;0,H250/I250,"")</f>
        <v>6.37037037037037</v>
      </c>
      <c r="L250" s="22">
        <f>34961.5+23009.5+1351+805+533+530+156+172</f>
        <v>61518</v>
      </c>
      <c r="M250" s="32">
        <f>4408+3132+214+122+62+78+26+27</f>
        <v>8069</v>
      </c>
      <c r="N250" s="188">
        <f>IF(L250&lt;&gt;0,L250/M250,"")</f>
        <v>7.6239930598587184</v>
      </c>
      <c r="O250" s="90">
        <v>240</v>
      </c>
    </row>
    <row r="251" spans="1:15" s="83" customFormat="1" ht="12" customHeight="1">
      <c r="A251" s="84">
        <v>241</v>
      </c>
      <c r="B251" s="158" t="s">
        <v>319</v>
      </c>
      <c r="C251" s="26">
        <v>40102</v>
      </c>
      <c r="D251" s="24" t="s">
        <v>32</v>
      </c>
      <c r="E251" s="27">
        <v>9</v>
      </c>
      <c r="F251" s="27">
        <v>1</v>
      </c>
      <c r="G251" s="27">
        <v>11</v>
      </c>
      <c r="H251" s="325">
        <v>1500</v>
      </c>
      <c r="I251" s="326">
        <v>150</v>
      </c>
      <c r="J251" s="97">
        <f>(I251/F251)</f>
        <v>150</v>
      </c>
      <c r="K251" s="161">
        <f aca="true" t="shared" si="38" ref="K251:K271">H251/I251</f>
        <v>10</v>
      </c>
      <c r="L251" s="8">
        <f>140093+133065.5+53545.5+8843.5+1143.5+938+558+224+456+4065+1500</f>
        <v>344432</v>
      </c>
      <c r="M251" s="7">
        <f>10984+10700+4415+806+91+134+57+28+33+335+150</f>
        <v>27733</v>
      </c>
      <c r="N251" s="163">
        <f>L251/M251</f>
        <v>12.419572350629215</v>
      </c>
      <c r="O251" s="90">
        <v>241</v>
      </c>
    </row>
    <row r="252" spans="1:15" s="83" customFormat="1" ht="12" customHeight="1">
      <c r="A252" s="84">
        <v>242</v>
      </c>
      <c r="B252" s="158" t="s">
        <v>319</v>
      </c>
      <c r="C252" s="26">
        <v>40102</v>
      </c>
      <c r="D252" s="24" t="s">
        <v>32</v>
      </c>
      <c r="E252" s="27">
        <v>9</v>
      </c>
      <c r="F252" s="27">
        <v>1</v>
      </c>
      <c r="G252" s="27">
        <v>12</v>
      </c>
      <c r="H252" s="325">
        <v>670</v>
      </c>
      <c r="I252" s="326">
        <v>67</v>
      </c>
      <c r="J252" s="97">
        <f>(I252/F252)</f>
        <v>67</v>
      </c>
      <c r="K252" s="161">
        <f t="shared" si="38"/>
        <v>10</v>
      </c>
      <c r="L252" s="8">
        <f>140093+133065.5+53545.5+8843.5+1143.5+938+558+224+456+4065+1500+670</f>
        <v>345102</v>
      </c>
      <c r="M252" s="7">
        <f>10984+10700+4415+806+91+134+57+28+33+335+150+67</f>
        <v>27800</v>
      </c>
      <c r="N252" s="163">
        <f>L252/M252</f>
        <v>12.413741007194245</v>
      </c>
      <c r="O252" s="90">
        <v>242</v>
      </c>
    </row>
    <row r="253" spans="1:15" s="83" customFormat="1" ht="12" customHeight="1">
      <c r="A253" s="84">
        <v>243</v>
      </c>
      <c r="B253" s="446" t="s">
        <v>363</v>
      </c>
      <c r="C253" s="100">
        <v>40515</v>
      </c>
      <c r="D253" s="101" t="s">
        <v>32</v>
      </c>
      <c r="E253" s="172">
        <v>62</v>
      </c>
      <c r="F253" s="172">
        <v>5</v>
      </c>
      <c r="G253" s="172">
        <v>31</v>
      </c>
      <c r="H253" s="325">
        <v>7747.5</v>
      </c>
      <c r="I253" s="326">
        <v>1593</v>
      </c>
      <c r="J253" s="87">
        <f>I253/F253</f>
        <v>318.6</v>
      </c>
      <c r="K253" s="88">
        <f t="shared" si="38"/>
        <v>4.86346516007533</v>
      </c>
      <c r="L253" s="8">
        <f>353151+191248+132731.5+71376+47862+26248.5+19265+34650.5+35095.5+42312+25849+10987+7528+3248+2395.5+3280.5+3141.5+4280+3042+1597+6128+4358+2107+777+4230+4335.5+1718.5+594+1978+2020+7747.5</f>
        <v>1055282</v>
      </c>
      <c r="M253" s="7">
        <f>34650+19352+14525+10591+7581+5012+3223+6065+6865+6589+3930+1782+1091+624+468+512+688+987+804+306+1395+991+478+166+1058+1084+430+148+474+261+1593</f>
        <v>133723</v>
      </c>
      <c r="N253" s="89">
        <f>+L253/M253</f>
        <v>7.891551939456937</v>
      </c>
      <c r="O253" s="90">
        <v>243</v>
      </c>
    </row>
    <row r="254" spans="1:15" s="83" customFormat="1" ht="12" customHeight="1">
      <c r="A254" s="84">
        <v>244</v>
      </c>
      <c r="B254" s="446" t="s">
        <v>363</v>
      </c>
      <c r="C254" s="100">
        <v>40515</v>
      </c>
      <c r="D254" s="101" t="s">
        <v>32</v>
      </c>
      <c r="E254" s="172">
        <v>62</v>
      </c>
      <c r="F254" s="172">
        <v>2</v>
      </c>
      <c r="G254" s="172">
        <v>30</v>
      </c>
      <c r="H254" s="325">
        <v>2020</v>
      </c>
      <c r="I254" s="326">
        <v>261</v>
      </c>
      <c r="J254" s="87">
        <f>I254/F254</f>
        <v>130.5</v>
      </c>
      <c r="K254" s="88">
        <f t="shared" si="38"/>
        <v>7.739463601532567</v>
      </c>
      <c r="L254" s="8">
        <f>353151+191248+132731.5+71376+47862+26248.5+19265+34650.5+35095.5+42312+25849+10987+7528+3248+2395.5+3280.5+3141.5+4280+3042+1597+6128+4358+2107+777+4230+4335.5+1718.5+594+1978+2020</f>
        <v>1047534.5</v>
      </c>
      <c r="M254" s="7">
        <f>34650+19352+14525+10591+7581+5012+3223+6065+6865+6589+3930+1782+1091+624+468+512+688+987+804+306+1395+991+478+166+1058+1084+430+148+474+261</f>
        <v>132130</v>
      </c>
      <c r="N254" s="92">
        <f aca="true" t="shared" si="39" ref="N254:N271">L254/M254</f>
        <v>7.928059486868992</v>
      </c>
      <c r="O254" s="90">
        <v>244</v>
      </c>
    </row>
    <row r="255" spans="1:15" s="83" customFormat="1" ht="12" customHeight="1">
      <c r="A255" s="84">
        <v>245</v>
      </c>
      <c r="B255" s="164" t="s">
        <v>320</v>
      </c>
      <c r="C255" s="26">
        <v>40515</v>
      </c>
      <c r="D255" s="165" t="s">
        <v>32</v>
      </c>
      <c r="E255" s="27">
        <v>62</v>
      </c>
      <c r="F255" s="27">
        <v>62</v>
      </c>
      <c r="G255" s="27">
        <v>5</v>
      </c>
      <c r="H255" s="475">
        <v>47812</v>
      </c>
      <c r="I255" s="326">
        <v>7581</v>
      </c>
      <c r="J255" s="97">
        <f aca="true" t="shared" si="40" ref="J255:J264">(I255/F255)</f>
        <v>122.2741935483871</v>
      </c>
      <c r="K255" s="166">
        <f t="shared" si="38"/>
        <v>6.3068196807809</v>
      </c>
      <c r="L255" s="20">
        <f>353151+191248+132731.5+71376+47812</f>
        <v>796318.5</v>
      </c>
      <c r="M255" s="7">
        <f>34650+19352+14525+10591+7581</f>
        <v>86699</v>
      </c>
      <c r="N255" s="163">
        <f t="shared" si="39"/>
        <v>9.184863723918385</v>
      </c>
      <c r="O255" s="90">
        <v>245</v>
      </c>
    </row>
    <row r="256" spans="1:15" s="83" customFormat="1" ht="12" customHeight="1">
      <c r="A256" s="84">
        <v>246</v>
      </c>
      <c r="B256" s="178" t="s">
        <v>320</v>
      </c>
      <c r="C256" s="26">
        <v>40515</v>
      </c>
      <c r="D256" s="165" t="s">
        <v>32</v>
      </c>
      <c r="E256" s="167">
        <v>62</v>
      </c>
      <c r="F256" s="167">
        <v>28</v>
      </c>
      <c r="G256" s="167">
        <v>10</v>
      </c>
      <c r="H256" s="325">
        <v>42312</v>
      </c>
      <c r="I256" s="326">
        <v>6589</v>
      </c>
      <c r="J256" s="97">
        <f t="shared" si="40"/>
        <v>235.32142857142858</v>
      </c>
      <c r="K256" s="161">
        <f t="shared" si="38"/>
        <v>6.421611777204432</v>
      </c>
      <c r="L256" s="8">
        <f>353151+191248+132731.5+71376+47862+26248.5+19265+34650.5+35095.5+42312</f>
        <v>953940</v>
      </c>
      <c r="M256" s="7">
        <f>34650+19352+14525+10591+7581+5012+3223+6065+6865+6589</f>
        <v>114453</v>
      </c>
      <c r="N256" s="163">
        <f t="shared" si="39"/>
        <v>8.334774973133076</v>
      </c>
      <c r="O256" s="90">
        <v>246</v>
      </c>
    </row>
    <row r="257" spans="1:15" s="83" customFormat="1" ht="12" customHeight="1">
      <c r="A257" s="84">
        <v>247</v>
      </c>
      <c r="B257" s="158" t="s">
        <v>320</v>
      </c>
      <c r="C257" s="26">
        <v>40515</v>
      </c>
      <c r="D257" s="165" t="s">
        <v>32</v>
      </c>
      <c r="E257" s="27">
        <v>62</v>
      </c>
      <c r="F257" s="27">
        <v>37</v>
      </c>
      <c r="G257" s="27">
        <v>9</v>
      </c>
      <c r="H257" s="325">
        <v>35095.5</v>
      </c>
      <c r="I257" s="326">
        <v>6865</v>
      </c>
      <c r="J257" s="97">
        <f t="shared" si="40"/>
        <v>185.54054054054055</v>
      </c>
      <c r="K257" s="161">
        <f t="shared" si="38"/>
        <v>5.112235979606701</v>
      </c>
      <c r="L257" s="8">
        <f>353151+191248+132731.5+71376+47862+26248.5+19265+34650.5+35095.5</f>
        <v>911628</v>
      </c>
      <c r="M257" s="7">
        <f>34650+19352+14525+10591+7581+5012+3223+6065+6865</f>
        <v>107864</v>
      </c>
      <c r="N257" s="163">
        <f t="shared" si="39"/>
        <v>8.451642809463769</v>
      </c>
      <c r="O257" s="90">
        <v>247</v>
      </c>
    </row>
    <row r="258" spans="1:15" s="83" customFormat="1" ht="12" customHeight="1">
      <c r="A258" s="84">
        <v>248</v>
      </c>
      <c r="B258" s="164" t="s">
        <v>320</v>
      </c>
      <c r="C258" s="26">
        <v>40515</v>
      </c>
      <c r="D258" s="165" t="s">
        <v>32</v>
      </c>
      <c r="E258" s="27">
        <v>62</v>
      </c>
      <c r="F258" s="27">
        <v>36</v>
      </c>
      <c r="G258" s="27">
        <v>8</v>
      </c>
      <c r="H258" s="325">
        <v>34650.5</v>
      </c>
      <c r="I258" s="326">
        <v>6065</v>
      </c>
      <c r="J258" s="97">
        <f t="shared" si="40"/>
        <v>168.47222222222223</v>
      </c>
      <c r="K258" s="161">
        <f t="shared" si="38"/>
        <v>5.713190436933224</v>
      </c>
      <c r="L258" s="8">
        <f>353151+191248+132731.5+71376+47862+26248.5+19265+34650.5</f>
        <v>876532.5</v>
      </c>
      <c r="M258" s="7">
        <f>34650+19352+14525+10591+7581+5012+3223+6065</f>
        <v>100999</v>
      </c>
      <c r="N258" s="163">
        <f t="shared" si="39"/>
        <v>8.678625530945851</v>
      </c>
      <c r="O258" s="90">
        <v>248</v>
      </c>
    </row>
    <row r="259" spans="1:15" s="83" customFormat="1" ht="12" customHeight="1">
      <c r="A259" s="84">
        <v>249</v>
      </c>
      <c r="B259" s="158" t="s">
        <v>320</v>
      </c>
      <c r="C259" s="26">
        <v>40515</v>
      </c>
      <c r="D259" s="165" t="s">
        <v>32</v>
      </c>
      <c r="E259" s="27">
        <v>62</v>
      </c>
      <c r="F259" s="27">
        <v>42</v>
      </c>
      <c r="G259" s="27">
        <v>6</v>
      </c>
      <c r="H259" s="325">
        <v>26248.5</v>
      </c>
      <c r="I259" s="326">
        <v>5012</v>
      </c>
      <c r="J259" s="97">
        <f t="shared" si="40"/>
        <v>119.33333333333333</v>
      </c>
      <c r="K259" s="161">
        <f t="shared" si="38"/>
        <v>5.237130885873903</v>
      </c>
      <c r="L259" s="8">
        <f>353151+191248+132731.5+71376+47862+26248.5</f>
        <v>822617</v>
      </c>
      <c r="M259" s="7">
        <f>34650+19352+14525+10591+7581+5012</f>
        <v>91711</v>
      </c>
      <c r="N259" s="163">
        <f t="shared" si="39"/>
        <v>8.96966557991953</v>
      </c>
      <c r="O259" s="90">
        <v>249</v>
      </c>
    </row>
    <row r="260" spans="1:15" s="83" customFormat="1" ht="12" customHeight="1">
      <c r="A260" s="84">
        <v>250</v>
      </c>
      <c r="B260" s="170" t="s">
        <v>320</v>
      </c>
      <c r="C260" s="171">
        <v>40515</v>
      </c>
      <c r="D260" s="165" t="s">
        <v>32</v>
      </c>
      <c r="E260" s="172">
        <v>62</v>
      </c>
      <c r="F260" s="172">
        <v>26</v>
      </c>
      <c r="G260" s="172">
        <v>11</v>
      </c>
      <c r="H260" s="469">
        <v>25849</v>
      </c>
      <c r="I260" s="470">
        <v>3930</v>
      </c>
      <c r="J260" s="173">
        <f t="shared" si="40"/>
        <v>151.15384615384616</v>
      </c>
      <c r="K260" s="174">
        <f t="shared" si="38"/>
        <v>6.57735368956743</v>
      </c>
      <c r="L260" s="175">
        <f>353151+191248+132731.5+71376+47862+26248.5+19265+34650.5+35095.5+42312+25849</f>
        <v>979789</v>
      </c>
      <c r="M260" s="176">
        <f>34650+19352+14525+10591+7581+5012+3223+6065+6865+6589+3930</f>
        <v>118383</v>
      </c>
      <c r="N260" s="177">
        <f t="shared" si="39"/>
        <v>8.276433271669074</v>
      </c>
      <c r="O260" s="90">
        <v>250</v>
      </c>
    </row>
    <row r="261" spans="1:15" s="83" customFormat="1" ht="12" customHeight="1">
      <c r="A261" s="84">
        <v>251</v>
      </c>
      <c r="B261" s="170" t="s">
        <v>320</v>
      </c>
      <c r="C261" s="171">
        <v>40515</v>
      </c>
      <c r="D261" s="165" t="s">
        <v>32</v>
      </c>
      <c r="E261" s="172">
        <v>62</v>
      </c>
      <c r="F261" s="172">
        <v>37</v>
      </c>
      <c r="G261" s="172">
        <v>7</v>
      </c>
      <c r="H261" s="469">
        <v>19265</v>
      </c>
      <c r="I261" s="470">
        <v>3223</v>
      </c>
      <c r="J261" s="173">
        <f t="shared" si="40"/>
        <v>87.10810810810811</v>
      </c>
      <c r="K261" s="174">
        <f t="shared" si="38"/>
        <v>5.977350294756438</v>
      </c>
      <c r="L261" s="175">
        <f>353151+191248+132731.5+71376+47862+26248.5+19265</f>
        <v>841882</v>
      </c>
      <c r="M261" s="176">
        <f>34650+19352+14525+10591+7581+5012+3223</f>
        <v>94934</v>
      </c>
      <c r="N261" s="177">
        <f t="shared" si="39"/>
        <v>8.868076769123812</v>
      </c>
      <c r="O261" s="90">
        <v>251</v>
      </c>
    </row>
    <row r="262" spans="1:15" s="83" customFormat="1" ht="12" customHeight="1">
      <c r="A262" s="84">
        <v>252</v>
      </c>
      <c r="B262" s="178" t="s">
        <v>320</v>
      </c>
      <c r="C262" s="26">
        <v>40515</v>
      </c>
      <c r="D262" s="165" t="s">
        <v>32</v>
      </c>
      <c r="E262" s="167">
        <v>62</v>
      </c>
      <c r="F262" s="167">
        <v>17</v>
      </c>
      <c r="G262" s="167">
        <v>12</v>
      </c>
      <c r="H262" s="325">
        <v>10987</v>
      </c>
      <c r="I262" s="326">
        <v>1782</v>
      </c>
      <c r="J262" s="97">
        <f t="shared" si="40"/>
        <v>104.82352941176471</v>
      </c>
      <c r="K262" s="161">
        <f t="shared" si="38"/>
        <v>6.165544332210999</v>
      </c>
      <c r="L262" s="8">
        <f>353151+191248+132731.5+71376+47862+26248.5+19265+34650.5+35095.5+42312+25849+10987</f>
        <v>990776</v>
      </c>
      <c r="M262" s="7">
        <f>34650+19352+14525+10591+7581+5012+3223+6065+6865+6589+3930+1782</f>
        <v>120165</v>
      </c>
      <c r="N262" s="163">
        <f t="shared" si="39"/>
        <v>8.245129613448176</v>
      </c>
      <c r="O262" s="90">
        <v>252</v>
      </c>
    </row>
    <row r="263" spans="1:15" s="83" customFormat="1" ht="12" customHeight="1">
      <c r="A263" s="84">
        <v>253</v>
      </c>
      <c r="B263" s="178" t="s">
        <v>320</v>
      </c>
      <c r="C263" s="26">
        <v>40515</v>
      </c>
      <c r="D263" s="165" t="s">
        <v>32</v>
      </c>
      <c r="E263" s="167">
        <v>62</v>
      </c>
      <c r="F263" s="167">
        <v>14</v>
      </c>
      <c r="G263" s="167">
        <v>13</v>
      </c>
      <c r="H263" s="475">
        <v>7528</v>
      </c>
      <c r="I263" s="476">
        <v>1091</v>
      </c>
      <c r="J263" s="168">
        <f t="shared" si="40"/>
        <v>77.92857142857143</v>
      </c>
      <c r="K263" s="166">
        <f t="shared" si="38"/>
        <v>6.900091659028415</v>
      </c>
      <c r="L263" s="20">
        <f>353151+191248+132731.5+71376+47862+26248.5+19265+34650.5+35095.5+42312+25849+10987+7528</f>
        <v>998304</v>
      </c>
      <c r="M263" s="21">
        <f>34650+19352+14525+10591+7581+5012+3223+6065+6865+6589+3930+1782+1091</f>
        <v>121256</v>
      </c>
      <c r="N263" s="163">
        <f t="shared" si="39"/>
        <v>8.233027643992875</v>
      </c>
      <c r="O263" s="90">
        <v>253</v>
      </c>
    </row>
    <row r="264" spans="1:15" s="83" customFormat="1" ht="12" customHeight="1">
      <c r="A264" s="84">
        <v>254</v>
      </c>
      <c r="B264" s="158" t="s">
        <v>320</v>
      </c>
      <c r="C264" s="26">
        <v>40515</v>
      </c>
      <c r="D264" s="24" t="s">
        <v>32</v>
      </c>
      <c r="E264" s="27">
        <v>62</v>
      </c>
      <c r="F264" s="27">
        <v>5</v>
      </c>
      <c r="G264" s="27">
        <v>21</v>
      </c>
      <c r="H264" s="325">
        <v>6128</v>
      </c>
      <c r="I264" s="326">
        <v>1395</v>
      </c>
      <c r="J264" s="97">
        <f t="shared" si="40"/>
        <v>279</v>
      </c>
      <c r="K264" s="161">
        <f t="shared" si="38"/>
        <v>4.392831541218638</v>
      </c>
      <c r="L264" s="8">
        <f>353151+191248+132731.5+71376+47862+26248.5+19265+34650.5+35095.5+42312+25849+10987+7528+3248+2395.5+3280.5+3141.5+4280+3042+1597+6128</f>
        <v>1025416.5</v>
      </c>
      <c r="M264" s="7">
        <f>34650+19352+14525+10591+7581+5012+3223+6065+6865+6589+3930+1782+1091+624+468+512+688+987+804+306+1395</f>
        <v>127040</v>
      </c>
      <c r="N264" s="163">
        <f t="shared" si="39"/>
        <v>8.071603431989924</v>
      </c>
      <c r="O264" s="90">
        <v>254</v>
      </c>
    </row>
    <row r="265" spans="1:15" s="83" customFormat="1" ht="12" customHeight="1">
      <c r="A265" s="84">
        <v>255</v>
      </c>
      <c r="B265" s="249" t="s">
        <v>320</v>
      </c>
      <c r="C265" s="100">
        <v>40515</v>
      </c>
      <c r="D265" s="101" t="s">
        <v>32</v>
      </c>
      <c r="E265" s="102">
        <v>62</v>
      </c>
      <c r="F265" s="102">
        <v>2</v>
      </c>
      <c r="G265" s="102">
        <v>27</v>
      </c>
      <c r="H265" s="475">
        <v>4335.5</v>
      </c>
      <c r="I265" s="476">
        <v>1084</v>
      </c>
      <c r="J265" s="218">
        <f>I265/F265</f>
        <v>542</v>
      </c>
      <c r="K265" s="297">
        <f t="shared" si="38"/>
        <v>3.999538745387454</v>
      </c>
      <c r="L265" s="20">
        <f>353151+191248+132731.5+71376+47862+26248.5+19265+34650.5+35095.5+42312+25849+10987+7528+3248+2395.5+3280.5+3141.5+4280+3042+1597+6128+4358+2107+777+4230+4335.5</f>
        <v>1041224</v>
      </c>
      <c r="M265" s="21">
        <f>34650+19352+14525+10591+7581+5012+3223+6065+6865+6589+3930+1782+1091+624+468+512+688+987+804+306+1395+991+478+166+1058+1084</f>
        <v>130817</v>
      </c>
      <c r="N265" s="298">
        <f t="shared" si="39"/>
        <v>7.959393656787726</v>
      </c>
      <c r="O265" s="90">
        <v>255</v>
      </c>
    </row>
    <row r="266" spans="1:15" s="83" customFormat="1" ht="12" customHeight="1">
      <c r="A266" s="84">
        <v>256</v>
      </c>
      <c r="B266" s="158" t="s">
        <v>320</v>
      </c>
      <c r="C266" s="26">
        <v>40515</v>
      </c>
      <c r="D266" s="442" t="s">
        <v>32</v>
      </c>
      <c r="E266" s="27">
        <v>62</v>
      </c>
      <c r="F266" s="27">
        <v>5</v>
      </c>
      <c r="G266" s="27">
        <v>22</v>
      </c>
      <c r="H266" s="325">
        <v>4328</v>
      </c>
      <c r="I266" s="326">
        <v>991</v>
      </c>
      <c r="J266" s="97">
        <f>(I266/F266)</f>
        <v>198.2</v>
      </c>
      <c r="K266" s="166">
        <f t="shared" si="38"/>
        <v>4.367305751765893</v>
      </c>
      <c r="L266" s="8">
        <f>353151+191248+132731.5+71376+47862+26248.5+19265+34650.5+35095.5+42312+25849+10987+7528+3248+2395.5+3280.5+3141.5+4280+3042+1597+6128+4328</f>
        <v>1029744.5</v>
      </c>
      <c r="M266" s="7">
        <f>34650+19352+14525+10591+7581+5012+3223+6065+6865+6589+3930+1782+1091+624+468+512+688+987+804+306+1395+991</f>
        <v>128031</v>
      </c>
      <c r="N266" s="163">
        <f t="shared" si="39"/>
        <v>8.042931008896282</v>
      </c>
      <c r="O266" s="90">
        <v>256</v>
      </c>
    </row>
    <row r="267" spans="1:15" s="83" customFormat="1" ht="12" customHeight="1">
      <c r="A267" s="84">
        <v>257</v>
      </c>
      <c r="B267" s="170" t="s">
        <v>320</v>
      </c>
      <c r="C267" s="171">
        <v>40515</v>
      </c>
      <c r="D267" s="388" t="s">
        <v>32</v>
      </c>
      <c r="E267" s="172">
        <v>62</v>
      </c>
      <c r="F267" s="172">
        <v>8</v>
      </c>
      <c r="G267" s="172">
        <v>18</v>
      </c>
      <c r="H267" s="469">
        <v>4280</v>
      </c>
      <c r="I267" s="470">
        <v>987</v>
      </c>
      <c r="J267" s="173">
        <f>(I267/F267)</f>
        <v>123.375</v>
      </c>
      <c r="K267" s="174">
        <f t="shared" si="38"/>
        <v>4.336372847011145</v>
      </c>
      <c r="L267" s="175">
        <f>353151+191248+132731.5+71376+47862+26248.5+19265+34650.5+35095.5+42312+25849+10987+7528+3248+2395.5+3280.5+3141.5+4280</f>
        <v>1014649.5</v>
      </c>
      <c r="M267" s="176">
        <f>34650+19352+14525+10591+7581+5012+3223+6065+6865+6589+3930+1782+1091+624+468+512+688+987</f>
        <v>124535</v>
      </c>
      <c r="N267" s="177">
        <f t="shared" si="39"/>
        <v>8.147504717549284</v>
      </c>
      <c r="O267" s="90">
        <v>257</v>
      </c>
    </row>
    <row r="268" spans="1:15" s="83" customFormat="1" ht="12" customHeight="1">
      <c r="A268" s="84">
        <v>258</v>
      </c>
      <c r="B268" s="249" t="s">
        <v>320</v>
      </c>
      <c r="C268" s="100">
        <v>40515</v>
      </c>
      <c r="D268" s="101" t="s">
        <v>32</v>
      </c>
      <c r="E268" s="102">
        <v>62</v>
      </c>
      <c r="F268" s="102">
        <v>2</v>
      </c>
      <c r="G268" s="102">
        <v>25</v>
      </c>
      <c r="H268" s="443">
        <v>4230</v>
      </c>
      <c r="I268" s="444">
        <v>1058</v>
      </c>
      <c r="J268" s="87">
        <f>I268/F268</f>
        <v>529</v>
      </c>
      <c r="K268" s="88">
        <f t="shared" si="38"/>
        <v>3.9981096408317582</v>
      </c>
      <c r="L268" s="98">
        <f>353151+191248+132731.5+71376+47862+26248.5+19265+34650.5+35095.5+42312+25849+10987+7528+3248+2395.5+3280.5+3141.5+4280+3042+1597+6128+4358+2107+777+4230</f>
        <v>1036888.5</v>
      </c>
      <c r="M268" s="97">
        <f>34650+19352+14525+10591+7581+5012+3223+6065+6865+6589+3930+1782+1091+624+468+512+688+987+804+306+1395+991+478+166+1058</f>
        <v>129733</v>
      </c>
      <c r="N268" s="92">
        <f t="shared" si="39"/>
        <v>7.992480710382092</v>
      </c>
      <c r="O268" s="90">
        <v>258</v>
      </c>
    </row>
    <row r="269" spans="1:15" s="83" customFormat="1" ht="12" customHeight="1">
      <c r="A269" s="84">
        <v>259</v>
      </c>
      <c r="B269" s="158" t="s">
        <v>320</v>
      </c>
      <c r="C269" s="26">
        <v>40515</v>
      </c>
      <c r="D269" s="24" t="s">
        <v>32</v>
      </c>
      <c r="E269" s="27">
        <v>62</v>
      </c>
      <c r="F269" s="27">
        <v>8</v>
      </c>
      <c r="G269" s="27">
        <v>16</v>
      </c>
      <c r="H269" s="325">
        <v>3280.5</v>
      </c>
      <c r="I269" s="326">
        <v>512</v>
      </c>
      <c r="J269" s="97">
        <f>(I269/F269)</f>
        <v>64</v>
      </c>
      <c r="K269" s="161">
        <f t="shared" si="38"/>
        <v>6.4072265625</v>
      </c>
      <c r="L269" s="8">
        <f>353151+191248+132731.5+71376+47862+26248.5+19265+34650.5+35095.5+42312+25849+10987+7528+3248+2395.5+3280.5</f>
        <v>1007228</v>
      </c>
      <c r="M269" s="7">
        <f>34650+19352+14525+10591+7581+5012+3223+6065+6865+6589+3930+1782+1091+624+468+512</f>
        <v>122860</v>
      </c>
      <c r="N269" s="163">
        <f t="shared" si="39"/>
        <v>8.198176786586359</v>
      </c>
      <c r="O269" s="90">
        <v>259</v>
      </c>
    </row>
    <row r="270" spans="1:15" s="83" customFormat="1" ht="12" customHeight="1">
      <c r="A270" s="84">
        <v>260</v>
      </c>
      <c r="B270" s="158" t="s">
        <v>320</v>
      </c>
      <c r="C270" s="26">
        <v>40515</v>
      </c>
      <c r="D270" s="24" t="s">
        <v>32</v>
      </c>
      <c r="E270" s="27">
        <v>62</v>
      </c>
      <c r="F270" s="27">
        <v>9</v>
      </c>
      <c r="G270" s="27">
        <v>14</v>
      </c>
      <c r="H270" s="325">
        <v>3248</v>
      </c>
      <c r="I270" s="326">
        <v>624</v>
      </c>
      <c r="J270" s="97">
        <f>(I270/F270)</f>
        <v>69.33333333333333</v>
      </c>
      <c r="K270" s="161">
        <f t="shared" si="38"/>
        <v>5.205128205128205</v>
      </c>
      <c r="L270" s="8">
        <f>353151+191248+132731.5+71376+47862+26248.5+19265+34650.5+35095.5+42312+25849+10987+7528+3248</f>
        <v>1001552</v>
      </c>
      <c r="M270" s="7">
        <f>34650+19352+14525+10591+7581+5012+3223+6065+6865+6589+3930+1782+1091+624</f>
        <v>121880</v>
      </c>
      <c r="N270" s="163">
        <f t="shared" si="39"/>
        <v>8.217525434853954</v>
      </c>
      <c r="O270" s="90">
        <v>260</v>
      </c>
    </row>
    <row r="271" spans="1:15" s="83" customFormat="1" ht="12" customHeight="1">
      <c r="A271" s="84">
        <v>261</v>
      </c>
      <c r="B271" s="178" t="s">
        <v>320</v>
      </c>
      <c r="C271" s="26">
        <v>40515</v>
      </c>
      <c r="D271" s="165" t="s">
        <v>137</v>
      </c>
      <c r="E271" s="167">
        <v>62</v>
      </c>
      <c r="F271" s="167">
        <v>6</v>
      </c>
      <c r="G271" s="167">
        <v>17</v>
      </c>
      <c r="H271" s="325">
        <v>3141.5</v>
      </c>
      <c r="I271" s="326">
        <v>688</v>
      </c>
      <c r="J271" s="97">
        <f>(I271/F271)</f>
        <v>114.66666666666667</v>
      </c>
      <c r="K271" s="179">
        <f t="shared" si="38"/>
        <v>4.566133720930233</v>
      </c>
      <c r="L271" s="8">
        <f>353151+191248+132731.5+71376+47862+26248.5+19265+34650.5+35095.5+42312+25849+10987+7528+3248+2395.5+3280.5+3141.5</f>
        <v>1010369.5</v>
      </c>
      <c r="M271" s="7">
        <f>34650+19352+14525+10591+7581+5012+3223+6065+6865+6589+3930+1782+1091+624+468+512+688</f>
        <v>123548</v>
      </c>
      <c r="N271" s="163">
        <f t="shared" si="39"/>
        <v>8.177951079742286</v>
      </c>
      <c r="O271" s="90">
        <v>261</v>
      </c>
    </row>
    <row r="272" spans="1:15" s="83" customFormat="1" ht="12" customHeight="1">
      <c r="A272" s="84">
        <v>262</v>
      </c>
      <c r="B272" s="445" t="s">
        <v>320</v>
      </c>
      <c r="C272" s="389">
        <v>40515</v>
      </c>
      <c r="D272" s="390" t="s">
        <v>32</v>
      </c>
      <c r="E272" s="391">
        <v>62</v>
      </c>
      <c r="F272" s="391">
        <v>6</v>
      </c>
      <c r="G272" s="391">
        <v>19</v>
      </c>
      <c r="H272" s="325">
        <v>3042</v>
      </c>
      <c r="I272" s="326">
        <v>804</v>
      </c>
      <c r="J272" s="96">
        <v>134</v>
      </c>
      <c r="K272" s="169">
        <v>3.783582089552239</v>
      </c>
      <c r="L272" s="8">
        <v>1017691.5</v>
      </c>
      <c r="M272" s="7">
        <v>125339</v>
      </c>
      <c r="N272" s="163">
        <v>8.119511883771212</v>
      </c>
      <c r="O272" s="90">
        <v>262</v>
      </c>
    </row>
    <row r="273" spans="1:15" s="83" customFormat="1" ht="12" customHeight="1">
      <c r="A273" s="84">
        <v>263</v>
      </c>
      <c r="B273" s="158" t="s">
        <v>320</v>
      </c>
      <c r="C273" s="26">
        <v>40515</v>
      </c>
      <c r="D273" s="24" t="s">
        <v>32</v>
      </c>
      <c r="E273" s="27">
        <v>62</v>
      </c>
      <c r="F273" s="27">
        <v>8</v>
      </c>
      <c r="G273" s="27">
        <v>15</v>
      </c>
      <c r="H273" s="325">
        <v>2395.5</v>
      </c>
      <c r="I273" s="326">
        <v>468</v>
      </c>
      <c r="J273" s="97">
        <f>(I273/F273)</f>
        <v>58.5</v>
      </c>
      <c r="K273" s="161">
        <f aca="true" t="shared" si="41" ref="K273:K281">H273/I273</f>
        <v>5.118589743589744</v>
      </c>
      <c r="L273" s="8">
        <f>353151+191248+132731.5+71376+47862+26248.5+19265+34650.5+35095.5+42312+25849+10987+7528+3248+2395.5</f>
        <v>1003947.5</v>
      </c>
      <c r="M273" s="7">
        <f>34650+19352+14525+10591+7581+5012+3223+6065+6865+6589+3930+1782+1091+624+468</f>
        <v>122348</v>
      </c>
      <c r="N273" s="163">
        <f>L273/M273</f>
        <v>8.205671527119364</v>
      </c>
      <c r="O273" s="90">
        <v>263</v>
      </c>
    </row>
    <row r="274" spans="1:15" s="83" customFormat="1" ht="12" customHeight="1">
      <c r="A274" s="84">
        <v>264</v>
      </c>
      <c r="B274" s="158" t="s">
        <v>320</v>
      </c>
      <c r="C274" s="26">
        <v>40515</v>
      </c>
      <c r="D274" s="24" t="s">
        <v>32</v>
      </c>
      <c r="E274" s="27">
        <v>62</v>
      </c>
      <c r="F274" s="27">
        <v>4</v>
      </c>
      <c r="G274" s="27">
        <v>23</v>
      </c>
      <c r="H274" s="325">
        <v>2107</v>
      </c>
      <c r="I274" s="326">
        <v>478</v>
      </c>
      <c r="J274" s="97">
        <f>(I274/F274)</f>
        <v>119.5</v>
      </c>
      <c r="K274" s="161">
        <f t="shared" si="41"/>
        <v>4.407949790794979</v>
      </c>
      <c r="L274" s="8">
        <f>353151+191248+132731.5+71376+47862+26248.5+19265+34650.5+35095.5+42312+25849+10987+7528+3248+2395.5+3280.5+3141.5+4280+3042+1597+6128+4358+2107</f>
        <v>1031881.5</v>
      </c>
      <c r="M274" s="7">
        <f>34650+19352+14525+10591+7581+5012+3223+6065+6865+6589+3930+1782+1091+624+468+512+688+987+804+306+1395+991+478</f>
        <v>128509</v>
      </c>
      <c r="N274" s="163">
        <f>L274/M274</f>
        <v>8.029643838174758</v>
      </c>
      <c r="O274" s="90">
        <v>264</v>
      </c>
    </row>
    <row r="275" spans="1:15" s="83" customFormat="1" ht="12" customHeight="1">
      <c r="A275" s="84">
        <v>265</v>
      </c>
      <c r="B275" s="417" t="s">
        <v>320</v>
      </c>
      <c r="C275" s="418">
        <v>40515</v>
      </c>
      <c r="D275" s="101" t="s">
        <v>32</v>
      </c>
      <c r="E275" s="420">
        <v>62</v>
      </c>
      <c r="F275" s="172">
        <v>3</v>
      </c>
      <c r="G275" s="322">
        <v>29</v>
      </c>
      <c r="H275" s="325">
        <v>1978</v>
      </c>
      <c r="I275" s="326">
        <v>474</v>
      </c>
      <c r="J275" s="87">
        <f>I275/F275</f>
        <v>158</v>
      </c>
      <c r="K275" s="88">
        <f t="shared" si="41"/>
        <v>4.172995780590718</v>
      </c>
      <c r="L275" s="8">
        <f>353151+191248+132731.5+71376+47862+26248.5+19265+34650.5+35095.5+42312+25849+10987+7528+3248+2395.5+3280.5+3141.5+4280+3042+1597+6128+4358+2107+777+4230+4335.5+1718.5+594+1978</f>
        <v>1045514.5</v>
      </c>
      <c r="M275" s="7">
        <f>34650+19352+14525+10591+7581+5012+3223+6065+6865+6589+3930+1782+1091+624+468+512+688+987+804+306+1395+991+478+166+1058+1084+430+148+474</f>
        <v>131869</v>
      </c>
      <c r="N275" s="92">
        <f>L275/M275</f>
        <v>7.9284327628176445</v>
      </c>
      <c r="O275" s="90">
        <v>265</v>
      </c>
    </row>
    <row r="276" spans="1:15" s="83" customFormat="1" ht="12" customHeight="1">
      <c r="A276" s="84">
        <v>266</v>
      </c>
      <c r="B276" s="417" t="s">
        <v>320</v>
      </c>
      <c r="C276" s="418">
        <v>40515</v>
      </c>
      <c r="D276" s="419" t="s">
        <v>137</v>
      </c>
      <c r="E276" s="420">
        <v>62</v>
      </c>
      <c r="F276" s="172">
        <v>2</v>
      </c>
      <c r="G276" s="420">
        <v>27</v>
      </c>
      <c r="H276" s="325">
        <v>1718.5</v>
      </c>
      <c r="I276" s="326">
        <v>430</v>
      </c>
      <c r="J276" s="218">
        <f>I276/F276</f>
        <v>215</v>
      </c>
      <c r="K276" s="297">
        <f t="shared" si="41"/>
        <v>3.9965116279069766</v>
      </c>
      <c r="L276" s="8">
        <f>353151+191248+132731.5+71376+47862+26248.5+19265+34650.5+35095.5+42312+25849+10987+7528+3248+2395.5+3280.5+3141.5+4280+3042+1597+6128+4358+2107+777+4230+4335.5+1718.5</f>
        <v>1042942.5</v>
      </c>
      <c r="M276" s="7">
        <f>34650+19352+14525+10591+7581+5012+3223+6065+6865+6589+3930+1782+1091+624+468+512+688+987+804+306+1395+991+478+166+1058+1084+430</f>
        <v>131247</v>
      </c>
      <c r="N276" s="89">
        <f>+L276/M276</f>
        <v>7.946410203661798</v>
      </c>
      <c r="O276" s="90">
        <v>266</v>
      </c>
    </row>
    <row r="277" spans="1:15" s="83" customFormat="1" ht="12" customHeight="1">
      <c r="A277" s="84">
        <v>267</v>
      </c>
      <c r="B277" s="158" t="s">
        <v>320</v>
      </c>
      <c r="C277" s="26">
        <v>40515</v>
      </c>
      <c r="D277" s="24" t="s">
        <v>32</v>
      </c>
      <c r="E277" s="27">
        <v>62</v>
      </c>
      <c r="F277" s="27">
        <v>3</v>
      </c>
      <c r="G277" s="27">
        <v>20</v>
      </c>
      <c r="H277" s="325">
        <v>1597</v>
      </c>
      <c r="I277" s="326">
        <v>306</v>
      </c>
      <c r="J277" s="97">
        <f>(I277/F277)</f>
        <v>102</v>
      </c>
      <c r="K277" s="161">
        <f t="shared" si="41"/>
        <v>5.218954248366013</v>
      </c>
      <c r="L277" s="8">
        <f>353151+191248+132731.5+71376+47862+26248.5+19265+34650.5+35095.5+42312+25849+10987+7528+3248+2395.5+3280.5+3141.5+4280+3042+1597</f>
        <v>1019288.5</v>
      </c>
      <c r="M277" s="7">
        <f>34650+19352+14525+10591+7581+5012+3223+6065+6865+6589+3930+1782+1091+624+468+512+688+987+804+306</f>
        <v>125645</v>
      </c>
      <c r="N277" s="163">
        <f>L277/M277</f>
        <v>8.112447769509332</v>
      </c>
      <c r="O277" s="90">
        <v>267</v>
      </c>
    </row>
    <row r="278" spans="1:15" s="83" customFormat="1" ht="12" customHeight="1">
      <c r="A278" s="84">
        <v>268</v>
      </c>
      <c r="B278" s="557" t="s">
        <v>320</v>
      </c>
      <c r="C278" s="418">
        <v>40515</v>
      </c>
      <c r="D278" s="101" t="s">
        <v>32</v>
      </c>
      <c r="E278" s="420">
        <v>62</v>
      </c>
      <c r="F278" s="172">
        <v>1</v>
      </c>
      <c r="G278" s="420">
        <v>32</v>
      </c>
      <c r="H278" s="325">
        <v>1188</v>
      </c>
      <c r="I278" s="326">
        <v>297</v>
      </c>
      <c r="J278" s="87">
        <f>I278/F278</f>
        <v>297</v>
      </c>
      <c r="K278" s="88">
        <f t="shared" si="41"/>
        <v>4</v>
      </c>
      <c r="L278" s="8">
        <f>353151+191248+132731.5+71376+47862+26248.5+19265+34650.5+35095.5+42312+25849+10987+7528+3248+2395.5+3280.5+3141.5+4280+3042+1597+6128+4358+2107+777+4230+4335.5+1718.5+594+1978+2020+7747.5+1188</f>
        <v>1056470</v>
      </c>
      <c r="M278" s="7">
        <f>34650+19352+14525+10591+7581+5012+3223+6065+6865+6589+3930+1782+1091+624+468+512+688+987+804+306+1395+991+478+166+1058+1084+430+148+474+261+1593+297</f>
        <v>134020</v>
      </c>
      <c r="N278" s="92">
        <f>L278/M278</f>
        <v>7.88292792120579</v>
      </c>
      <c r="O278" s="90">
        <v>268</v>
      </c>
    </row>
    <row r="279" spans="1:15" s="83" customFormat="1" ht="12" customHeight="1">
      <c r="A279" s="84">
        <v>269</v>
      </c>
      <c r="B279" s="158" t="s">
        <v>320</v>
      </c>
      <c r="C279" s="26">
        <v>40515</v>
      </c>
      <c r="D279" s="24" t="s">
        <v>32</v>
      </c>
      <c r="E279" s="27">
        <v>62</v>
      </c>
      <c r="F279" s="27">
        <v>2</v>
      </c>
      <c r="G279" s="27">
        <v>24</v>
      </c>
      <c r="H279" s="325">
        <v>777</v>
      </c>
      <c r="I279" s="326">
        <v>166</v>
      </c>
      <c r="J279" s="97">
        <f>(I279/F279)</f>
        <v>83</v>
      </c>
      <c r="K279" s="161">
        <f t="shared" si="41"/>
        <v>4.680722891566265</v>
      </c>
      <c r="L279" s="8">
        <f>353151+191248+132731.5+71376+47862+26248.5+19265+34650.5+35095.5+42312+25849+10987+7528+3248+2395.5+3280.5+3141.5+4280+3042+1597+6128+4358+2107+777</f>
        <v>1032658.5</v>
      </c>
      <c r="M279" s="7">
        <f>34650+19352+14525+10591+7581+5012+3223+6065+6865+6589+3930+1782+1091+624+468+512+688+987+804+306+1395+991+478+166</f>
        <v>128675</v>
      </c>
      <c r="N279" s="163">
        <f>L279/M279</f>
        <v>8.025323489411308</v>
      </c>
      <c r="O279" s="90">
        <v>269</v>
      </c>
    </row>
    <row r="280" spans="1:15" s="83" customFormat="1" ht="12" customHeight="1">
      <c r="A280" s="84">
        <v>270</v>
      </c>
      <c r="B280" s="446" t="s">
        <v>320</v>
      </c>
      <c r="C280" s="374">
        <v>40515</v>
      </c>
      <c r="D280" s="101" t="s">
        <v>32</v>
      </c>
      <c r="E280" s="420">
        <v>62</v>
      </c>
      <c r="F280" s="172">
        <v>1</v>
      </c>
      <c r="G280" s="420">
        <v>28</v>
      </c>
      <c r="H280" s="325">
        <v>594</v>
      </c>
      <c r="I280" s="326">
        <v>148</v>
      </c>
      <c r="J280" s="218">
        <f>I280/F280</f>
        <v>148</v>
      </c>
      <c r="K280" s="297">
        <f t="shared" si="41"/>
        <v>4.013513513513513</v>
      </c>
      <c r="L280" s="8">
        <f>353151+191248+132731.5+71376+47862+26248.5+19265+34650.5+35095.5+42312+25849+10987+7528+3248+2395.5+3280.5+3141.5+4280+3042+1597+6128+4358+2107+777+4230+4335.5+1718.5+594</f>
        <v>1043536.5</v>
      </c>
      <c r="M280" s="7">
        <f>34650+19352+14525+10591+7581+5012+3223+6065+6865+6589+3930+1782+1091+624+468+512+688+987+804+306+1395+991+478+166+1058+1084+430+148</f>
        <v>131395</v>
      </c>
      <c r="N280" s="92">
        <f>L280/M280</f>
        <v>7.9419802884432436</v>
      </c>
      <c r="O280" s="90">
        <v>270</v>
      </c>
    </row>
    <row r="281" spans="1:15" s="83" customFormat="1" ht="12" customHeight="1">
      <c r="A281" s="84">
        <v>271</v>
      </c>
      <c r="B281" s="698" t="s">
        <v>320</v>
      </c>
      <c r="C281" s="648">
        <v>40515</v>
      </c>
      <c r="D281" s="537" t="s">
        <v>32</v>
      </c>
      <c r="E281" s="649">
        <v>62</v>
      </c>
      <c r="F281" s="25">
        <v>1</v>
      </c>
      <c r="G281" s="649">
        <v>33</v>
      </c>
      <c r="H281" s="475">
        <v>329</v>
      </c>
      <c r="I281" s="476">
        <v>63</v>
      </c>
      <c r="J281" s="218">
        <f>I281/F281</f>
        <v>63</v>
      </c>
      <c r="K281" s="297">
        <f t="shared" si="41"/>
        <v>5.222222222222222</v>
      </c>
      <c r="L281" s="20">
        <f>353151+191248+132731.5+71376+47862+26248.5+19265+34650.5+35095.5+42312+25849+10987+7528+3248+2395.5+3280.5+3141.5+4280+3042+1597+6128+4358+2107+777+4230+4335.5+1718.5+594+1978+2020+7747.5+1188+329</f>
        <v>1056799</v>
      </c>
      <c r="M281" s="21">
        <f>34650+19352+14525+10591+7581+5012+3223+6065+6865+6589+3930+1782+1091+624+468+512+688+987+804+306+1395+991+478+166+1058+1084+430+148+474+261+1593+297+63</f>
        <v>134083</v>
      </c>
      <c r="N281" s="298">
        <f>+L281/M281</f>
        <v>7.881677766756412</v>
      </c>
      <c r="O281" s="90">
        <v>271</v>
      </c>
    </row>
    <row r="282" spans="1:15" s="83" customFormat="1" ht="12" customHeight="1">
      <c r="A282" s="84">
        <v>272</v>
      </c>
      <c r="B282" s="191" t="s">
        <v>163</v>
      </c>
      <c r="C282" s="26">
        <v>40487</v>
      </c>
      <c r="D282" s="215" t="s">
        <v>23</v>
      </c>
      <c r="E282" s="27">
        <v>205</v>
      </c>
      <c r="F282" s="27">
        <v>3</v>
      </c>
      <c r="G282" s="27">
        <v>9</v>
      </c>
      <c r="H282" s="489">
        <v>2650</v>
      </c>
      <c r="I282" s="468">
        <v>405</v>
      </c>
      <c r="J282" s="32">
        <f>I282/F282</f>
        <v>135</v>
      </c>
      <c r="K282" s="220">
        <f>+H282/I282</f>
        <v>6.54320987654321</v>
      </c>
      <c r="L282" s="22">
        <v>1135918</v>
      </c>
      <c r="M282" s="33">
        <v>131505</v>
      </c>
      <c r="N282" s="213">
        <f>+L282/M282</f>
        <v>8.637831261168778</v>
      </c>
      <c r="O282" s="90">
        <v>272</v>
      </c>
    </row>
    <row r="283" spans="1:15" s="83" customFormat="1" ht="12" customHeight="1">
      <c r="A283" s="84">
        <v>273</v>
      </c>
      <c r="B283" s="191" t="s">
        <v>321</v>
      </c>
      <c r="C283" s="26">
        <v>40473</v>
      </c>
      <c r="D283" s="215" t="s">
        <v>23</v>
      </c>
      <c r="E283" s="27">
        <v>100</v>
      </c>
      <c r="F283" s="27">
        <v>1</v>
      </c>
      <c r="G283" s="27">
        <v>11</v>
      </c>
      <c r="H283" s="489">
        <v>846</v>
      </c>
      <c r="I283" s="468">
        <v>141</v>
      </c>
      <c r="J283" s="32">
        <f>I283/F283</f>
        <v>141</v>
      </c>
      <c r="K283" s="220">
        <f>+H283/I283</f>
        <v>6</v>
      </c>
      <c r="L283" s="22">
        <v>1818047</v>
      </c>
      <c r="M283" s="33">
        <v>188946</v>
      </c>
      <c r="N283" s="213">
        <f>+L283/M283</f>
        <v>9.622045452139766</v>
      </c>
      <c r="O283" s="90">
        <v>273</v>
      </c>
    </row>
    <row r="284" spans="1:15" s="83" customFormat="1" ht="12" customHeight="1">
      <c r="A284" s="84">
        <v>274</v>
      </c>
      <c r="B284" s="392" t="s">
        <v>322</v>
      </c>
      <c r="C284" s="26">
        <v>40228</v>
      </c>
      <c r="D284" s="24" t="s">
        <v>32</v>
      </c>
      <c r="E284" s="27">
        <v>88</v>
      </c>
      <c r="F284" s="27">
        <v>1</v>
      </c>
      <c r="G284" s="27">
        <v>25</v>
      </c>
      <c r="H284" s="325">
        <v>1782</v>
      </c>
      <c r="I284" s="326">
        <v>445</v>
      </c>
      <c r="J284" s="97">
        <f>(I284/F284)</f>
        <v>445</v>
      </c>
      <c r="K284" s="161">
        <f>H284/I284</f>
        <v>4.004494382022472</v>
      </c>
      <c r="L284" s="8">
        <f>848677.55+469+99+661+35+1782+1782</f>
        <v>853505.55</v>
      </c>
      <c r="M284" s="7">
        <f>99747+71+15+97+3+445+445</f>
        <v>100823</v>
      </c>
      <c r="N284" s="163">
        <f>L284/M284</f>
        <v>8.465385378336293</v>
      </c>
      <c r="O284" s="90">
        <v>274</v>
      </c>
    </row>
    <row r="285" spans="1:15" s="83" customFormat="1" ht="12" customHeight="1">
      <c r="A285" s="84">
        <v>275</v>
      </c>
      <c r="B285" s="409" t="s">
        <v>323</v>
      </c>
      <c r="C285" s="404">
        <v>40347</v>
      </c>
      <c r="D285" s="165" t="s">
        <v>32</v>
      </c>
      <c r="E285" s="410">
        <v>66</v>
      </c>
      <c r="F285" s="410">
        <v>3</v>
      </c>
      <c r="G285" s="410">
        <v>27</v>
      </c>
      <c r="H285" s="325">
        <v>3382</v>
      </c>
      <c r="I285" s="326">
        <v>852</v>
      </c>
      <c r="J285" s="97">
        <f>(I285/F285)</f>
        <v>284</v>
      </c>
      <c r="K285" s="161">
        <f>H285/I285</f>
        <v>3.9694835680751175</v>
      </c>
      <c r="L285" s="8">
        <f>478213+7083+3309.5+6055+4900+8378+4378.5+2349+3103+2074+7679.5+6108+2991.5+2180+2234+642+2775.5+1757+1151+3382</f>
        <v>550743.5</v>
      </c>
      <c r="M285" s="7">
        <f>55327+1259+553+1133+756+1285+650+408+682+334+1688+1394+539+483+475+201+677+260+202+852</f>
        <v>69158</v>
      </c>
      <c r="N285" s="163">
        <f>L285/M285</f>
        <v>7.963554469475693</v>
      </c>
      <c r="O285" s="90">
        <v>275</v>
      </c>
    </row>
    <row r="286" spans="1:15" s="83" customFormat="1" ht="12" customHeight="1">
      <c r="A286" s="84">
        <v>276</v>
      </c>
      <c r="B286" s="447" t="s">
        <v>323</v>
      </c>
      <c r="C286" s="448">
        <v>40347</v>
      </c>
      <c r="D286" s="101" t="s">
        <v>32</v>
      </c>
      <c r="E286" s="449">
        <v>66</v>
      </c>
      <c r="F286" s="449">
        <v>2</v>
      </c>
      <c r="G286" s="449">
        <v>30</v>
      </c>
      <c r="H286" s="443">
        <v>2851</v>
      </c>
      <c r="I286" s="444">
        <v>712</v>
      </c>
      <c r="J286" s="87">
        <f>I286/F286</f>
        <v>356</v>
      </c>
      <c r="K286" s="88">
        <f>H286/I286</f>
        <v>4.004213483146067</v>
      </c>
      <c r="L286" s="98">
        <f>478213+7083+3309.5+6055+4900+8378+4378.5+2349+3103+2074+7679.5+6108+2991.5+2180+2234+642+2775.5+1757+1151+3382+60+1782+2851</f>
        <v>555436.5</v>
      </c>
      <c r="M286" s="97">
        <f>55327+1259+553+1133+756+1285+650+408+682+334+1688+1394+539+483+475+201+677+260+202+852+20+445+712</f>
        <v>70335</v>
      </c>
      <c r="N286" s="92">
        <f>L286/M286</f>
        <v>7.89701428876093</v>
      </c>
      <c r="O286" s="90">
        <v>276</v>
      </c>
    </row>
    <row r="287" spans="1:15" s="83" customFormat="1" ht="12" customHeight="1">
      <c r="A287" s="84">
        <v>277</v>
      </c>
      <c r="B287" s="409" t="s">
        <v>323</v>
      </c>
      <c r="C287" s="404">
        <v>40347</v>
      </c>
      <c r="D287" s="165" t="s">
        <v>32</v>
      </c>
      <c r="E287" s="410">
        <v>66</v>
      </c>
      <c r="F287" s="410">
        <v>1</v>
      </c>
      <c r="G287" s="410">
        <v>29</v>
      </c>
      <c r="H287" s="325">
        <v>1782</v>
      </c>
      <c r="I287" s="326">
        <v>445</v>
      </c>
      <c r="J287" s="97">
        <f>(I287/F287)</f>
        <v>445</v>
      </c>
      <c r="K287" s="161">
        <f>H287/I287</f>
        <v>4.004494382022472</v>
      </c>
      <c r="L287" s="8">
        <f>478213+7083+3309.5+6055+4900+8378+4378.5+2349+3103+2074+7679.5+6108+2991.5+2180+2234+642+2775.5+1757+1151+3382+60+1782</f>
        <v>552585.5</v>
      </c>
      <c r="M287" s="7">
        <f>55327+1259+553+1133+756+1285+650+408+682+334+1688+1394+539+483+475+201+677+260+202+852+20+445</f>
        <v>69623</v>
      </c>
      <c r="N287" s="163">
        <f>L287/M287</f>
        <v>7.936824038033408</v>
      </c>
      <c r="O287" s="90">
        <v>277</v>
      </c>
    </row>
    <row r="288" spans="1:15" s="83" customFormat="1" ht="12" customHeight="1">
      <c r="A288" s="84">
        <v>278</v>
      </c>
      <c r="B288" s="406" t="s">
        <v>323</v>
      </c>
      <c r="C288" s="407">
        <v>40347</v>
      </c>
      <c r="D288" s="165" t="s">
        <v>32</v>
      </c>
      <c r="E288" s="408">
        <v>66</v>
      </c>
      <c r="F288" s="408">
        <v>1</v>
      </c>
      <c r="G288" s="408">
        <v>28</v>
      </c>
      <c r="H288" s="469">
        <v>60</v>
      </c>
      <c r="I288" s="470">
        <v>20</v>
      </c>
      <c r="J288" s="173">
        <f>(I288/F288)</f>
        <v>20</v>
      </c>
      <c r="K288" s="174">
        <f>H288/I288</f>
        <v>3</v>
      </c>
      <c r="L288" s="175">
        <f>478213+7083+3309.5+6055+4900+8378+4378.5+2349+3103+2074+7679.5+6108+2991.5+2180+2234+642+2775.5+1757+1151+3382+60</f>
        <v>550803.5</v>
      </c>
      <c r="M288" s="176">
        <f>55327+1259+553+1133+756+1285+650+408+682+334+1688+1394+539+483+475+201+677+260+202+852+20</f>
        <v>69178</v>
      </c>
      <c r="N288" s="177">
        <f>L288/M288</f>
        <v>7.962119459943913</v>
      </c>
      <c r="O288" s="90">
        <v>278</v>
      </c>
    </row>
    <row r="289" spans="1:15" s="83" customFormat="1" ht="12" customHeight="1">
      <c r="A289" s="84">
        <v>279</v>
      </c>
      <c r="B289" s="182" t="s">
        <v>164</v>
      </c>
      <c r="C289" s="2">
        <v>38764</v>
      </c>
      <c r="D289" s="16" t="s">
        <v>21</v>
      </c>
      <c r="E289" s="3">
        <v>113</v>
      </c>
      <c r="F289" s="3">
        <v>1</v>
      </c>
      <c r="G289" s="3">
        <v>20</v>
      </c>
      <c r="H289" s="479">
        <v>2014</v>
      </c>
      <c r="I289" s="453">
        <v>403</v>
      </c>
      <c r="J289" s="87">
        <f>IF(H289&lt;&gt;0,I289/F289,"")</f>
        <v>403</v>
      </c>
      <c r="K289" s="189">
        <f>IF(H289&lt;&gt;0,H289/I289,"")</f>
        <v>4.997518610421836</v>
      </c>
      <c r="L289" s="28">
        <f>1551334+0+1188+H289</f>
        <v>1554536</v>
      </c>
      <c r="M289" s="32">
        <f>207370+0+238+I289</f>
        <v>208011</v>
      </c>
      <c r="N289" s="188">
        <f>IF(L289&lt;&gt;0,L289/M289,"")</f>
        <v>7.473335544754844</v>
      </c>
      <c r="O289" s="90">
        <v>279</v>
      </c>
    </row>
    <row r="290" spans="1:15" s="83" customFormat="1" ht="12" customHeight="1">
      <c r="A290" s="84">
        <v>280</v>
      </c>
      <c r="B290" s="178" t="s">
        <v>324</v>
      </c>
      <c r="C290" s="26">
        <v>40025</v>
      </c>
      <c r="D290" s="165" t="s">
        <v>32</v>
      </c>
      <c r="E290" s="167">
        <v>1</v>
      </c>
      <c r="F290" s="167">
        <v>1</v>
      </c>
      <c r="G290" s="167">
        <v>9</v>
      </c>
      <c r="H290" s="325">
        <v>952</v>
      </c>
      <c r="I290" s="326">
        <v>238</v>
      </c>
      <c r="J290" s="97">
        <f>(I290/F290)</f>
        <v>238</v>
      </c>
      <c r="K290" s="161">
        <f aca="true" t="shared" si="42" ref="K290:K299">H290/I290</f>
        <v>4</v>
      </c>
      <c r="L290" s="8">
        <f>6157+1979.5+2138+815+825+343+114+159+952</f>
        <v>13482.5</v>
      </c>
      <c r="M290" s="7">
        <f>452+147+247+163+165+40+19+36+238</f>
        <v>1507</v>
      </c>
      <c r="N290" s="163">
        <f>L290/M290</f>
        <v>8.946582614465827</v>
      </c>
      <c r="O290" s="90">
        <v>280</v>
      </c>
    </row>
    <row r="291" spans="1:15" s="83" customFormat="1" ht="12" customHeight="1">
      <c r="A291" s="84">
        <v>281</v>
      </c>
      <c r="B291" s="205" t="s">
        <v>165</v>
      </c>
      <c r="C291" s="2">
        <v>40501</v>
      </c>
      <c r="D291" s="18" t="s">
        <v>141</v>
      </c>
      <c r="E291" s="4">
        <v>121</v>
      </c>
      <c r="F291" s="4">
        <v>18</v>
      </c>
      <c r="G291" s="4">
        <v>7</v>
      </c>
      <c r="H291" s="484">
        <v>10646</v>
      </c>
      <c r="I291" s="485">
        <v>2164</v>
      </c>
      <c r="J291" s="200">
        <f>I291/F291</f>
        <v>120.22222222222223</v>
      </c>
      <c r="K291" s="214">
        <f t="shared" si="42"/>
        <v>4.919593345656192</v>
      </c>
      <c r="L291" s="233">
        <v>1582988</v>
      </c>
      <c r="M291" s="203">
        <v>158006</v>
      </c>
      <c r="N291" s="204">
        <f>+L291/M291</f>
        <v>10.018530941862966</v>
      </c>
      <c r="O291" s="90">
        <v>281</v>
      </c>
    </row>
    <row r="292" spans="1:15" s="83" customFormat="1" ht="12" customHeight="1">
      <c r="A292" s="84">
        <v>282</v>
      </c>
      <c r="B292" s="185" t="s">
        <v>165</v>
      </c>
      <c r="C292" s="2">
        <v>40501</v>
      </c>
      <c r="D292" s="18" t="s">
        <v>141</v>
      </c>
      <c r="E292" s="4">
        <v>121</v>
      </c>
      <c r="F292" s="4">
        <v>6</v>
      </c>
      <c r="G292" s="4">
        <v>8</v>
      </c>
      <c r="H292" s="486">
        <v>6256</v>
      </c>
      <c r="I292" s="485">
        <v>1715</v>
      </c>
      <c r="J292" s="200">
        <f>I292/F292</f>
        <v>285.8333333333333</v>
      </c>
      <c r="K292" s="201">
        <f t="shared" si="42"/>
        <v>3.647813411078717</v>
      </c>
      <c r="L292" s="202">
        <v>1589244</v>
      </c>
      <c r="M292" s="203">
        <v>159721</v>
      </c>
      <c r="N292" s="204">
        <f>+L292/M292</f>
        <v>9.95012553139537</v>
      </c>
      <c r="O292" s="90">
        <v>282</v>
      </c>
    </row>
    <row r="293" spans="1:15" s="83" customFormat="1" ht="12" customHeight="1">
      <c r="A293" s="84">
        <v>283</v>
      </c>
      <c r="B293" s="185" t="s">
        <v>165</v>
      </c>
      <c r="C293" s="2">
        <v>40501</v>
      </c>
      <c r="D293" s="14" t="s">
        <v>141</v>
      </c>
      <c r="E293" s="4">
        <v>121</v>
      </c>
      <c r="F293" s="4">
        <v>5</v>
      </c>
      <c r="G293" s="4">
        <v>15</v>
      </c>
      <c r="H293" s="484">
        <v>5491.95</v>
      </c>
      <c r="I293" s="494">
        <v>1653</v>
      </c>
      <c r="J293" s="234">
        <f>I293/F293</f>
        <v>330.6</v>
      </c>
      <c r="K293" s="214">
        <f t="shared" si="42"/>
        <v>3.3224137931034483</v>
      </c>
      <c r="L293" s="233">
        <v>1609599</v>
      </c>
      <c r="M293" s="235">
        <v>165154</v>
      </c>
      <c r="N293" s="204">
        <f>+L293/M293</f>
        <v>9.74604914201291</v>
      </c>
      <c r="O293" s="90">
        <v>283</v>
      </c>
    </row>
    <row r="294" spans="1:15" s="83" customFormat="1" ht="12" customHeight="1">
      <c r="A294" s="84">
        <v>284</v>
      </c>
      <c r="B294" s="205" t="s">
        <v>165</v>
      </c>
      <c r="C294" s="2">
        <v>40501</v>
      </c>
      <c r="D294" s="14" t="s">
        <v>141</v>
      </c>
      <c r="E294" s="4">
        <v>121</v>
      </c>
      <c r="F294" s="4">
        <v>4</v>
      </c>
      <c r="G294" s="4">
        <v>10</v>
      </c>
      <c r="H294" s="486">
        <v>4266.5</v>
      </c>
      <c r="I294" s="485">
        <v>780</v>
      </c>
      <c r="J294" s="97">
        <f>(I294/F294)</f>
        <v>195</v>
      </c>
      <c r="K294" s="161">
        <f t="shared" si="42"/>
        <v>5.4698717948717945</v>
      </c>
      <c r="L294" s="202">
        <v>1596605</v>
      </c>
      <c r="M294" s="203">
        <v>161481</v>
      </c>
      <c r="N294" s="163">
        <f>L294/M294</f>
        <v>9.887262278534317</v>
      </c>
      <c r="O294" s="90">
        <v>284</v>
      </c>
    </row>
    <row r="295" spans="1:15" s="83" customFormat="1" ht="12" customHeight="1">
      <c r="A295" s="84">
        <v>285</v>
      </c>
      <c r="B295" s="185" t="s">
        <v>165</v>
      </c>
      <c r="C295" s="2">
        <v>40501</v>
      </c>
      <c r="D295" s="14" t="s">
        <v>141</v>
      </c>
      <c r="E295" s="4">
        <v>121</v>
      </c>
      <c r="F295" s="4">
        <v>3</v>
      </c>
      <c r="G295" s="4">
        <v>12</v>
      </c>
      <c r="H295" s="486">
        <v>1882</v>
      </c>
      <c r="I295" s="485">
        <v>579</v>
      </c>
      <c r="J295" s="200">
        <f>I295/F295</f>
        <v>193</v>
      </c>
      <c r="K295" s="201">
        <f t="shared" si="42"/>
        <v>3.250431778929188</v>
      </c>
      <c r="L295" s="202">
        <v>1599042</v>
      </c>
      <c r="M295" s="203">
        <v>162149</v>
      </c>
      <c r="N295" s="204">
        <f>+L295/M295</f>
        <v>9.86155942990706</v>
      </c>
      <c r="O295" s="90">
        <v>285</v>
      </c>
    </row>
    <row r="296" spans="1:15" s="83" customFormat="1" ht="12" customHeight="1">
      <c r="A296" s="84">
        <v>286</v>
      </c>
      <c r="B296" s="185" t="s">
        <v>165</v>
      </c>
      <c r="C296" s="2">
        <v>40501</v>
      </c>
      <c r="D296" s="14" t="s">
        <v>141</v>
      </c>
      <c r="E296" s="4">
        <v>121</v>
      </c>
      <c r="F296" s="4">
        <v>2</v>
      </c>
      <c r="G296" s="4">
        <v>13</v>
      </c>
      <c r="H296" s="486">
        <v>1565</v>
      </c>
      <c r="I296" s="485">
        <v>369</v>
      </c>
      <c r="J296" s="200">
        <f>I296/F296</f>
        <v>184.5</v>
      </c>
      <c r="K296" s="201">
        <f t="shared" si="42"/>
        <v>4.2411924119241196</v>
      </c>
      <c r="L296" s="202">
        <v>1601521</v>
      </c>
      <c r="M296" s="203">
        <v>162757</v>
      </c>
      <c r="N296" s="204">
        <f>+L296/M296</f>
        <v>9.839951584263657</v>
      </c>
      <c r="O296" s="90">
        <v>286</v>
      </c>
    </row>
    <row r="297" spans="1:15" s="83" customFormat="1" ht="12" customHeight="1">
      <c r="A297" s="84">
        <v>287</v>
      </c>
      <c r="B297" s="185" t="s">
        <v>165</v>
      </c>
      <c r="C297" s="2">
        <v>40501</v>
      </c>
      <c r="D297" s="14" t="s">
        <v>141</v>
      </c>
      <c r="E297" s="4">
        <v>121</v>
      </c>
      <c r="F297" s="4">
        <v>3</v>
      </c>
      <c r="G297" s="4">
        <v>9</v>
      </c>
      <c r="H297" s="486">
        <v>1204</v>
      </c>
      <c r="I297" s="485">
        <v>296</v>
      </c>
      <c r="J297" s="200">
        <f>I297/F297</f>
        <v>98.66666666666667</v>
      </c>
      <c r="K297" s="201">
        <f t="shared" si="42"/>
        <v>4.0675675675675675</v>
      </c>
      <c r="L297" s="202">
        <v>1592338</v>
      </c>
      <c r="M297" s="203">
        <v>160701</v>
      </c>
      <c r="N297" s="204">
        <f>+L297/M297</f>
        <v>9.908700008089557</v>
      </c>
      <c r="O297" s="90">
        <v>287</v>
      </c>
    </row>
    <row r="298" spans="1:15" s="83" customFormat="1" ht="12" customHeight="1">
      <c r="A298" s="84">
        <v>288</v>
      </c>
      <c r="B298" s="185" t="s">
        <v>165</v>
      </c>
      <c r="C298" s="2">
        <v>40501</v>
      </c>
      <c r="D298" s="14" t="s">
        <v>141</v>
      </c>
      <c r="E298" s="4">
        <v>121</v>
      </c>
      <c r="F298" s="4">
        <v>1</v>
      </c>
      <c r="G298" s="4">
        <v>23</v>
      </c>
      <c r="H298" s="486">
        <v>604</v>
      </c>
      <c r="I298" s="485">
        <v>180</v>
      </c>
      <c r="J298" s="200">
        <f>I298/F298</f>
        <v>180</v>
      </c>
      <c r="K298" s="201">
        <f t="shared" si="42"/>
        <v>3.3555555555555556</v>
      </c>
      <c r="L298" s="202">
        <v>1611412</v>
      </c>
      <c r="M298" s="203">
        <v>165732</v>
      </c>
      <c r="N298" s="204">
        <f>+L298/M298</f>
        <v>9.722998576014287</v>
      </c>
      <c r="O298" s="90">
        <v>288</v>
      </c>
    </row>
    <row r="299" spans="1:15" s="83" customFormat="1" ht="12" customHeight="1">
      <c r="A299" s="84">
        <v>289</v>
      </c>
      <c r="B299" s="185" t="s">
        <v>165</v>
      </c>
      <c r="C299" s="2">
        <v>40501</v>
      </c>
      <c r="D299" s="14" t="s">
        <v>141</v>
      </c>
      <c r="E299" s="4">
        <v>121</v>
      </c>
      <c r="F299" s="4">
        <v>2</v>
      </c>
      <c r="G299" s="4">
        <v>11</v>
      </c>
      <c r="H299" s="486">
        <v>556</v>
      </c>
      <c r="I299" s="485">
        <v>89</v>
      </c>
      <c r="J299" s="200">
        <f>I299/F299</f>
        <v>44.5</v>
      </c>
      <c r="K299" s="201">
        <f t="shared" si="42"/>
        <v>6.247191011235955</v>
      </c>
      <c r="L299" s="202">
        <v>1597161</v>
      </c>
      <c r="M299" s="203">
        <v>161570</v>
      </c>
      <c r="N299" s="181">
        <f>+L299/M299</f>
        <v>9.88525716407749</v>
      </c>
      <c r="O299" s="90">
        <v>289</v>
      </c>
    </row>
    <row r="300" spans="1:15" s="83" customFormat="1" ht="12" customHeight="1">
      <c r="A300" s="84">
        <v>290</v>
      </c>
      <c r="B300" s="236" t="s">
        <v>165</v>
      </c>
      <c r="C300" s="216">
        <v>40501</v>
      </c>
      <c r="D300" s="237" t="s">
        <v>141</v>
      </c>
      <c r="E300" s="238">
        <v>121</v>
      </c>
      <c r="F300" s="238">
        <v>1</v>
      </c>
      <c r="G300" s="238">
        <v>21</v>
      </c>
      <c r="H300" s="486">
        <v>342</v>
      </c>
      <c r="I300" s="485">
        <v>114</v>
      </c>
      <c r="J300" s="96">
        <v>114</v>
      </c>
      <c r="K300" s="169">
        <v>3</v>
      </c>
      <c r="L300" s="202">
        <v>1610808</v>
      </c>
      <c r="M300" s="203">
        <v>165552</v>
      </c>
      <c r="N300" s="204">
        <v>9.729921716439547</v>
      </c>
      <c r="O300" s="90">
        <v>290</v>
      </c>
    </row>
    <row r="301" spans="1:15" s="83" customFormat="1" ht="12" customHeight="1">
      <c r="A301" s="84">
        <v>291</v>
      </c>
      <c r="B301" s="170" t="s">
        <v>325</v>
      </c>
      <c r="C301" s="171">
        <v>40466</v>
      </c>
      <c r="D301" s="165" t="s">
        <v>32</v>
      </c>
      <c r="E301" s="172">
        <v>139</v>
      </c>
      <c r="F301" s="172">
        <v>1</v>
      </c>
      <c r="G301" s="172">
        <v>12</v>
      </c>
      <c r="H301" s="325">
        <v>770</v>
      </c>
      <c r="I301" s="326">
        <v>44</v>
      </c>
      <c r="J301" s="97">
        <f>(I301/F301)</f>
        <v>44</v>
      </c>
      <c r="K301" s="161">
        <f>H301/I301</f>
        <v>17.5</v>
      </c>
      <c r="L301" s="8">
        <f>859399.5+611922.5+597511+92540.5+35432.5+12313+8417+3230+2786+1901+208.5+770</f>
        <v>2226431.5</v>
      </c>
      <c r="M301" s="7">
        <f>81834+61457+58453+8463+3493+2070+1395+1040+668+474+59+44</f>
        <v>219450</v>
      </c>
      <c r="N301" s="163">
        <f>L301/M301</f>
        <v>10.14550694919116</v>
      </c>
      <c r="O301" s="90">
        <v>291</v>
      </c>
    </row>
    <row r="302" spans="1:15" s="83" customFormat="1" ht="12" customHeight="1">
      <c r="A302" s="84">
        <v>292</v>
      </c>
      <c r="B302" s="559" t="s">
        <v>410</v>
      </c>
      <c r="C302" s="100">
        <v>39500</v>
      </c>
      <c r="D302" s="541" t="s">
        <v>29</v>
      </c>
      <c r="E302" s="25">
        <v>230</v>
      </c>
      <c r="F302" s="25">
        <v>2</v>
      </c>
      <c r="G302" s="25">
        <v>32</v>
      </c>
      <c r="H302" s="609">
        <v>260</v>
      </c>
      <c r="I302" s="493">
        <v>52</v>
      </c>
      <c r="J302" s="218">
        <f>I302/F302</f>
        <v>26</v>
      </c>
      <c r="K302" s="297">
        <f>H302/I302</f>
        <v>5</v>
      </c>
      <c r="L302" s="586">
        <f>11178366+8377359.5+4672112.5+2362758+1366481.5+794201+526150+259383+162480.5+71477.5+186652+102815+31501+9708+8823.5+5724+3796+3024+2161+13986+11929.5+905+5825+547+419+6173.5+6130+150+355+12+864+260</f>
        <v>30172530</v>
      </c>
      <c r="M302" s="585">
        <f>1530255+1134702+635170+318515+192563+137173+96324+54461+35028+20139+72208+38598+10936+3213+2963+1896+1251+1004+711+4452+3769+206+1822+128+100+1906+1891+26+73+4+154+52</f>
        <v>4301693</v>
      </c>
      <c r="N302" s="309">
        <f>+L302/M302</f>
        <v>7.014105841583767</v>
      </c>
      <c r="O302" s="90">
        <v>292</v>
      </c>
    </row>
    <row r="303" spans="1:15" s="83" customFormat="1" ht="12" customHeight="1">
      <c r="A303" s="84">
        <v>293</v>
      </c>
      <c r="B303" s="559" t="s">
        <v>422</v>
      </c>
      <c r="C303" s="635">
        <v>39857</v>
      </c>
      <c r="D303" s="541" t="s">
        <v>29</v>
      </c>
      <c r="E303" s="25">
        <v>372</v>
      </c>
      <c r="F303" s="25">
        <v>2</v>
      </c>
      <c r="G303" s="25">
        <v>25</v>
      </c>
      <c r="H303" s="510">
        <v>140</v>
      </c>
      <c r="I303" s="712">
        <v>28</v>
      </c>
      <c r="J303" s="218">
        <f>I303/F303</f>
        <v>14</v>
      </c>
      <c r="K303" s="297">
        <f>H303/I303</f>
        <v>5</v>
      </c>
      <c r="L303" s="512">
        <f>17329163.5+9384321+4035301-111+1596787.5-52+594784+289448.5+142806.5+57257.5+10859.5+1656+13165+452+3902+124+16239+3704+0.5+78+78+442+474+277+19+12010+140</f>
        <v>33493326.5</v>
      </c>
      <c r="M303" s="437">
        <f>2236432+1203711+519916+206906+76573+36964+29367+10451+1641+205+2816+174+976+16+3753+578+12+13+73+79+55+3+2402+28</f>
        <v>4333144</v>
      </c>
      <c r="N303" s="309">
        <f>+L303/M303</f>
        <v>7.729566914923668</v>
      </c>
      <c r="O303" s="90">
        <v>293</v>
      </c>
    </row>
    <row r="304" spans="1:15" s="83" customFormat="1" ht="12" customHeight="1">
      <c r="A304" s="84">
        <v>294</v>
      </c>
      <c r="B304" s="178" t="s">
        <v>326</v>
      </c>
      <c r="C304" s="26">
        <v>40466</v>
      </c>
      <c r="D304" s="165" t="s">
        <v>32</v>
      </c>
      <c r="E304" s="167">
        <v>139</v>
      </c>
      <c r="F304" s="167">
        <v>1</v>
      </c>
      <c r="G304" s="167">
        <v>13</v>
      </c>
      <c r="H304" s="475">
        <v>241</v>
      </c>
      <c r="I304" s="476">
        <v>42</v>
      </c>
      <c r="J304" s="168">
        <f>(I304/F304)</f>
        <v>42</v>
      </c>
      <c r="K304" s="166">
        <f>H304/I304</f>
        <v>5.738095238095238</v>
      </c>
      <c r="L304" s="20">
        <f>859399.5+611922.5+597511+92540.5+35432.5+12313+8417+3230+2786+1901+208.5+770+241</f>
        <v>2226672.5</v>
      </c>
      <c r="M304" s="21">
        <f>81834+61457+58453+8463+3493+2070+1395+1040+668+474+59+44+42</f>
        <v>219492</v>
      </c>
      <c r="N304" s="163">
        <f>L304/M304</f>
        <v>10.144663586827766</v>
      </c>
      <c r="O304" s="90">
        <v>294</v>
      </c>
    </row>
    <row r="305" spans="1:15" s="83" customFormat="1" ht="12" customHeight="1">
      <c r="A305" s="84">
        <v>295</v>
      </c>
      <c r="B305" s="164" t="s">
        <v>326</v>
      </c>
      <c r="C305" s="26">
        <v>40466</v>
      </c>
      <c r="D305" s="165" t="s">
        <v>32</v>
      </c>
      <c r="E305" s="27">
        <v>139</v>
      </c>
      <c r="F305" s="27">
        <v>1</v>
      </c>
      <c r="G305" s="27">
        <v>11</v>
      </c>
      <c r="H305" s="325">
        <v>208.5</v>
      </c>
      <c r="I305" s="326">
        <v>59</v>
      </c>
      <c r="J305" s="97">
        <f>(I305/F305)</f>
        <v>59</v>
      </c>
      <c r="K305" s="161">
        <f>H305/I305</f>
        <v>3.5338983050847457</v>
      </c>
      <c r="L305" s="8">
        <f>859399.5+611922.5+597511+92540.5+35432.5+12313+8417+3230+2786+1901+208.5</f>
        <v>2225661.5</v>
      </c>
      <c r="M305" s="7">
        <f>81834+61457+58453+8463+3493+2070+1395+1040+668+474+59</f>
        <v>219406</v>
      </c>
      <c r="N305" s="163">
        <f>L305/M305</f>
        <v>10.14403206840287</v>
      </c>
      <c r="O305" s="90">
        <v>295</v>
      </c>
    </row>
    <row r="306" spans="1:15" s="83" customFormat="1" ht="12" customHeight="1">
      <c r="A306" s="84">
        <v>296</v>
      </c>
      <c r="B306" s="205" t="s">
        <v>327</v>
      </c>
      <c r="C306" s="2">
        <v>40431</v>
      </c>
      <c r="D306" s="19" t="s">
        <v>8</v>
      </c>
      <c r="E306" s="4">
        <v>124</v>
      </c>
      <c r="F306" s="4">
        <v>1</v>
      </c>
      <c r="G306" s="4">
        <v>12</v>
      </c>
      <c r="H306" s="491">
        <v>567</v>
      </c>
      <c r="I306" s="465">
        <v>95</v>
      </c>
      <c r="J306" s="87">
        <f>+I306/F306</f>
        <v>95</v>
      </c>
      <c r="K306" s="189">
        <f>+H306/I306</f>
        <v>5.968421052631579</v>
      </c>
      <c r="L306" s="17">
        <v>3688296</v>
      </c>
      <c r="M306" s="6">
        <v>331614</v>
      </c>
      <c r="N306" s="188">
        <f>+L306/M306</f>
        <v>11.12225659954043</v>
      </c>
      <c r="O306" s="90">
        <v>296</v>
      </c>
    </row>
    <row r="307" spans="1:15" s="83" customFormat="1" ht="12" customHeight="1">
      <c r="A307" s="84">
        <v>297</v>
      </c>
      <c r="B307" s="185" t="s">
        <v>327</v>
      </c>
      <c r="C307" s="2">
        <v>40431</v>
      </c>
      <c r="D307" s="15" t="s">
        <v>8</v>
      </c>
      <c r="E307" s="4">
        <v>104</v>
      </c>
      <c r="F307" s="4">
        <v>1</v>
      </c>
      <c r="G307" s="4">
        <v>13</v>
      </c>
      <c r="H307" s="464">
        <v>516</v>
      </c>
      <c r="I307" s="465">
        <v>86</v>
      </c>
      <c r="J307" s="87">
        <f>+I307/F307</f>
        <v>86</v>
      </c>
      <c r="K307" s="187">
        <f>+H307/I307</f>
        <v>6</v>
      </c>
      <c r="L307" s="5">
        <v>3688812</v>
      </c>
      <c r="M307" s="6">
        <v>331700</v>
      </c>
      <c r="N307" s="188">
        <f>+L307/M307</f>
        <v>11.120928549894483</v>
      </c>
      <c r="O307" s="90">
        <v>297</v>
      </c>
    </row>
    <row r="308" spans="1:15" s="83" customFormat="1" ht="12" customHeight="1">
      <c r="A308" s="84">
        <v>298</v>
      </c>
      <c r="B308" s="158" t="s">
        <v>328</v>
      </c>
      <c r="C308" s="26">
        <v>40081</v>
      </c>
      <c r="D308" s="165" t="s">
        <v>32</v>
      </c>
      <c r="E308" s="159">
        <v>10</v>
      </c>
      <c r="F308" s="159">
        <v>1</v>
      </c>
      <c r="G308" s="159">
        <v>9</v>
      </c>
      <c r="H308" s="325">
        <v>952</v>
      </c>
      <c r="I308" s="326">
        <v>238</v>
      </c>
      <c r="J308" s="97">
        <f>(I308/F308)</f>
        <v>238</v>
      </c>
      <c r="K308" s="161">
        <f>H308/I308</f>
        <v>4</v>
      </c>
      <c r="L308" s="8">
        <f>15355.5+7416.5+5376.5+1210+1050.5+1780+1780+1780+952</f>
        <v>36701</v>
      </c>
      <c r="M308" s="7">
        <f>1226+729+733+198+202+445+445+445+238</f>
        <v>4661</v>
      </c>
      <c r="N308" s="163">
        <f>L308/M308</f>
        <v>7.874061360223128</v>
      </c>
      <c r="O308" s="90">
        <v>298</v>
      </c>
    </row>
    <row r="309" spans="1:15" s="83" customFormat="1" ht="12" customHeight="1">
      <c r="A309" s="84">
        <v>299</v>
      </c>
      <c r="B309" s="191" t="s">
        <v>329</v>
      </c>
      <c r="C309" s="26">
        <v>40466</v>
      </c>
      <c r="D309" s="222" t="s">
        <v>23</v>
      </c>
      <c r="E309" s="27">
        <v>119</v>
      </c>
      <c r="F309" s="27">
        <v>3</v>
      </c>
      <c r="G309" s="27">
        <v>15</v>
      </c>
      <c r="H309" s="467">
        <v>2636</v>
      </c>
      <c r="I309" s="468">
        <v>738</v>
      </c>
      <c r="J309" s="32">
        <f aca="true" t="shared" si="43" ref="J309:J324">I309/F309</f>
        <v>246</v>
      </c>
      <c r="K309" s="212">
        <f aca="true" t="shared" si="44" ref="K309:K315">+H309/I309</f>
        <v>3.5718157181571817</v>
      </c>
      <c r="L309" s="30">
        <v>2014015</v>
      </c>
      <c r="M309" s="33">
        <v>175303</v>
      </c>
      <c r="N309" s="213">
        <f aca="true" t="shared" si="45" ref="N309:N324">+L309/M309</f>
        <v>11.488765166597263</v>
      </c>
      <c r="O309" s="90">
        <v>299</v>
      </c>
    </row>
    <row r="310" spans="1:15" s="83" customFormat="1" ht="12" customHeight="1">
      <c r="A310" s="84">
        <v>300</v>
      </c>
      <c r="B310" s="191" t="s">
        <v>329</v>
      </c>
      <c r="C310" s="26">
        <v>40466</v>
      </c>
      <c r="D310" s="215" t="s">
        <v>23</v>
      </c>
      <c r="E310" s="27">
        <v>119</v>
      </c>
      <c r="F310" s="27">
        <v>3</v>
      </c>
      <c r="G310" s="27">
        <v>12</v>
      </c>
      <c r="H310" s="489">
        <v>999</v>
      </c>
      <c r="I310" s="468">
        <v>212</v>
      </c>
      <c r="J310" s="32">
        <f t="shared" si="43"/>
        <v>70.66666666666667</v>
      </c>
      <c r="K310" s="220">
        <f t="shared" si="44"/>
        <v>4.712264150943396</v>
      </c>
      <c r="L310" s="22">
        <v>2010636</v>
      </c>
      <c r="M310" s="33">
        <v>174432</v>
      </c>
      <c r="N310" s="213">
        <f t="shared" si="45"/>
        <v>11.526761144744084</v>
      </c>
      <c r="O310" s="90">
        <v>300</v>
      </c>
    </row>
    <row r="311" spans="1:15" s="83" customFormat="1" ht="12" customHeight="1">
      <c r="A311" s="84">
        <v>301</v>
      </c>
      <c r="B311" s="399" t="s">
        <v>329</v>
      </c>
      <c r="C311" s="401">
        <v>40466</v>
      </c>
      <c r="D311" s="402" t="s">
        <v>23</v>
      </c>
      <c r="E311" s="192">
        <v>119</v>
      </c>
      <c r="F311" s="192">
        <v>1</v>
      </c>
      <c r="G311" s="192">
        <v>14</v>
      </c>
      <c r="H311" s="377">
        <v>558</v>
      </c>
      <c r="I311" s="378">
        <v>93</v>
      </c>
      <c r="J311" s="193">
        <f t="shared" si="43"/>
        <v>93</v>
      </c>
      <c r="K311" s="246">
        <f t="shared" si="44"/>
        <v>6</v>
      </c>
      <c r="L311" s="194">
        <v>2011379</v>
      </c>
      <c r="M311" s="193">
        <v>174565</v>
      </c>
      <c r="N311" s="247">
        <f t="shared" si="45"/>
        <v>11.522235270529603</v>
      </c>
      <c r="O311" s="90">
        <v>301</v>
      </c>
    </row>
    <row r="312" spans="1:15" s="83" customFormat="1" ht="12" customHeight="1">
      <c r="A312" s="84">
        <v>302</v>
      </c>
      <c r="B312" s="158" t="s">
        <v>329</v>
      </c>
      <c r="C312" s="26">
        <v>40466</v>
      </c>
      <c r="D312" s="215" t="s">
        <v>23</v>
      </c>
      <c r="E312" s="27">
        <v>119</v>
      </c>
      <c r="F312" s="27">
        <v>2</v>
      </c>
      <c r="G312" s="27">
        <v>13</v>
      </c>
      <c r="H312" s="467">
        <v>185</v>
      </c>
      <c r="I312" s="468">
        <v>40</v>
      </c>
      <c r="J312" s="32">
        <f t="shared" si="43"/>
        <v>20</v>
      </c>
      <c r="K312" s="212">
        <f t="shared" si="44"/>
        <v>4.625</v>
      </c>
      <c r="L312" s="30">
        <v>2010821</v>
      </c>
      <c r="M312" s="33">
        <v>174472</v>
      </c>
      <c r="N312" s="213">
        <f t="shared" si="45"/>
        <v>11.525178825255628</v>
      </c>
      <c r="O312" s="90">
        <v>302</v>
      </c>
    </row>
    <row r="313" spans="1:15" s="83" customFormat="1" ht="12" customHeight="1">
      <c r="A313" s="84">
        <v>303</v>
      </c>
      <c r="B313" s="393" t="s">
        <v>329</v>
      </c>
      <c r="C313" s="26">
        <v>40466</v>
      </c>
      <c r="D313" s="165" t="s">
        <v>23</v>
      </c>
      <c r="E313" s="167">
        <v>119</v>
      </c>
      <c r="F313" s="167">
        <v>1</v>
      </c>
      <c r="G313" s="167">
        <v>17</v>
      </c>
      <c r="H313" s="467">
        <v>168</v>
      </c>
      <c r="I313" s="468">
        <v>28</v>
      </c>
      <c r="J313" s="32">
        <f t="shared" si="43"/>
        <v>28</v>
      </c>
      <c r="K313" s="212">
        <f t="shared" si="44"/>
        <v>6</v>
      </c>
      <c r="L313" s="30">
        <v>2014279</v>
      </c>
      <c r="M313" s="33">
        <v>175347</v>
      </c>
      <c r="N313" s="213">
        <f t="shared" si="45"/>
        <v>11.487387865204424</v>
      </c>
      <c r="O313" s="90">
        <v>303</v>
      </c>
    </row>
    <row r="314" spans="1:15" s="83" customFormat="1" ht="12" customHeight="1">
      <c r="A314" s="84">
        <v>304</v>
      </c>
      <c r="B314" s="158" t="s">
        <v>329</v>
      </c>
      <c r="C314" s="26">
        <v>40466</v>
      </c>
      <c r="D314" s="222" t="s">
        <v>23</v>
      </c>
      <c r="E314" s="27">
        <v>119</v>
      </c>
      <c r="F314" s="27">
        <v>1</v>
      </c>
      <c r="G314" s="27">
        <v>16</v>
      </c>
      <c r="H314" s="467">
        <v>96</v>
      </c>
      <c r="I314" s="468">
        <v>16</v>
      </c>
      <c r="J314" s="32">
        <f t="shared" si="43"/>
        <v>16</v>
      </c>
      <c r="K314" s="212">
        <f t="shared" si="44"/>
        <v>6</v>
      </c>
      <c r="L314" s="30">
        <v>2014111</v>
      </c>
      <c r="M314" s="33">
        <v>175319</v>
      </c>
      <c r="N314" s="181">
        <f t="shared" si="45"/>
        <v>11.488264249739046</v>
      </c>
      <c r="O314" s="90">
        <v>304</v>
      </c>
    </row>
    <row r="315" spans="1:15" s="83" customFormat="1" ht="12" customHeight="1">
      <c r="A315" s="84">
        <v>305</v>
      </c>
      <c r="B315" s="399" t="s">
        <v>329</v>
      </c>
      <c r="C315" s="401">
        <v>40466</v>
      </c>
      <c r="D315" s="402" t="s">
        <v>23</v>
      </c>
      <c r="E315" s="192">
        <v>119</v>
      </c>
      <c r="F315" s="192">
        <v>1</v>
      </c>
      <c r="G315" s="192">
        <v>18</v>
      </c>
      <c r="H315" s="377">
        <v>66</v>
      </c>
      <c r="I315" s="378">
        <v>11</v>
      </c>
      <c r="J315" s="193">
        <f t="shared" si="43"/>
        <v>11</v>
      </c>
      <c r="K315" s="246">
        <f t="shared" si="44"/>
        <v>6</v>
      </c>
      <c r="L315" s="194">
        <v>2014345</v>
      </c>
      <c r="M315" s="193">
        <v>175358</v>
      </c>
      <c r="N315" s="247">
        <f t="shared" si="45"/>
        <v>11.487043647851824</v>
      </c>
      <c r="O315" s="90">
        <v>305</v>
      </c>
    </row>
    <row r="316" spans="1:15" s="83" customFormat="1" ht="12" customHeight="1">
      <c r="A316" s="84">
        <v>306</v>
      </c>
      <c r="B316" s="182" t="s">
        <v>330</v>
      </c>
      <c r="C316" s="2">
        <v>40494</v>
      </c>
      <c r="D316" s="16" t="s">
        <v>10</v>
      </c>
      <c r="E316" s="3">
        <v>144</v>
      </c>
      <c r="F316" s="3">
        <v>16</v>
      </c>
      <c r="G316" s="3">
        <v>8</v>
      </c>
      <c r="H316" s="477">
        <v>13943</v>
      </c>
      <c r="I316" s="376">
        <v>2193</v>
      </c>
      <c r="J316" s="96">
        <f t="shared" si="43"/>
        <v>137.0625</v>
      </c>
      <c r="K316" s="183">
        <f aca="true" t="shared" si="46" ref="K316:K321">H316/I316</f>
        <v>6.357957136342909</v>
      </c>
      <c r="L316" s="184">
        <v>6055992</v>
      </c>
      <c r="M316" s="35">
        <v>521768</v>
      </c>
      <c r="N316" s="181">
        <f t="shared" si="45"/>
        <v>11.606675763941062</v>
      </c>
      <c r="O316" s="90">
        <v>306</v>
      </c>
    </row>
    <row r="317" spans="1:15" s="83" customFormat="1" ht="12" customHeight="1">
      <c r="A317" s="84">
        <v>307</v>
      </c>
      <c r="B317" s="185" t="s">
        <v>330</v>
      </c>
      <c r="C317" s="2">
        <v>40494</v>
      </c>
      <c r="D317" s="14" t="s">
        <v>10</v>
      </c>
      <c r="E317" s="4">
        <v>144</v>
      </c>
      <c r="F317" s="4">
        <v>6</v>
      </c>
      <c r="G317" s="4">
        <v>10</v>
      </c>
      <c r="H317" s="375">
        <v>8265</v>
      </c>
      <c r="I317" s="376">
        <v>1244</v>
      </c>
      <c r="J317" s="96">
        <f t="shared" si="43"/>
        <v>207.33333333333334</v>
      </c>
      <c r="K317" s="169">
        <f t="shared" si="46"/>
        <v>6.643890675241158</v>
      </c>
      <c r="L317" s="36">
        <v>6066619</v>
      </c>
      <c r="M317" s="35">
        <v>523537</v>
      </c>
      <c r="N317" s="181">
        <f t="shared" si="45"/>
        <v>11.587755975222382</v>
      </c>
      <c r="O317" s="90">
        <v>307</v>
      </c>
    </row>
    <row r="318" spans="1:15" s="83" customFormat="1" ht="12" customHeight="1">
      <c r="A318" s="84">
        <v>308</v>
      </c>
      <c r="B318" s="182" t="s">
        <v>330</v>
      </c>
      <c r="C318" s="2">
        <v>40494</v>
      </c>
      <c r="D318" s="13" t="s">
        <v>10</v>
      </c>
      <c r="E318" s="3">
        <v>144</v>
      </c>
      <c r="F318" s="3">
        <v>3</v>
      </c>
      <c r="G318" s="3">
        <v>11</v>
      </c>
      <c r="H318" s="375">
        <v>2600</v>
      </c>
      <c r="I318" s="376">
        <v>454</v>
      </c>
      <c r="J318" s="96">
        <f t="shared" si="43"/>
        <v>151.33333333333334</v>
      </c>
      <c r="K318" s="169">
        <f t="shared" si="46"/>
        <v>5.726872246696035</v>
      </c>
      <c r="L318" s="36">
        <v>6069219</v>
      </c>
      <c r="M318" s="35">
        <v>523991</v>
      </c>
      <c r="N318" s="181">
        <f t="shared" si="45"/>
        <v>11.582677946758627</v>
      </c>
      <c r="O318" s="90">
        <v>308</v>
      </c>
    </row>
    <row r="319" spans="1:15" s="83" customFormat="1" ht="12" customHeight="1">
      <c r="A319" s="84">
        <v>309</v>
      </c>
      <c r="B319" s="180" t="s">
        <v>330</v>
      </c>
      <c r="C319" s="2">
        <v>40494</v>
      </c>
      <c r="D319" s="16" t="s">
        <v>10</v>
      </c>
      <c r="E319" s="3">
        <v>144</v>
      </c>
      <c r="F319" s="3">
        <v>3</v>
      </c>
      <c r="G319" s="3">
        <v>9</v>
      </c>
      <c r="H319" s="375">
        <v>2362</v>
      </c>
      <c r="I319" s="376">
        <v>525</v>
      </c>
      <c r="J319" s="96">
        <f t="shared" si="43"/>
        <v>175</v>
      </c>
      <c r="K319" s="169">
        <f t="shared" si="46"/>
        <v>4.499047619047619</v>
      </c>
      <c r="L319" s="36">
        <v>6058354</v>
      </c>
      <c r="M319" s="35">
        <v>522293</v>
      </c>
      <c r="N319" s="181">
        <f t="shared" si="45"/>
        <v>11.599531297566692</v>
      </c>
      <c r="O319" s="90">
        <v>309</v>
      </c>
    </row>
    <row r="320" spans="1:15" s="83" customFormat="1" ht="12" customHeight="1">
      <c r="A320" s="84">
        <v>310</v>
      </c>
      <c r="B320" s="185" t="s">
        <v>330</v>
      </c>
      <c r="C320" s="2">
        <v>40494</v>
      </c>
      <c r="D320" s="14" t="s">
        <v>10</v>
      </c>
      <c r="E320" s="4">
        <v>144</v>
      </c>
      <c r="F320" s="4">
        <v>1</v>
      </c>
      <c r="G320" s="4">
        <v>13</v>
      </c>
      <c r="H320" s="375">
        <v>2042</v>
      </c>
      <c r="I320" s="376">
        <v>495</v>
      </c>
      <c r="J320" s="96">
        <f t="shared" si="43"/>
        <v>495</v>
      </c>
      <c r="K320" s="169">
        <f t="shared" si="46"/>
        <v>4.125252525252526</v>
      </c>
      <c r="L320" s="36">
        <v>6072415</v>
      </c>
      <c r="M320" s="35">
        <v>524703</v>
      </c>
      <c r="N320" s="181">
        <f t="shared" si="45"/>
        <v>11.573051802638826</v>
      </c>
      <c r="O320" s="90">
        <v>310</v>
      </c>
    </row>
    <row r="321" spans="1:15" s="83" customFormat="1" ht="12" customHeight="1">
      <c r="A321" s="84">
        <v>311</v>
      </c>
      <c r="B321" s="180" t="s">
        <v>330</v>
      </c>
      <c r="C321" s="2">
        <v>40494</v>
      </c>
      <c r="D321" s="13" t="s">
        <v>10</v>
      </c>
      <c r="E321" s="3">
        <v>144</v>
      </c>
      <c r="F321" s="3">
        <v>1</v>
      </c>
      <c r="G321" s="3">
        <v>12</v>
      </c>
      <c r="H321" s="375">
        <v>1154</v>
      </c>
      <c r="I321" s="376">
        <v>217</v>
      </c>
      <c r="J321" s="96">
        <f t="shared" si="43"/>
        <v>217</v>
      </c>
      <c r="K321" s="169">
        <f t="shared" si="46"/>
        <v>5.317972350230415</v>
      </c>
      <c r="L321" s="36">
        <v>6070373</v>
      </c>
      <c r="M321" s="35">
        <v>524208</v>
      </c>
      <c r="N321" s="181">
        <f t="shared" si="45"/>
        <v>11.58008462289778</v>
      </c>
      <c r="O321" s="90">
        <v>311</v>
      </c>
    </row>
    <row r="322" spans="1:15" s="83" customFormat="1" ht="12" customHeight="1">
      <c r="A322" s="84">
        <v>312</v>
      </c>
      <c r="B322" s="191" t="s">
        <v>331</v>
      </c>
      <c r="C322" s="26">
        <v>40494</v>
      </c>
      <c r="D322" s="215" t="s">
        <v>23</v>
      </c>
      <c r="E322" s="27">
        <v>72</v>
      </c>
      <c r="F322" s="27">
        <v>2</v>
      </c>
      <c r="G322" s="27">
        <v>8</v>
      </c>
      <c r="H322" s="489">
        <v>1110</v>
      </c>
      <c r="I322" s="468">
        <v>180</v>
      </c>
      <c r="J322" s="32">
        <f t="shared" si="43"/>
        <v>90</v>
      </c>
      <c r="K322" s="220">
        <f>+H322/I322</f>
        <v>6.166666666666667</v>
      </c>
      <c r="L322" s="22">
        <v>906333</v>
      </c>
      <c r="M322" s="33">
        <v>84860</v>
      </c>
      <c r="N322" s="213">
        <f t="shared" si="45"/>
        <v>10.680332312043365</v>
      </c>
      <c r="O322" s="90">
        <v>312</v>
      </c>
    </row>
    <row r="323" spans="1:15" s="83" customFormat="1" ht="12" customHeight="1">
      <c r="A323" s="84">
        <v>313</v>
      </c>
      <c r="B323" s="158" t="s">
        <v>332</v>
      </c>
      <c r="C323" s="26">
        <v>40459</v>
      </c>
      <c r="D323" s="215" t="s">
        <v>23</v>
      </c>
      <c r="E323" s="27">
        <v>93</v>
      </c>
      <c r="F323" s="27">
        <v>1</v>
      </c>
      <c r="G323" s="27">
        <v>14</v>
      </c>
      <c r="H323" s="467">
        <v>2415</v>
      </c>
      <c r="I323" s="468">
        <v>875</v>
      </c>
      <c r="J323" s="32">
        <f t="shared" si="43"/>
        <v>875</v>
      </c>
      <c r="K323" s="212">
        <f>+H323/I323</f>
        <v>2.76</v>
      </c>
      <c r="L323" s="30">
        <v>1072374</v>
      </c>
      <c r="M323" s="32">
        <v>99383</v>
      </c>
      <c r="N323" s="213">
        <f t="shared" si="45"/>
        <v>10.790316251270339</v>
      </c>
      <c r="O323" s="90">
        <v>313</v>
      </c>
    </row>
    <row r="324" spans="1:15" s="83" customFormat="1" ht="12" customHeight="1">
      <c r="A324" s="84">
        <v>314</v>
      </c>
      <c r="B324" s="182" t="s">
        <v>423</v>
      </c>
      <c r="C324" s="694">
        <v>40529</v>
      </c>
      <c r="D324" s="537" t="s">
        <v>21</v>
      </c>
      <c r="E324" s="695">
        <v>134</v>
      </c>
      <c r="F324" s="695">
        <v>1</v>
      </c>
      <c r="G324" s="695">
        <v>12</v>
      </c>
      <c r="H324" s="479">
        <v>1782</v>
      </c>
      <c r="I324" s="490">
        <v>356</v>
      </c>
      <c r="J324" s="218">
        <f t="shared" si="43"/>
        <v>356</v>
      </c>
      <c r="K324" s="297">
        <f>H324/I324</f>
        <v>5.00561797752809</v>
      </c>
      <c r="L324" s="28">
        <f>415183+3929+3246+2363+1074+230+2072+4630+1180+1782</f>
        <v>435689</v>
      </c>
      <c r="M324" s="23">
        <f>52315+638+476+361+299+38+414+683+192+356</f>
        <v>55772</v>
      </c>
      <c r="N324" s="309">
        <f t="shared" si="45"/>
        <v>7.811966578211289</v>
      </c>
      <c r="O324" s="90">
        <v>314</v>
      </c>
    </row>
    <row r="325" spans="1:15" s="83" customFormat="1" ht="12" customHeight="1">
      <c r="A325" s="84">
        <v>315</v>
      </c>
      <c r="B325" s="182" t="s">
        <v>166</v>
      </c>
      <c r="C325" s="2">
        <v>40529</v>
      </c>
      <c r="D325" s="16" t="s">
        <v>21</v>
      </c>
      <c r="E325" s="3">
        <v>134</v>
      </c>
      <c r="F325" s="3">
        <v>121</v>
      </c>
      <c r="G325" s="3">
        <v>3</v>
      </c>
      <c r="H325" s="479">
        <v>49789.5</v>
      </c>
      <c r="I325" s="453">
        <v>7079</v>
      </c>
      <c r="J325" s="87">
        <f aca="true" t="shared" si="47" ref="J325:J333">IF(H325&lt;&gt;0,I325/F325,"")</f>
        <v>58.50413223140496</v>
      </c>
      <c r="K325" s="189">
        <f aca="true" t="shared" si="48" ref="K325:K333">IF(H325&lt;&gt;0,H325/I325,"")</f>
        <v>7.0334086735414605</v>
      </c>
      <c r="L325" s="28">
        <f>244174+121219.5+H325</f>
        <v>415183</v>
      </c>
      <c r="M325" s="32">
        <f>29518+15718+I325</f>
        <v>52315</v>
      </c>
      <c r="N325" s="188">
        <f aca="true" t="shared" si="49" ref="N325:N333">IF(L325&lt;&gt;0,L325/M325,"")</f>
        <v>7.936213323138679</v>
      </c>
      <c r="O325" s="90">
        <v>315</v>
      </c>
    </row>
    <row r="326" spans="1:15" s="83" customFormat="1" ht="12" customHeight="1">
      <c r="A326" s="84">
        <v>316</v>
      </c>
      <c r="B326" s="180" t="s">
        <v>166</v>
      </c>
      <c r="C326" s="2">
        <v>40529</v>
      </c>
      <c r="D326" s="13" t="s">
        <v>21</v>
      </c>
      <c r="E326" s="3">
        <v>134</v>
      </c>
      <c r="F326" s="3">
        <v>2</v>
      </c>
      <c r="G326" s="3">
        <v>10</v>
      </c>
      <c r="H326" s="452">
        <v>4630</v>
      </c>
      <c r="I326" s="453">
        <v>683</v>
      </c>
      <c r="J326" s="87">
        <f t="shared" si="47"/>
        <v>341.5</v>
      </c>
      <c r="K326" s="187">
        <f t="shared" si="48"/>
        <v>6.77891654465593</v>
      </c>
      <c r="L326" s="29">
        <f>415183+3929+3246+2363+1074+230+2072+4630</f>
        <v>432727</v>
      </c>
      <c r="M326" s="32">
        <f>52315+638+476+361+299+38+414+683</f>
        <v>55224</v>
      </c>
      <c r="N326" s="188">
        <f t="shared" si="49"/>
        <v>7.8358503549181515</v>
      </c>
      <c r="O326" s="90">
        <v>316</v>
      </c>
    </row>
    <row r="327" spans="1:15" s="83" customFormat="1" ht="12" customHeight="1">
      <c r="A327" s="84">
        <v>317</v>
      </c>
      <c r="B327" s="180" t="s">
        <v>166</v>
      </c>
      <c r="C327" s="2">
        <v>40529</v>
      </c>
      <c r="D327" s="16" t="s">
        <v>21</v>
      </c>
      <c r="E327" s="3">
        <v>134</v>
      </c>
      <c r="F327" s="3">
        <v>12</v>
      </c>
      <c r="G327" s="3">
        <v>4</v>
      </c>
      <c r="H327" s="452">
        <v>3929</v>
      </c>
      <c r="I327" s="453">
        <v>638</v>
      </c>
      <c r="J327" s="87">
        <f t="shared" si="47"/>
        <v>53.166666666666664</v>
      </c>
      <c r="K327" s="187">
        <f t="shared" si="48"/>
        <v>6.158307210031348</v>
      </c>
      <c r="L327" s="29">
        <f>415183+3929</f>
        <v>419112</v>
      </c>
      <c r="M327" s="32">
        <f>52315+638</f>
        <v>52953</v>
      </c>
      <c r="N327" s="188">
        <f t="shared" si="49"/>
        <v>7.914792363038921</v>
      </c>
      <c r="O327" s="90">
        <v>317</v>
      </c>
    </row>
    <row r="328" spans="1:15" s="83" customFormat="1" ht="12" customHeight="1">
      <c r="A328" s="84">
        <v>318</v>
      </c>
      <c r="B328" s="185" t="s">
        <v>166</v>
      </c>
      <c r="C328" s="2">
        <v>40529</v>
      </c>
      <c r="D328" s="14" t="s">
        <v>21</v>
      </c>
      <c r="E328" s="4">
        <v>134</v>
      </c>
      <c r="F328" s="4">
        <v>8</v>
      </c>
      <c r="G328" s="4">
        <v>5</v>
      </c>
      <c r="H328" s="452">
        <v>3246</v>
      </c>
      <c r="I328" s="453">
        <v>476</v>
      </c>
      <c r="J328" s="87">
        <f t="shared" si="47"/>
        <v>59.5</v>
      </c>
      <c r="K328" s="187">
        <f t="shared" si="48"/>
        <v>6.819327731092437</v>
      </c>
      <c r="L328" s="29">
        <f>415183+3929+3246</f>
        <v>422358</v>
      </c>
      <c r="M328" s="32">
        <f>52315+638+476</f>
        <v>53429</v>
      </c>
      <c r="N328" s="188">
        <f t="shared" si="49"/>
        <v>7.9050328473301015</v>
      </c>
      <c r="O328" s="90">
        <v>318</v>
      </c>
    </row>
    <row r="329" spans="1:15" s="83" customFormat="1" ht="12" customHeight="1">
      <c r="A329" s="84">
        <v>319</v>
      </c>
      <c r="B329" s="182" t="s">
        <v>166</v>
      </c>
      <c r="C329" s="2">
        <v>40529</v>
      </c>
      <c r="D329" s="13" t="s">
        <v>21</v>
      </c>
      <c r="E329" s="3">
        <v>134</v>
      </c>
      <c r="F329" s="3">
        <v>6</v>
      </c>
      <c r="G329" s="3">
        <v>6</v>
      </c>
      <c r="H329" s="452">
        <v>2363</v>
      </c>
      <c r="I329" s="453">
        <v>361</v>
      </c>
      <c r="J329" s="87">
        <f t="shared" si="47"/>
        <v>60.166666666666664</v>
      </c>
      <c r="K329" s="187">
        <f t="shared" si="48"/>
        <v>6.545706371191136</v>
      </c>
      <c r="L329" s="29">
        <f>415183+3929+3246+2363</f>
        <v>424721</v>
      </c>
      <c r="M329" s="32">
        <f>52315+638+476+361</f>
        <v>53790</v>
      </c>
      <c r="N329" s="188">
        <f t="shared" si="49"/>
        <v>7.8959100204498975</v>
      </c>
      <c r="O329" s="90">
        <v>319</v>
      </c>
    </row>
    <row r="330" spans="1:15" s="83" customFormat="1" ht="12" customHeight="1">
      <c r="A330" s="84">
        <v>320</v>
      </c>
      <c r="B330" s="185" t="s">
        <v>166</v>
      </c>
      <c r="C330" s="2">
        <v>40529</v>
      </c>
      <c r="D330" s="14" t="s">
        <v>21</v>
      </c>
      <c r="E330" s="4">
        <v>134</v>
      </c>
      <c r="F330" s="4">
        <v>2</v>
      </c>
      <c r="G330" s="4">
        <v>9</v>
      </c>
      <c r="H330" s="479">
        <v>2072</v>
      </c>
      <c r="I330" s="490">
        <v>414</v>
      </c>
      <c r="J330" s="218">
        <f t="shared" si="47"/>
        <v>207</v>
      </c>
      <c r="K330" s="189">
        <f t="shared" si="48"/>
        <v>5.004830917874396</v>
      </c>
      <c r="L330" s="28">
        <f>415183+3929+3246+2363+1074+230+2072</f>
        <v>428097</v>
      </c>
      <c r="M330" s="23">
        <f>52315+638+476+361+299+38+414</f>
        <v>54541</v>
      </c>
      <c r="N330" s="188">
        <f t="shared" si="49"/>
        <v>7.84908600869071</v>
      </c>
      <c r="O330" s="90">
        <v>320</v>
      </c>
    </row>
    <row r="331" spans="1:15" s="83" customFormat="1" ht="12" customHeight="1">
      <c r="A331" s="84">
        <v>321</v>
      </c>
      <c r="B331" s="217" t="s">
        <v>166</v>
      </c>
      <c r="C331" s="239">
        <v>40529</v>
      </c>
      <c r="D331" s="240" t="s">
        <v>21</v>
      </c>
      <c r="E331" s="241">
        <v>134</v>
      </c>
      <c r="F331" s="241">
        <v>1</v>
      </c>
      <c r="G331" s="241">
        <v>11</v>
      </c>
      <c r="H331" s="452">
        <v>1180</v>
      </c>
      <c r="I331" s="453">
        <v>192</v>
      </c>
      <c r="J331" s="242">
        <f t="shared" si="47"/>
        <v>192</v>
      </c>
      <c r="K331" s="243">
        <f t="shared" si="48"/>
        <v>6.145833333333333</v>
      </c>
      <c r="L331" s="29">
        <f>415183+3929+3246+2363+1074+230+2072+4630+1180</f>
        <v>433907</v>
      </c>
      <c r="M331" s="32">
        <f>52315+638+476+361+299+38+414+683+192</f>
        <v>55416</v>
      </c>
      <c r="N331" s="244">
        <f t="shared" si="49"/>
        <v>7.829994947307637</v>
      </c>
      <c r="O331" s="90">
        <v>321</v>
      </c>
    </row>
    <row r="332" spans="1:15" s="83" customFormat="1" ht="12" customHeight="1">
      <c r="A332" s="84">
        <v>322</v>
      </c>
      <c r="B332" s="217" t="s">
        <v>166</v>
      </c>
      <c r="C332" s="2">
        <v>40529</v>
      </c>
      <c r="D332" s="13" t="s">
        <v>21</v>
      </c>
      <c r="E332" s="3">
        <v>134</v>
      </c>
      <c r="F332" s="3">
        <v>6</v>
      </c>
      <c r="G332" s="3">
        <v>6</v>
      </c>
      <c r="H332" s="452">
        <v>1074</v>
      </c>
      <c r="I332" s="453">
        <v>299</v>
      </c>
      <c r="J332" s="87">
        <f t="shared" si="47"/>
        <v>49.833333333333336</v>
      </c>
      <c r="K332" s="187">
        <f t="shared" si="48"/>
        <v>3.591973244147157</v>
      </c>
      <c r="L332" s="29">
        <f>415183+3929+3246+2363+1074</f>
        <v>425795</v>
      </c>
      <c r="M332" s="32">
        <f>52315+638+476+361+299</f>
        <v>54089</v>
      </c>
      <c r="N332" s="188">
        <f t="shared" si="49"/>
        <v>7.872118175599475</v>
      </c>
      <c r="O332" s="90">
        <v>322</v>
      </c>
    </row>
    <row r="333" spans="1:15" s="83" customFormat="1" ht="12" customHeight="1">
      <c r="A333" s="84">
        <v>323</v>
      </c>
      <c r="B333" s="185" t="s">
        <v>166</v>
      </c>
      <c r="C333" s="2">
        <v>40529</v>
      </c>
      <c r="D333" s="14" t="s">
        <v>21</v>
      </c>
      <c r="E333" s="4">
        <v>134</v>
      </c>
      <c r="F333" s="4">
        <v>1</v>
      </c>
      <c r="G333" s="4">
        <v>8</v>
      </c>
      <c r="H333" s="452">
        <v>230</v>
      </c>
      <c r="I333" s="453">
        <v>38</v>
      </c>
      <c r="J333" s="87">
        <f t="shared" si="47"/>
        <v>38</v>
      </c>
      <c r="K333" s="187">
        <f t="shared" si="48"/>
        <v>6.052631578947368</v>
      </c>
      <c r="L333" s="29">
        <f>415183+3929+3246+2363+1074+230</f>
        <v>426025</v>
      </c>
      <c r="M333" s="32">
        <f>52315+638+476+361+299+38</f>
        <v>54127</v>
      </c>
      <c r="N333" s="188">
        <f t="shared" si="49"/>
        <v>7.870840800339941</v>
      </c>
      <c r="O333" s="90">
        <v>323</v>
      </c>
    </row>
    <row r="334" spans="1:15" s="83" customFormat="1" ht="12" customHeight="1">
      <c r="A334" s="84">
        <v>324</v>
      </c>
      <c r="B334" s="178" t="s">
        <v>333</v>
      </c>
      <c r="C334" s="26">
        <v>40053</v>
      </c>
      <c r="D334" s="165" t="s">
        <v>32</v>
      </c>
      <c r="E334" s="167">
        <v>14</v>
      </c>
      <c r="F334" s="167">
        <v>1</v>
      </c>
      <c r="G334" s="167">
        <v>11</v>
      </c>
      <c r="H334" s="325">
        <v>952</v>
      </c>
      <c r="I334" s="326">
        <v>238</v>
      </c>
      <c r="J334" s="97">
        <f>(I334/F334)</f>
        <v>238</v>
      </c>
      <c r="K334" s="161">
        <f>H334/I334</f>
        <v>4</v>
      </c>
      <c r="L334" s="8">
        <f>46744+27773.5+29652+15092+1850+3126+1717.5+468+83+54+952</f>
        <v>127512</v>
      </c>
      <c r="M334" s="7">
        <f>3724+2772+2752+1903+308+472+380+135+20+18+238</f>
        <v>12722</v>
      </c>
      <c r="N334" s="163">
        <f>L334/M334</f>
        <v>10.022952365980192</v>
      </c>
      <c r="O334" s="90">
        <v>324</v>
      </c>
    </row>
    <row r="335" spans="1:15" s="83" customFormat="1" ht="12" customHeight="1">
      <c r="A335" s="84">
        <v>325</v>
      </c>
      <c r="B335" s="178" t="s">
        <v>333</v>
      </c>
      <c r="C335" s="26">
        <v>40053</v>
      </c>
      <c r="D335" s="165" t="s">
        <v>32</v>
      </c>
      <c r="E335" s="167">
        <v>14</v>
      </c>
      <c r="F335" s="167">
        <v>1</v>
      </c>
      <c r="G335" s="167">
        <v>12</v>
      </c>
      <c r="H335" s="475">
        <v>236</v>
      </c>
      <c r="I335" s="476">
        <v>59</v>
      </c>
      <c r="J335" s="168">
        <f>(I335/F335)</f>
        <v>59</v>
      </c>
      <c r="K335" s="166">
        <f>H335/I335</f>
        <v>4</v>
      </c>
      <c r="L335" s="20">
        <f>46744+27773.5+29652+15092+1850+3126+1717.5+468+83+54+952+236</f>
        <v>127748</v>
      </c>
      <c r="M335" s="21">
        <f>3724+2772+2752+1903+308+472+380+135+20+18+238+59</f>
        <v>12781</v>
      </c>
      <c r="N335" s="163">
        <f>L335/M335</f>
        <v>9.99514904937016</v>
      </c>
      <c r="O335" s="90">
        <v>325</v>
      </c>
    </row>
    <row r="336" spans="1:15" s="83" customFormat="1" ht="12" customHeight="1">
      <c r="A336" s="84">
        <v>326</v>
      </c>
      <c r="B336" s="205" t="s">
        <v>167</v>
      </c>
      <c r="C336" s="2">
        <v>40529</v>
      </c>
      <c r="D336" s="19" t="s">
        <v>8</v>
      </c>
      <c r="E336" s="4">
        <v>32</v>
      </c>
      <c r="F336" s="4">
        <v>5</v>
      </c>
      <c r="G336" s="4">
        <v>3</v>
      </c>
      <c r="H336" s="491">
        <v>964</v>
      </c>
      <c r="I336" s="465">
        <v>140</v>
      </c>
      <c r="J336" s="87">
        <f>+I336/F336</f>
        <v>28</v>
      </c>
      <c r="K336" s="189">
        <f>+H336/I336</f>
        <v>6.885714285714286</v>
      </c>
      <c r="L336" s="17">
        <v>18563</v>
      </c>
      <c r="M336" s="6">
        <v>1767</v>
      </c>
      <c r="N336" s="188">
        <f>+L336/M336</f>
        <v>10.505376344086022</v>
      </c>
      <c r="O336" s="90">
        <v>326</v>
      </c>
    </row>
    <row r="337" spans="1:15" s="83" customFormat="1" ht="12" customHeight="1">
      <c r="A337" s="84">
        <v>327</v>
      </c>
      <c r="B337" s="185" t="s">
        <v>167</v>
      </c>
      <c r="C337" s="2">
        <v>40529</v>
      </c>
      <c r="D337" s="19" t="s">
        <v>8</v>
      </c>
      <c r="E337" s="4">
        <v>32</v>
      </c>
      <c r="F337" s="4">
        <v>1</v>
      </c>
      <c r="G337" s="4">
        <v>4</v>
      </c>
      <c r="H337" s="464">
        <v>523</v>
      </c>
      <c r="I337" s="465">
        <v>92</v>
      </c>
      <c r="J337" s="87">
        <f>+I337/F337</f>
        <v>92</v>
      </c>
      <c r="K337" s="187">
        <f>+H337/I337</f>
        <v>5.684782608695652</v>
      </c>
      <c r="L337" s="5">
        <v>19085</v>
      </c>
      <c r="M337" s="6">
        <v>1859</v>
      </c>
      <c r="N337" s="188">
        <f>+L337/M337</f>
        <v>10.266272189349113</v>
      </c>
      <c r="O337" s="90">
        <v>327</v>
      </c>
    </row>
    <row r="338" spans="1:15" s="83" customFormat="1" ht="12" customHeight="1">
      <c r="A338" s="84">
        <v>328</v>
      </c>
      <c r="B338" s="164" t="s">
        <v>334</v>
      </c>
      <c r="C338" s="26">
        <v>40347</v>
      </c>
      <c r="D338" s="165" t="s">
        <v>32</v>
      </c>
      <c r="E338" s="27">
        <v>2</v>
      </c>
      <c r="F338" s="27">
        <v>1</v>
      </c>
      <c r="G338" s="27">
        <v>20</v>
      </c>
      <c r="H338" s="475">
        <v>713</v>
      </c>
      <c r="I338" s="326">
        <v>178</v>
      </c>
      <c r="J338" s="97">
        <f>(I338/F338)</f>
        <v>178</v>
      </c>
      <c r="K338" s="166">
        <f>H338/I338</f>
        <v>4.00561797752809</v>
      </c>
      <c r="L338" s="20">
        <f>15693+762+1031+1133+707+492+1323.5+1397+447+357+524+229+713</f>
        <v>24808.5</v>
      </c>
      <c r="M338" s="7">
        <f>1559+119+194+179+86+57+150+195+165+58+85+48+178</f>
        <v>3073</v>
      </c>
      <c r="N338" s="163">
        <f>L338/M338</f>
        <v>8.073055645948584</v>
      </c>
      <c r="O338" s="90">
        <v>328</v>
      </c>
    </row>
    <row r="339" spans="1:15" s="83" customFormat="1" ht="12" customHeight="1">
      <c r="A339" s="84">
        <v>329</v>
      </c>
      <c r="B339" s="191" t="s">
        <v>335</v>
      </c>
      <c r="C339" s="26">
        <v>40536</v>
      </c>
      <c r="D339" s="215" t="s">
        <v>23</v>
      </c>
      <c r="E339" s="27">
        <v>112</v>
      </c>
      <c r="F339" s="27">
        <v>116</v>
      </c>
      <c r="G339" s="27">
        <v>2</v>
      </c>
      <c r="H339" s="489">
        <v>694227</v>
      </c>
      <c r="I339" s="468">
        <v>58647</v>
      </c>
      <c r="J339" s="32">
        <f aca="true" t="shared" si="50" ref="J339:J350">I339/F339</f>
        <v>505.57758620689657</v>
      </c>
      <c r="K339" s="220">
        <f aca="true" t="shared" si="51" ref="K339:K350">+H339/I339</f>
        <v>11.837382986342012</v>
      </c>
      <c r="L339" s="22">
        <v>1663782</v>
      </c>
      <c r="M339" s="33">
        <v>141056</v>
      </c>
      <c r="N339" s="213">
        <f aca="true" t="shared" si="52" ref="N339:N350">+L339/M339</f>
        <v>11.795187726860254</v>
      </c>
      <c r="O339" s="90">
        <v>329</v>
      </c>
    </row>
    <row r="340" spans="1:15" s="83" customFormat="1" ht="12" customHeight="1">
      <c r="A340" s="84">
        <v>330</v>
      </c>
      <c r="B340" s="158" t="s">
        <v>335</v>
      </c>
      <c r="C340" s="26">
        <v>40536</v>
      </c>
      <c r="D340" s="215" t="s">
        <v>23</v>
      </c>
      <c r="E340" s="27">
        <v>112</v>
      </c>
      <c r="F340" s="27">
        <v>114</v>
      </c>
      <c r="G340" s="27">
        <v>3</v>
      </c>
      <c r="H340" s="467">
        <v>439081</v>
      </c>
      <c r="I340" s="468">
        <v>38093</v>
      </c>
      <c r="J340" s="32">
        <f t="shared" si="50"/>
        <v>334.14912280701753</v>
      </c>
      <c r="K340" s="212">
        <f t="shared" si="51"/>
        <v>11.526553435014307</v>
      </c>
      <c r="L340" s="30">
        <v>2102863</v>
      </c>
      <c r="M340" s="33">
        <v>179149</v>
      </c>
      <c r="N340" s="213">
        <f t="shared" si="52"/>
        <v>11.738067195462994</v>
      </c>
      <c r="O340" s="90">
        <v>330</v>
      </c>
    </row>
    <row r="341" spans="1:15" s="83" customFormat="1" ht="12" customHeight="1">
      <c r="A341" s="84">
        <v>331</v>
      </c>
      <c r="B341" s="393" t="s">
        <v>335</v>
      </c>
      <c r="C341" s="26">
        <v>40536</v>
      </c>
      <c r="D341" s="165" t="s">
        <v>23</v>
      </c>
      <c r="E341" s="167">
        <v>112</v>
      </c>
      <c r="F341" s="167">
        <v>67</v>
      </c>
      <c r="G341" s="167">
        <v>7</v>
      </c>
      <c r="H341" s="467">
        <v>251883</v>
      </c>
      <c r="I341" s="468">
        <v>23368</v>
      </c>
      <c r="J341" s="32">
        <f t="shared" si="50"/>
        <v>348.7761194029851</v>
      </c>
      <c r="K341" s="212">
        <f t="shared" si="51"/>
        <v>10.778971242725094</v>
      </c>
      <c r="L341" s="30">
        <v>2567209</v>
      </c>
      <c r="M341" s="33">
        <v>225627</v>
      </c>
      <c r="N341" s="213">
        <f t="shared" si="52"/>
        <v>11.378110775749356</v>
      </c>
      <c r="O341" s="90">
        <v>331</v>
      </c>
    </row>
    <row r="342" spans="1:15" s="83" customFormat="1" ht="12" customHeight="1">
      <c r="A342" s="84">
        <v>332</v>
      </c>
      <c r="B342" s="399" t="s">
        <v>335</v>
      </c>
      <c r="C342" s="401">
        <v>40536</v>
      </c>
      <c r="D342" s="402" t="s">
        <v>23</v>
      </c>
      <c r="E342" s="192">
        <v>112</v>
      </c>
      <c r="F342" s="192">
        <v>51</v>
      </c>
      <c r="G342" s="192">
        <v>4</v>
      </c>
      <c r="H342" s="377">
        <v>136869</v>
      </c>
      <c r="I342" s="378">
        <v>12796</v>
      </c>
      <c r="J342" s="193">
        <f t="shared" si="50"/>
        <v>250.90196078431373</v>
      </c>
      <c r="K342" s="246">
        <f t="shared" si="51"/>
        <v>10.696233197874335</v>
      </c>
      <c r="L342" s="194">
        <v>2239732</v>
      </c>
      <c r="M342" s="193">
        <v>191945</v>
      </c>
      <c r="N342" s="247">
        <f t="shared" si="52"/>
        <v>11.668613404881606</v>
      </c>
      <c r="O342" s="90">
        <v>332</v>
      </c>
    </row>
    <row r="343" spans="1:15" s="83" customFormat="1" ht="12" customHeight="1">
      <c r="A343" s="84">
        <v>333</v>
      </c>
      <c r="B343" s="607" t="s">
        <v>335</v>
      </c>
      <c r="C343" s="401">
        <v>40536</v>
      </c>
      <c r="D343" s="402" t="s">
        <v>23</v>
      </c>
      <c r="E343" s="192">
        <v>112</v>
      </c>
      <c r="F343" s="192">
        <v>76</v>
      </c>
      <c r="G343" s="192">
        <v>8</v>
      </c>
      <c r="H343" s="377">
        <v>133175</v>
      </c>
      <c r="I343" s="379">
        <v>12385</v>
      </c>
      <c r="J343" s="221">
        <f t="shared" si="50"/>
        <v>162.96052631578948</v>
      </c>
      <c r="K343" s="246">
        <f t="shared" si="51"/>
        <v>10.752926927735164</v>
      </c>
      <c r="L343" s="194">
        <v>2700384</v>
      </c>
      <c r="M343" s="221">
        <v>238012</v>
      </c>
      <c r="N343" s="564">
        <f t="shared" si="52"/>
        <v>11.345579214493387</v>
      </c>
      <c r="O343" s="90">
        <v>333</v>
      </c>
    </row>
    <row r="344" spans="1:17" s="83" customFormat="1" ht="12" customHeight="1">
      <c r="A344" s="84">
        <v>334</v>
      </c>
      <c r="B344" s="158" t="s">
        <v>335</v>
      </c>
      <c r="C344" s="26">
        <v>40536</v>
      </c>
      <c r="D344" s="222" t="s">
        <v>23</v>
      </c>
      <c r="E344" s="27">
        <v>112</v>
      </c>
      <c r="F344" s="27">
        <v>16</v>
      </c>
      <c r="G344" s="27">
        <v>6</v>
      </c>
      <c r="H344" s="467">
        <v>40300</v>
      </c>
      <c r="I344" s="468">
        <v>4735</v>
      </c>
      <c r="J344" s="33">
        <f t="shared" si="50"/>
        <v>295.9375</v>
      </c>
      <c r="K344" s="212">
        <f t="shared" si="51"/>
        <v>8.511087645195353</v>
      </c>
      <c r="L344" s="30">
        <v>2315326</v>
      </c>
      <c r="M344" s="33">
        <v>202259</v>
      </c>
      <c r="N344" s="181">
        <f t="shared" si="52"/>
        <v>11.447332380759324</v>
      </c>
      <c r="O344" s="90">
        <v>334</v>
      </c>
      <c r="Q344" s="123"/>
    </row>
    <row r="345" spans="1:15" s="83" customFormat="1" ht="12" customHeight="1">
      <c r="A345" s="84">
        <v>335</v>
      </c>
      <c r="B345" s="558" t="s">
        <v>335</v>
      </c>
      <c r="C345" s="26">
        <v>40536</v>
      </c>
      <c r="D345" s="222" t="s">
        <v>23</v>
      </c>
      <c r="E345" s="159">
        <v>112</v>
      </c>
      <c r="F345" s="159">
        <v>26</v>
      </c>
      <c r="G345" s="159">
        <v>5</v>
      </c>
      <c r="H345" s="480">
        <v>35294</v>
      </c>
      <c r="I345" s="481">
        <v>5579</v>
      </c>
      <c r="J345" s="33">
        <f t="shared" si="50"/>
        <v>214.57692307692307</v>
      </c>
      <c r="K345" s="212">
        <f t="shared" si="51"/>
        <v>6.3262233375156836</v>
      </c>
      <c r="L345" s="162">
        <v>2275026</v>
      </c>
      <c r="M345" s="34">
        <v>197524</v>
      </c>
      <c r="N345" s="213">
        <f t="shared" si="52"/>
        <v>11.51771936574796</v>
      </c>
      <c r="O345" s="90">
        <v>335</v>
      </c>
    </row>
    <row r="346" spans="1:15" s="83" customFormat="1" ht="12" customHeight="1">
      <c r="A346" s="84">
        <v>336</v>
      </c>
      <c r="B346" s="561" t="s">
        <v>335</v>
      </c>
      <c r="C346" s="26">
        <v>40536</v>
      </c>
      <c r="D346" s="165" t="s">
        <v>23</v>
      </c>
      <c r="E346" s="167">
        <v>112</v>
      </c>
      <c r="F346" s="167">
        <v>21</v>
      </c>
      <c r="G346" s="167">
        <v>9</v>
      </c>
      <c r="H346" s="480">
        <v>25605</v>
      </c>
      <c r="I346" s="481">
        <v>2458</v>
      </c>
      <c r="J346" s="33">
        <f t="shared" si="50"/>
        <v>117.04761904761905</v>
      </c>
      <c r="K346" s="212">
        <f t="shared" si="51"/>
        <v>10.417005695687552</v>
      </c>
      <c r="L346" s="162">
        <v>2725989</v>
      </c>
      <c r="M346" s="34">
        <v>240471</v>
      </c>
      <c r="N346" s="213">
        <f t="shared" si="52"/>
        <v>11.33604052047856</v>
      </c>
      <c r="O346" s="90">
        <v>336</v>
      </c>
    </row>
    <row r="347" spans="1:15" s="83" customFormat="1" ht="12" customHeight="1">
      <c r="A347" s="84">
        <v>337</v>
      </c>
      <c r="B347" s="561" t="s">
        <v>335</v>
      </c>
      <c r="C347" s="26">
        <v>40536</v>
      </c>
      <c r="D347" s="165" t="s">
        <v>23</v>
      </c>
      <c r="E347" s="167">
        <v>112</v>
      </c>
      <c r="F347" s="167">
        <v>15</v>
      </c>
      <c r="G347" s="167">
        <v>10</v>
      </c>
      <c r="H347" s="489">
        <v>6766</v>
      </c>
      <c r="I347" s="493">
        <v>855</v>
      </c>
      <c r="J347" s="550">
        <f t="shared" si="50"/>
        <v>57</v>
      </c>
      <c r="K347" s="220">
        <f t="shared" si="51"/>
        <v>7.913450292397661</v>
      </c>
      <c r="L347" s="22">
        <v>2732755</v>
      </c>
      <c r="M347" s="550">
        <v>241326</v>
      </c>
      <c r="N347" s="213">
        <f t="shared" si="52"/>
        <v>11.323914538839578</v>
      </c>
      <c r="O347" s="90">
        <v>337</v>
      </c>
    </row>
    <row r="348" spans="1:15" s="83" customFormat="1" ht="12" customHeight="1">
      <c r="A348" s="84">
        <v>338</v>
      </c>
      <c r="B348" s="158" t="s">
        <v>335</v>
      </c>
      <c r="C348" s="26">
        <v>40536</v>
      </c>
      <c r="D348" s="222" t="s">
        <v>23</v>
      </c>
      <c r="E348" s="159">
        <v>112</v>
      </c>
      <c r="F348" s="159">
        <v>3</v>
      </c>
      <c r="G348" s="159">
        <v>17</v>
      </c>
      <c r="H348" s="480">
        <v>5237</v>
      </c>
      <c r="I348" s="481">
        <v>1250</v>
      </c>
      <c r="J348" s="33">
        <f t="shared" si="50"/>
        <v>416.6666666666667</v>
      </c>
      <c r="K348" s="212">
        <f t="shared" si="51"/>
        <v>4.1896</v>
      </c>
      <c r="L348" s="162">
        <v>2754565</v>
      </c>
      <c r="M348" s="33">
        <v>246263</v>
      </c>
      <c r="N348" s="213">
        <f t="shared" si="52"/>
        <v>11.185460259965971</v>
      </c>
      <c r="O348" s="90">
        <v>338</v>
      </c>
    </row>
    <row r="349" spans="1:15" s="83" customFormat="1" ht="12" customHeight="1">
      <c r="A349" s="84">
        <v>339</v>
      </c>
      <c r="B349" s="608" t="s">
        <v>335</v>
      </c>
      <c r="C349" s="26">
        <v>40536</v>
      </c>
      <c r="D349" s="222" t="s">
        <v>23</v>
      </c>
      <c r="E349" s="159">
        <v>112</v>
      </c>
      <c r="F349" s="159">
        <v>11</v>
      </c>
      <c r="G349" s="159">
        <v>11</v>
      </c>
      <c r="H349" s="480">
        <v>4094</v>
      </c>
      <c r="I349" s="481">
        <v>695</v>
      </c>
      <c r="J349" s="33">
        <f t="shared" si="50"/>
        <v>63.18181818181818</v>
      </c>
      <c r="K349" s="212">
        <f t="shared" si="51"/>
        <v>5.890647482014389</v>
      </c>
      <c r="L349" s="162">
        <v>2736849</v>
      </c>
      <c r="M349" s="34">
        <v>242021</v>
      </c>
      <c r="N349" s="213">
        <f t="shared" si="52"/>
        <v>11.30831208862041</v>
      </c>
      <c r="O349" s="90">
        <v>339</v>
      </c>
    </row>
    <row r="350" spans="1:15" s="83" customFormat="1" ht="12" customHeight="1">
      <c r="A350" s="84">
        <v>340</v>
      </c>
      <c r="B350" s="700" t="s">
        <v>335</v>
      </c>
      <c r="C350" s="224">
        <v>40536</v>
      </c>
      <c r="D350" s="225" t="s">
        <v>23</v>
      </c>
      <c r="E350" s="226">
        <v>112</v>
      </c>
      <c r="F350" s="226">
        <v>7</v>
      </c>
      <c r="G350" s="226">
        <v>12</v>
      </c>
      <c r="H350" s="377">
        <v>3805</v>
      </c>
      <c r="I350" s="379">
        <v>818</v>
      </c>
      <c r="J350" s="230">
        <f t="shared" si="50"/>
        <v>116.85714285714286</v>
      </c>
      <c r="K350" s="228">
        <f t="shared" si="51"/>
        <v>4.65158924205379</v>
      </c>
      <c r="L350" s="229">
        <v>2740654</v>
      </c>
      <c r="M350" s="718">
        <v>242839</v>
      </c>
      <c r="N350" s="231">
        <f t="shared" si="52"/>
        <v>11.28588900464917</v>
      </c>
      <c r="O350" s="90">
        <v>340</v>
      </c>
    </row>
    <row r="351" spans="1:15" s="83" customFormat="1" ht="12" customHeight="1">
      <c r="A351" s="84">
        <v>341</v>
      </c>
      <c r="B351" s="696" t="s">
        <v>335</v>
      </c>
      <c r="C351" s="701">
        <v>40536</v>
      </c>
      <c r="D351" s="702" t="s">
        <v>23</v>
      </c>
      <c r="E351" s="704">
        <v>112</v>
      </c>
      <c r="F351" s="704">
        <v>4</v>
      </c>
      <c r="G351" s="704">
        <v>16</v>
      </c>
      <c r="H351" s="708">
        <v>2799</v>
      </c>
      <c r="I351" s="710">
        <v>759</v>
      </c>
      <c r="J351" s="96">
        <v>189.75</v>
      </c>
      <c r="K351" s="169">
        <v>3.6877470355731226</v>
      </c>
      <c r="L351" s="715">
        <v>2749328</v>
      </c>
      <c r="M351" s="716">
        <v>245013</v>
      </c>
      <c r="N351" s="719">
        <v>11.221151530735105</v>
      </c>
      <c r="O351" s="90">
        <v>341</v>
      </c>
    </row>
    <row r="352" spans="1:15" s="83" customFormat="1" ht="12" customHeight="1">
      <c r="A352" s="84">
        <v>342</v>
      </c>
      <c r="B352" s="608" t="s">
        <v>335</v>
      </c>
      <c r="C352" s="26">
        <v>40536</v>
      </c>
      <c r="D352" s="222" t="s">
        <v>23</v>
      </c>
      <c r="E352" s="159">
        <v>112</v>
      </c>
      <c r="F352" s="159">
        <v>4</v>
      </c>
      <c r="G352" s="159">
        <v>13</v>
      </c>
      <c r="H352" s="480">
        <v>2777</v>
      </c>
      <c r="I352" s="481">
        <v>596</v>
      </c>
      <c r="J352" s="33">
        <f aca="true" t="shared" si="53" ref="J352:J359">I352/F352</f>
        <v>149</v>
      </c>
      <c r="K352" s="212">
        <f>+H352/I352</f>
        <v>4.659395973154362</v>
      </c>
      <c r="L352" s="162">
        <v>2743431</v>
      </c>
      <c r="M352" s="34">
        <v>243435</v>
      </c>
      <c r="N352" s="213">
        <f aca="true" t="shared" si="54" ref="N352:N359">+L352/M352</f>
        <v>11.269665413765482</v>
      </c>
      <c r="O352" s="90">
        <v>342</v>
      </c>
    </row>
    <row r="353" spans="1:15" s="83" customFormat="1" ht="12" customHeight="1">
      <c r="A353" s="84">
        <v>343</v>
      </c>
      <c r="B353" s="699" t="s">
        <v>335</v>
      </c>
      <c r="C353" s="100">
        <v>40536</v>
      </c>
      <c r="D353" s="101" t="s">
        <v>23</v>
      </c>
      <c r="E353" s="102">
        <v>112</v>
      </c>
      <c r="F353" s="102">
        <v>1</v>
      </c>
      <c r="G353" s="102">
        <v>23</v>
      </c>
      <c r="H353" s="489">
        <v>2151</v>
      </c>
      <c r="I353" s="493">
        <v>326</v>
      </c>
      <c r="J353" s="218">
        <f t="shared" si="53"/>
        <v>326</v>
      </c>
      <c r="K353" s="297">
        <f>H353/I353</f>
        <v>6.598159509202454</v>
      </c>
      <c r="L353" s="22">
        <v>2759090</v>
      </c>
      <c r="M353" s="550">
        <v>247200</v>
      </c>
      <c r="N353" s="309">
        <f t="shared" si="54"/>
        <v>11.161367313915857</v>
      </c>
      <c r="O353" s="90">
        <v>343</v>
      </c>
    </row>
    <row r="354" spans="1:15" s="83" customFormat="1" ht="12" customHeight="1">
      <c r="A354" s="84">
        <v>344</v>
      </c>
      <c r="B354" s="561" t="s">
        <v>335</v>
      </c>
      <c r="C354" s="26">
        <v>40536</v>
      </c>
      <c r="D354" s="165" t="s">
        <v>23</v>
      </c>
      <c r="E354" s="167">
        <v>112</v>
      </c>
      <c r="F354" s="167">
        <v>3</v>
      </c>
      <c r="G354" s="167">
        <v>14</v>
      </c>
      <c r="H354" s="480">
        <v>1828</v>
      </c>
      <c r="I354" s="481">
        <v>458</v>
      </c>
      <c r="J354" s="33">
        <f t="shared" si="53"/>
        <v>152.66666666666666</v>
      </c>
      <c r="K354" s="714">
        <f>+H354/I354</f>
        <v>3.9912663755458517</v>
      </c>
      <c r="L354" s="162">
        <v>2745259</v>
      </c>
      <c r="M354" s="34">
        <v>243893</v>
      </c>
      <c r="N354" s="213">
        <f t="shared" si="54"/>
        <v>11.255997507103524</v>
      </c>
      <c r="O354" s="90">
        <v>344</v>
      </c>
    </row>
    <row r="355" spans="1:15" s="83" customFormat="1" ht="12" customHeight="1">
      <c r="A355" s="84">
        <v>345</v>
      </c>
      <c r="B355" s="607" t="s">
        <v>335</v>
      </c>
      <c r="C355" s="401">
        <v>40536</v>
      </c>
      <c r="D355" s="402" t="s">
        <v>23</v>
      </c>
      <c r="E355" s="192">
        <v>112</v>
      </c>
      <c r="F355" s="192">
        <v>2</v>
      </c>
      <c r="G355" s="192">
        <v>15</v>
      </c>
      <c r="H355" s="377">
        <v>1270</v>
      </c>
      <c r="I355" s="379">
        <v>361</v>
      </c>
      <c r="J355" s="221">
        <f t="shared" si="53"/>
        <v>180.5</v>
      </c>
      <c r="K355" s="246">
        <f>+H355/I355</f>
        <v>3.518005540166205</v>
      </c>
      <c r="L355" s="194">
        <v>2746529</v>
      </c>
      <c r="M355" s="221">
        <v>244254</v>
      </c>
      <c r="N355" s="564">
        <f t="shared" si="54"/>
        <v>11.244560989789317</v>
      </c>
      <c r="O355" s="90">
        <v>345</v>
      </c>
    </row>
    <row r="356" spans="1:15" s="83" customFormat="1" ht="12" customHeight="1">
      <c r="A356" s="84">
        <v>346</v>
      </c>
      <c r="B356" s="697" t="s">
        <v>335</v>
      </c>
      <c r="C356" s="26">
        <v>40536</v>
      </c>
      <c r="D356" s="222" t="s">
        <v>23</v>
      </c>
      <c r="E356" s="159">
        <v>112</v>
      </c>
      <c r="F356" s="159">
        <v>1</v>
      </c>
      <c r="G356" s="159">
        <v>18</v>
      </c>
      <c r="H356" s="480">
        <v>1205</v>
      </c>
      <c r="I356" s="481">
        <v>385</v>
      </c>
      <c r="J356" s="33">
        <f t="shared" si="53"/>
        <v>385</v>
      </c>
      <c r="K356" s="212">
        <f>+H356/I356</f>
        <v>3.1298701298701297</v>
      </c>
      <c r="L356" s="162">
        <v>2755770</v>
      </c>
      <c r="M356" s="34">
        <v>246648</v>
      </c>
      <c r="N356" s="213">
        <f t="shared" si="54"/>
        <v>11.172886056242094</v>
      </c>
      <c r="O356" s="90">
        <v>346</v>
      </c>
    </row>
    <row r="357" spans="1:15" s="83" customFormat="1" ht="12" customHeight="1">
      <c r="A357" s="84">
        <v>347</v>
      </c>
      <c r="B357" s="699" t="s">
        <v>335</v>
      </c>
      <c r="C357" s="100">
        <v>40536</v>
      </c>
      <c r="D357" s="101" t="s">
        <v>23</v>
      </c>
      <c r="E357" s="102">
        <v>112</v>
      </c>
      <c r="F357" s="102">
        <v>1</v>
      </c>
      <c r="G357" s="102">
        <v>22</v>
      </c>
      <c r="H357" s="709">
        <v>974</v>
      </c>
      <c r="I357" s="711">
        <v>161</v>
      </c>
      <c r="J357" s="87">
        <f t="shared" si="53"/>
        <v>161</v>
      </c>
      <c r="K357" s="88">
        <f>H357/I357</f>
        <v>6.049689440993789</v>
      </c>
      <c r="L357" s="627">
        <v>2756939</v>
      </c>
      <c r="M357" s="717">
        <v>246874</v>
      </c>
      <c r="N357" s="89">
        <f t="shared" si="54"/>
        <v>11.167393083111223</v>
      </c>
      <c r="O357" s="90">
        <v>347</v>
      </c>
    </row>
    <row r="358" spans="1:15" s="83" customFormat="1" ht="12" customHeight="1">
      <c r="A358" s="84">
        <v>348</v>
      </c>
      <c r="B358" s="699" t="s">
        <v>335</v>
      </c>
      <c r="C358" s="100">
        <v>40536</v>
      </c>
      <c r="D358" s="101" t="s">
        <v>23</v>
      </c>
      <c r="E358" s="102">
        <v>112</v>
      </c>
      <c r="F358" s="102">
        <v>1</v>
      </c>
      <c r="G358" s="102">
        <v>22</v>
      </c>
      <c r="H358" s="709">
        <v>974</v>
      </c>
      <c r="I358" s="711">
        <v>161</v>
      </c>
      <c r="J358" s="87">
        <f t="shared" si="53"/>
        <v>161</v>
      </c>
      <c r="K358" s="88">
        <f>H358/I358</f>
        <v>6.049689440993789</v>
      </c>
      <c r="L358" s="627">
        <v>2756939</v>
      </c>
      <c r="M358" s="717">
        <v>246874</v>
      </c>
      <c r="N358" s="89">
        <f t="shared" si="54"/>
        <v>11.167393083111223</v>
      </c>
      <c r="O358" s="90">
        <v>348</v>
      </c>
    </row>
    <row r="359" spans="1:15" s="83" customFormat="1" ht="12" customHeight="1">
      <c r="A359" s="84">
        <v>349</v>
      </c>
      <c r="B359" s="699" t="s">
        <v>335</v>
      </c>
      <c r="C359" s="100">
        <v>40536</v>
      </c>
      <c r="D359" s="101" t="s">
        <v>23</v>
      </c>
      <c r="E359" s="106">
        <v>112</v>
      </c>
      <c r="F359" s="106">
        <v>1</v>
      </c>
      <c r="G359" s="706">
        <v>25</v>
      </c>
      <c r="H359" s="377">
        <v>777</v>
      </c>
      <c r="I359" s="379">
        <v>127</v>
      </c>
      <c r="J359" s="218">
        <f t="shared" si="53"/>
        <v>127</v>
      </c>
      <c r="K359" s="297">
        <f>H359/I359</f>
        <v>6.118110236220472</v>
      </c>
      <c r="L359" s="194">
        <v>2759867</v>
      </c>
      <c r="M359" s="221">
        <v>247327</v>
      </c>
      <c r="N359" s="89">
        <f t="shared" si="54"/>
        <v>11.15877765064065</v>
      </c>
      <c r="O359" s="90">
        <v>349</v>
      </c>
    </row>
    <row r="360" spans="1:15" s="83" customFormat="1" ht="12" customHeight="1">
      <c r="A360" s="84">
        <v>350</v>
      </c>
      <c r="B360" s="178" t="s">
        <v>336</v>
      </c>
      <c r="C360" s="26">
        <v>40319</v>
      </c>
      <c r="D360" s="165" t="s">
        <v>137</v>
      </c>
      <c r="E360" s="167">
        <v>2</v>
      </c>
      <c r="F360" s="167">
        <v>1</v>
      </c>
      <c r="G360" s="167">
        <v>17</v>
      </c>
      <c r="H360" s="325">
        <v>2970</v>
      </c>
      <c r="I360" s="326">
        <v>2755</v>
      </c>
      <c r="J360" s="97">
        <f>(I360/F360)</f>
        <v>2755</v>
      </c>
      <c r="K360" s="179">
        <f>H360/I360</f>
        <v>1.0780399274047188</v>
      </c>
      <c r="L360" s="8">
        <f>4143+1077+726+775+2269+1451+561+189+370+613+538+181+79+246+238+1188+2970</f>
        <v>17614</v>
      </c>
      <c r="M360" s="7">
        <f>330+90+108+118+312+209+62+36+139+104+67+25+11+37+68+297+742</f>
        <v>2755</v>
      </c>
      <c r="N360" s="163">
        <f>L360/M360</f>
        <v>6.393466424682396</v>
      </c>
      <c r="O360" s="90">
        <v>350</v>
      </c>
    </row>
    <row r="361" spans="1:15" s="83" customFormat="1" ht="12" customHeight="1">
      <c r="A361" s="84">
        <v>351</v>
      </c>
      <c r="B361" s="158" t="s">
        <v>336</v>
      </c>
      <c r="C361" s="26">
        <v>40319</v>
      </c>
      <c r="D361" s="24" t="s">
        <v>32</v>
      </c>
      <c r="E361" s="159">
        <v>2</v>
      </c>
      <c r="F361" s="159">
        <v>1</v>
      </c>
      <c r="G361" s="159">
        <v>16</v>
      </c>
      <c r="H361" s="325">
        <v>1188</v>
      </c>
      <c r="I361" s="326">
        <v>297</v>
      </c>
      <c r="J361" s="97">
        <f>(I361/F361)</f>
        <v>297</v>
      </c>
      <c r="K361" s="161">
        <f>H361/I361</f>
        <v>4</v>
      </c>
      <c r="L361" s="8">
        <f>4143+1077+726+775+2269+1451+561+189+370+613+538+181+79+246+238+1188</f>
        <v>14644</v>
      </c>
      <c r="M361" s="7">
        <f>330+90+108+118+312+209+62+36+139+104+67+25+11+37+68+297</f>
        <v>2013</v>
      </c>
      <c r="N361" s="163">
        <f>L361/M361</f>
        <v>7.27471435668157</v>
      </c>
      <c r="O361" s="90">
        <v>351</v>
      </c>
    </row>
    <row r="362" spans="1:15" s="83" customFormat="1" ht="12" customHeight="1">
      <c r="A362" s="84">
        <v>352</v>
      </c>
      <c r="B362" s="191" t="s">
        <v>168</v>
      </c>
      <c r="C362" s="26">
        <v>40529</v>
      </c>
      <c r="D362" s="25" t="s">
        <v>29</v>
      </c>
      <c r="E362" s="159">
        <v>5</v>
      </c>
      <c r="F362" s="159">
        <v>3</v>
      </c>
      <c r="G362" s="159">
        <v>3</v>
      </c>
      <c r="H362" s="489">
        <v>2915</v>
      </c>
      <c r="I362" s="481">
        <v>305</v>
      </c>
      <c r="J362" s="87">
        <f>IF(H362&lt;&gt;0,I362/F362,"")</f>
        <v>101.66666666666667</v>
      </c>
      <c r="K362" s="189">
        <f>IF(H362&lt;&gt;0,H362/I362,"")</f>
        <v>9.557377049180328</v>
      </c>
      <c r="L362" s="22">
        <f>9892.5+4913+2915</f>
        <v>17720.5</v>
      </c>
      <c r="M362" s="33">
        <f>1037+523+305</f>
        <v>1865</v>
      </c>
      <c r="N362" s="188">
        <f>IF(L362&lt;&gt;0,L362/M362,"")</f>
        <v>9.501608579088472</v>
      </c>
      <c r="O362" s="90">
        <v>352</v>
      </c>
    </row>
    <row r="363" spans="1:15" s="83" customFormat="1" ht="12" customHeight="1">
      <c r="A363" s="84">
        <v>353</v>
      </c>
      <c r="B363" s="557" t="s">
        <v>337</v>
      </c>
      <c r="C363" s="418">
        <v>40410</v>
      </c>
      <c r="D363" s="101" t="s">
        <v>32</v>
      </c>
      <c r="E363" s="420">
        <v>100</v>
      </c>
      <c r="F363" s="172">
        <v>1</v>
      </c>
      <c r="G363" s="420">
        <v>19</v>
      </c>
      <c r="H363" s="325">
        <v>1782</v>
      </c>
      <c r="I363" s="326">
        <v>446</v>
      </c>
      <c r="J363" s="87">
        <f>I363/F363</f>
        <v>446</v>
      </c>
      <c r="K363" s="88">
        <f aca="true" t="shared" si="55" ref="K363:K395">H363/I363</f>
        <v>3.995515695067265</v>
      </c>
      <c r="L363" s="8">
        <f>4793.5+233907+173006+95171+69286+22212.5+11921.5+10683+6473+5548+3621+5930+360+5346+2138.5+6058.5+4752+950.5+1782+1782</f>
        <v>665722</v>
      </c>
      <c r="M363" s="7">
        <f>312+25267+17706+10642+10638+3791+2335+2134+1501+1673+635+1434+72+1336+534+1515+1188+238+445+446</f>
        <v>83842</v>
      </c>
      <c r="N363" s="89">
        <f>+L363/M363</f>
        <v>7.940197037284416</v>
      </c>
      <c r="O363" s="90">
        <v>353</v>
      </c>
    </row>
    <row r="364" spans="1:15" s="83" customFormat="1" ht="12" customHeight="1">
      <c r="A364" s="84">
        <v>354</v>
      </c>
      <c r="B364" s="191" t="s">
        <v>337</v>
      </c>
      <c r="C364" s="26">
        <v>40410</v>
      </c>
      <c r="D364" s="165" t="s">
        <v>32</v>
      </c>
      <c r="E364" s="159">
        <v>100</v>
      </c>
      <c r="F364" s="159">
        <v>1</v>
      </c>
      <c r="G364" s="159">
        <v>18</v>
      </c>
      <c r="H364" s="325">
        <v>1782</v>
      </c>
      <c r="I364" s="326">
        <v>445</v>
      </c>
      <c r="J364" s="97">
        <f aca="true" t="shared" si="56" ref="J364:J373">(I364/F364)</f>
        <v>445</v>
      </c>
      <c r="K364" s="161">
        <f t="shared" si="55"/>
        <v>4.004494382022472</v>
      </c>
      <c r="L364" s="8">
        <f>4793.5+233907+173006+95171+69286+22212.5+11921.5+10683+6473+5548+3621+5930+360+5346+2138.5+6058.5+4752+950.5+1782</f>
        <v>663940</v>
      </c>
      <c r="M364" s="7">
        <f>312+25267+17706+10642+10638+3791+2335+2134+1501+1673+635+1434+72+1336+534+1515+1188+238+445</f>
        <v>83396</v>
      </c>
      <c r="N364" s="163">
        <f aca="true" t="shared" si="57" ref="N364:N373">L364/M364</f>
        <v>7.9612931075830975</v>
      </c>
      <c r="O364" s="90">
        <v>354</v>
      </c>
    </row>
    <row r="365" spans="1:15" s="83" customFormat="1" ht="12" customHeight="1">
      <c r="A365" s="84">
        <v>355</v>
      </c>
      <c r="B365" s="158" t="s">
        <v>337</v>
      </c>
      <c r="C365" s="26">
        <v>40410</v>
      </c>
      <c r="D365" s="165" t="s">
        <v>32</v>
      </c>
      <c r="E365" s="159">
        <v>100</v>
      </c>
      <c r="F365" s="159">
        <v>1</v>
      </c>
      <c r="G365" s="159">
        <v>17</v>
      </c>
      <c r="H365" s="325">
        <v>950.5</v>
      </c>
      <c r="I365" s="326">
        <v>238</v>
      </c>
      <c r="J365" s="97">
        <f t="shared" si="56"/>
        <v>238</v>
      </c>
      <c r="K365" s="161">
        <f t="shared" si="55"/>
        <v>3.9936974789915967</v>
      </c>
      <c r="L365" s="8">
        <f>4793.5+233907+173006+95171+69286+22212.5+11921.5+10683+6473+5548+3621+5930+360+5346+2138.5+6058.5+4752+950.5</f>
        <v>662158</v>
      </c>
      <c r="M365" s="7">
        <f>312+25267+17706+10642+10638+3791+2335+2134+1501+1673+635+1434+72+1336+534+1515+1188+238</f>
        <v>82951</v>
      </c>
      <c r="N365" s="163">
        <f t="shared" si="57"/>
        <v>7.9825198008462825</v>
      </c>
      <c r="O365" s="90">
        <v>355</v>
      </c>
    </row>
    <row r="366" spans="1:15" s="83" customFormat="1" ht="12" customHeight="1">
      <c r="A366" s="84">
        <v>356</v>
      </c>
      <c r="B366" s="178" t="s">
        <v>338</v>
      </c>
      <c r="C366" s="26">
        <v>40039</v>
      </c>
      <c r="D366" s="165" t="s">
        <v>32</v>
      </c>
      <c r="E366" s="167">
        <v>8</v>
      </c>
      <c r="F366" s="167">
        <v>1</v>
      </c>
      <c r="G366" s="167">
        <v>11</v>
      </c>
      <c r="H366" s="325">
        <v>952</v>
      </c>
      <c r="I366" s="326">
        <v>238</v>
      </c>
      <c r="J366" s="97">
        <f t="shared" si="56"/>
        <v>238</v>
      </c>
      <c r="K366" s="161">
        <f t="shared" si="55"/>
        <v>4</v>
      </c>
      <c r="L366" s="8">
        <f>29121.25+9335.5+10783.5+6805.5+6780.5+3746+1541.5+84+273+1188+952</f>
        <v>70610.75</v>
      </c>
      <c r="M366" s="7">
        <f>2428+976+1509+1029+1087+466+273+24+62+297+238</f>
        <v>8389</v>
      </c>
      <c r="N366" s="163">
        <f t="shared" si="57"/>
        <v>8.417064012397187</v>
      </c>
      <c r="O366" s="90">
        <v>356</v>
      </c>
    </row>
    <row r="367" spans="1:15" s="83" customFormat="1" ht="12" customHeight="1">
      <c r="A367" s="84">
        <v>357</v>
      </c>
      <c r="B367" s="499" t="s">
        <v>142</v>
      </c>
      <c r="C367" s="26">
        <v>40522</v>
      </c>
      <c r="D367" s="165" t="s">
        <v>32</v>
      </c>
      <c r="E367" s="159">
        <v>127</v>
      </c>
      <c r="F367" s="159">
        <v>65</v>
      </c>
      <c r="G367" s="159">
        <v>4</v>
      </c>
      <c r="H367" s="475">
        <v>70165.5</v>
      </c>
      <c r="I367" s="326">
        <v>8841</v>
      </c>
      <c r="J367" s="97">
        <f t="shared" si="56"/>
        <v>136.01538461538462</v>
      </c>
      <c r="K367" s="166">
        <f t="shared" si="55"/>
        <v>7.9363759755683745</v>
      </c>
      <c r="L367" s="20">
        <f>1048675+809166.5+457718.5+70165.5</f>
        <v>2385725.5</v>
      </c>
      <c r="M367" s="7">
        <f>92481+73795+43350+8841</f>
        <v>218467</v>
      </c>
      <c r="N367" s="163">
        <f t="shared" si="57"/>
        <v>10.92030146429438</v>
      </c>
      <c r="O367" s="90">
        <v>357</v>
      </c>
    </row>
    <row r="368" spans="1:15" s="83" customFormat="1" ht="12" customHeight="1">
      <c r="A368" s="84">
        <v>358</v>
      </c>
      <c r="B368" s="232" t="s">
        <v>142</v>
      </c>
      <c r="C368" s="171">
        <v>40522</v>
      </c>
      <c r="D368" s="165" t="s">
        <v>32</v>
      </c>
      <c r="E368" s="172">
        <v>127</v>
      </c>
      <c r="F368" s="172">
        <v>11</v>
      </c>
      <c r="G368" s="172">
        <v>6</v>
      </c>
      <c r="H368" s="469">
        <v>12164</v>
      </c>
      <c r="I368" s="470">
        <v>2869</v>
      </c>
      <c r="J368" s="173">
        <f t="shared" si="56"/>
        <v>260.8181818181818</v>
      </c>
      <c r="K368" s="174">
        <f t="shared" si="55"/>
        <v>4.239804810038341</v>
      </c>
      <c r="L368" s="175">
        <f>1048675+809166.5+457718.5+70165.5+7102+12164</f>
        <v>2404991.5</v>
      </c>
      <c r="M368" s="176">
        <f>92481+73795+43350+8841+1153+2869</f>
        <v>222489</v>
      </c>
      <c r="N368" s="177">
        <f t="shared" si="57"/>
        <v>10.809484963301557</v>
      </c>
      <c r="O368" s="90">
        <v>358</v>
      </c>
    </row>
    <row r="369" spans="1:15" s="83" customFormat="1" ht="12" customHeight="1">
      <c r="A369" s="84">
        <v>359</v>
      </c>
      <c r="B369" s="232" t="s">
        <v>142</v>
      </c>
      <c r="C369" s="26">
        <v>40522</v>
      </c>
      <c r="D369" s="165" t="s">
        <v>32</v>
      </c>
      <c r="E369" s="159">
        <v>127</v>
      </c>
      <c r="F369" s="159">
        <v>8</v>
      </c>
      <c r="G369" s="159">
        <v>8</v>
      </c>
      <c r="H369" s="325">
        <v>11777.5</v>
      </c>
      <c r="I369" s="326">
        <v>2831</v>
      </c>
      <c r="J369" s="97">
        <f t="shared" si="56"/>
        <v>353.875</v>
      </c>
      <c r="K369" s="161">
        <f t="shared" si="55"/>
        <v>4.160190745319675</v>
      </c>
      <c r="L369" s="8">
        <f>1048675+809166.5+457718.5+70165.5+7102+12164+8619.5+11777.5</f>
        <v>2425388.5</v>
      </c>
      <c r="M369" s="7">
        <f>92481+73795+43350+8841+1153+2869+1615+2831</f>
        <v>226935</v>
      </c>
      <c r="N369" s="163">
        <f t="shared" si="57"/>
        <v>10.68759116046445</v>
      </c>
      <c r="O369" s="90">
        <v>359</v>
      </c>
    </row>
    <row r="370" spans="1:15" s="83" customFormat="1" ht="12" customHeight="1">
      <c r="A370" s="84">
        <v>360</v>
      </c>
      <c r="B370" s="178" t="s">
        <v>142</v>
      </c>
      <c r="C370" s="26">
        <v>40522</v>
      </c>
      <c r="D370" s="165" t="s">
        <v>32</v>
      </c>
      <c r="E370" s="167">
        <v>127</v>
      </c>
      <c r="F370" s="167">
        <v>10</v>
      </c>
      <c r="G370" s="167">
        <v>11</v>
      </c>
      <c r="H370" s="325">
        <v>10420.5</v>
      </c>
      <c r="I370" s="326">
        <v>2477</v>
      </c>
      <c r="J370" s="97">
        <f t="shared" si="56"/>
        <v>247.7</v>
      </c>
      <c r="K370" s="161">
        <f t="shared" si="55"/>
        <v>4.206903512313282</v>
      </c>
      <c r="L370" s="8">
        <f>1048675+809166.5+457718.5+70165.5+7102+12164+8619.5+11777.5+6559.5+3338.5+10420.5</f>
        <v>2445707</v>
      </c>
      <c r="M370" s="7">
        <f>92481+73795+43350+8841+1153+2869+1615+2831+1620+630+2477</f>
        <v>231662</v>
      </c>
      <c r="N370" s="163">
        <f t="shared" si="57"/>
        <v>10.557221296544103</v>
      </c>
      <c r="O370" s="90">
        <v>360</v>
      </c>
    </row>
    <row r="371" spans="1:15" s="83" customFormat="1" ht="12" customHeight="1">
      <c r="A371" s="84">
        <v>361</v>
      </c>
      <c r="B371" s="499" t="s">
        <v>142</v>
      </c>
      <c r="C371" s="26">
        <v>40522</v>
      </c>
      <c r="D371" s="165" t="s">
        <v>32</v>
      </c>
      <c r="E371" s="159">
        <v>127</v>
      </c>
      <c r="F371" s="159">
        <v>10</v>
      </c>
      <c r="G371" s="159">
        <v>7</v>
      </c>
      <c r="H371" s="325">
        <v>8619.5</v>
      </c>
      <c r="I371" s="326">
        <v>1615</v>
      </c>
      <c r="J371" s="97">
        <f t="shared" si="56"/>
        <v>161.5</v>
      </c>
      <c r="K371" s="161">
        <f t="shared" si="55"/>
        <v>5.337151702786378</v>
      </c>
      <c r="L371" s="8">
        <f>1048675+809166.5+457718.5+70165.5+7102+12164+8619.5</f>
        <v>2413611</v>
      </c>
      <c r="M371" s="7">
        <f>92481+73795+43350+8841+1153+2869+1615</f>
        <v>224104</v>
      </c>
      <c r="N371" s="163">
        <f t="shared" si="57"/>
        <v>10.770048727376576</v>
      </c>
      <c r="O371" s="90">
        <v>361</v>
      </c>
    </row>
    <row r="372" spans="1:15" s="83" customFormat="1" ht="12" customHeight="1">
      <c r="A372" s="84">
        <v>362</v>
      </c>
      <c r="B372" s="232" t="s">
        <v>142</v>
      </c>
      <c r="C372" s="26">
        <v>40522</v>
      </c>
      <c r="D372" s="165" t="s">
        <v>32</v>
      </c>
      <c r="E372" s="159">
        <v>127</v>
      </c>
      <c r="F372" s="159">
        <v>10</v>
      </c>
      <c r="G372" s="159">
        <v>5</v>
      </c>
      <c r="H372" s="325">
        <v>7102</v>
      </c>
      <c r="I372" s="326">
        <v>1153</v>
      </c>
      <c r="J372" s="97">
        <f t="shared" si="56"/>
        <v>115.3</v>
      </c>
      <c r="K372" s="161">
        <f t="shared" si="55"/>
        <v>6.159583694709454</v>
      </c>
      <c r="L372" s="8">
        <f>1048675+809166.5+457718.5+70165.5+7102</f>
        <v>2392827.5</v>
      </c>
      <c r="M372" s="7">
        <f>92481+73795+43350+8841+1153</f>
        <v>219620</v>
      </c>
      <c r="N372" s="163">
        <f t="shared" si="57"/>
        <v>10.8953078043894</v>
      </c>
      <c r="O372" s="90">
        <v>362</v>
      </c>
    </row>
    <row r="373" spans="1:15" s="83" customFormat="1" ht="12" customHeight="1">
      <c r="A373" s="84">
        <v>363</v>
      </c>
      <c r="B373" s="178" t="s">
        <v>142</v>
      </c>
      <c r="C373" s="26">
        <v>40522</v>
      </c>
      <c r="D373" s="165" t="s">
        <v>32</v>
      </c>
      <c r="E373" s="167">
        <v>127</v>
      </c>
      <c r="F373" s="167">
        <v>5</v>
      </c>
      <c r="G373" s="167">
        <v>9</v>
      </c>
      <c r="H373" s="325">
        <v>6559.5</v>
      </c>
      <c r="I373" s="326">
        <v>1620</v>
      </c>
      <c r="J373" s="97">
        <f t="shared" si="56"/>
        <v>324</v>
      </c>
      <c r="K373" s="161">
        <f t="shared" si="55"/>
        <v>4.049074074074074</v>
      </c>
      <c r="L373" s="8">
        <f>1048675+809166.5+457718.5+70165.5+7102+12164+8619.5+11777.5+6559.5</f>
        <v>2431948</v>
      </c>
      <c r="M373" s="7">
        <f>92481+73795+43350+8841+1153+2869+1615+2831+1620</f>
        <v>228555</v>
      </c>
      <c r="N373" s="163">
        <f t="shared" si="57"/>
        <v>10.640537288617619</v>
      </c>
      <c r="O373" s="90">
        <v>363</v>
      </c>
    </row>
    <row r="374" spans="1:15" s="83" customFormat="1" ht="12" customHeight="1">
      <c r="A374" s="84">
        <v>364</v>
      </c>
      <c r="B374" s="417" t="s">
        <v>142</v>
      </c>
      <c r="C374" s="418">
        <v>40522</v>
      </c>
      <c r="D374" s="101" t="s">
        <v>32</v>
      </c>
      <c r="E374" s="420">
        <v>127</v>
      </c>
      <c r="F374" s="172">
        <v>4</v>
      </c>
      <c r="G374" s="322">
        <v>20</v>
      </c>
      <c r="H374" s="325">
        <v>5583.5</v>
      </c>
      <c r="I374" s="326">
        <v>1394</v>
      </c>
      <c r="J374" s="87">
        <f>I374/F374</f>
        <v>348.5</v>
      </c>
      <c r="K374" s="88">
        <f t="shared" si="55"/>
        <v>4.005380200860833</v>
      </c>
      <c r="L374" s="8">
        <f>1048675+809166.5+457718.5+70165.5+7102+12164+8619.5+11777.5+6559.5+3338.5+10420.5+3303+3205+2076+1722.5+314+264+550+5455+5583.5</f>
        <v>2468180</v>
      </c>
      <c r="M374" s="7">
        <f>92481+73795+43350+8841+1153+2869+1615+2831+1620+630+2477+726+513+481+318+38+33+104+1359+1394</f>
        <v>236628</v>
      </c>
      <c r="N374" s="89">
        <f>+L374/M374</f>
        <v>10.430633737343003</v>
      </c>
      <c r="O374" s="90">
        <v>364</v>
      </c>
    </row>
    <row r="375" spans="1:15" s="83" customFormat="1" ht="12" customHeight="1">
      <c r="A375" s="84">
        <v>365</v>
      </c>
      <c r="B375" s="232" t="s">
        <v>142</v>
      </c>
      <c r="C375" s="26">
        <v>40522</v>
      </c>
      <c r="D375" s="24" t="s">
        <v>32</v>
      </c>
      <c r="E375" s="159">
        <v>127</v>
      </c>
      <c r="F375" s="159">
        <v>4</v>
      </c>
      <c r="G375" s="159">
        <v>19</v>
      </c>
      <c r="H375" s="325">
        <v>5455</v>
      </c>
      <c r="I375" s="326">
        <v>1359</v>
      </c>
      <c r="J375" s="97">
        <f>(I375/F375)</f>
        <v>339.75</v>
      </c>
      <c r="K375" s="161">
        <f t="shared" si="55"/>
        <v>4.013980868285504</v>
      </c>
      <c r="L375" s="8">
        <f>1048675+809166.5+457718.5+70165.5+7102+12164+8619.5+11777.5+6559.5+3338.5+10420.5+3303+3205+2076+1722.5+314+264+550+5455</f>
        <v>2462596.5</v>
      </c>
      <c r="M375" s="7">
        <f>92481+73795+43350+8841+1153+2869+1615+2831+1620+630+2477+726+513+481+318+38+33+104+1359</f>
        <v>235234</v>
      </c>
      <c r="N375" s="163">
        <f>L375/M375</f>
        <v>10.468709880374435</v>
      </c>
      <c r="O375" s="90">
        <v>365</v>
      </c>
    </row>
    <row r="376" spans="1:15" s="83" customFormat="1" ht="12" customHeight="1">
      <c r="A376" s="84">
        <v>366</v>
      </c>
      <c r="B376" s="451" t="s">
        <v>142</v>
      </c>
      <c r="C376" s="171">
        <v>40522</v>
      </c>
      <c r="D376" s="165" t="s">
        <v>32</v>
      </c>
      <c r="E376" s="172">
        <v>127</v>
      </c>
      <c r="F376" s="172">
        <v>5</v>
      </c>
      <c r="G376" s="172">
        <v>10</v>
      </c>
      <c r="H376" s="469">
        <v>3338.5</v>
      </c>
      <c r="I376" s="470">
        <v>630</v>
      </c>
      <c r="J376" s="173">
        <f>(I376/F376)</f>
        <v>126</v>
      </c>
      <c r="K376" s="174">
        <f t="shared" si="55"/>
        <v>5.299206349206349</v>
      </c>
      <c r="L376" s="175">
        <f>1048675+809166.5+457718.5+70165.5+7102+12164+8619.5+11777.5+6559.5+3338.5</f>
        <v>2435286.5</v>
      </c>
      <c r="M376" s="176">
        <f>92481+73795+43350+8841+1153+2869+1615+2831+1620+630</f>
        <v>229185</v>
      </c>
      <c r="N376" s="177">
        <f>L376/M376</f>
        <v>10.625854658900016</v>
      </c>
      <c r="O376" s="90">
        <v>366</v>
      </c>
    </row>
    <row r="377" spans="1:15" s="83" customFormat="1" ht="12" customHeight="1">
      <c r="A377" s="84">
        <v>367</v>
      </c>
      <c r="B377" s="178" t="s">
        <v>142</v>
      </c>
      <c r="C377" s="26">
        <v>40522</v>
      </c>
      <c r="D377" s="165" t="s">
        <v>32</v>
      </c>
      <c r="E377" s="167">
        <v>127</v>
      </c>
      <c r="F377" s="167">
        <v>6</v>
      </c>
      <c r="G377" s="167">
        <v>12</v>
      </c>
      <c r="H377" s="475">
        <v>3303</v>
      </c>
      <c r="I377" s="476">
        <v>726</v>
      </c>
      <c r="J377" s="168">
        <f>(I377/F377)</f>
        <v>121</v>
      </c>
      <c r="K377" s="166">
        <f t="shared" si="55"/>
        <v>4.549586776859504</v>
      </c>
      <c r="L377" s="20">
        <f>1048675+809166.5+457718.5+70165.5+7102+12164+8619.5+11777.5+6559.5+3338.5+10420.5+3303</f>
        <v>2449010</v>
      </c>
      <c r="M377" s="21">
        <f>92481+73795+43350+8841+1153+2869+1615+2831+1620+630+2477+726</f>
        <v>232388</v>
      </c>
      <c r="N377" s="163">
        <f>L377/M377</f>
        <v>10.538452932165171</v>
      </c>
      <c r="O377" s="90">
        <v>367</v>
      </c>
    </row>
    <row r="378" spans="1:15" s="83" customFormat="1" ht="12" customHeight="1">
      <c r="A378" s="84">
        <v>368</v>
      </c>
      <c r="B378" s="232" t="s">
        <v>142</v>
      </c>
      <c r="C378" s="26">
        <v>40522</v>
      </c>
      <c r="D378" s="24" t="s">
        <v>32</v>
      </c>
      <c r="E378" s="159">
        <v>127</v>
      </c>
      <c r="F378" s="159">
        <v>5</v>
      </c>
      <c r="G378" s="159">
        <v>13</v>
      </c>
      <c r="H378" s="325">
        <v>3205</v>
      </c>
      <c r="I378" s="326">
        <v>513</v>
      </c>
      <c r="J378" s="97">
        <f>(I378/F378)</f>
        <v>102.6</v>
      </c>
      <c r="K378" s="161">
        <f t="shared" si="55"/>
        <v>6.247563352826511</v>
      </c>
      <c r="L378" s="8">
        <f>1048675+809166.5+457718.5+70165.5+7102+12164+8619.5+11777.5+6559.5+3338.5+10420.5+3303+3205</f>
        <v>2452215</v>
      </c>
      <c r="M378" s="7">
        <f>92481+73795+43350+8841+1153+2869+1615+2831+1620+630+2477+726+513</f>
        <v>232901</v>
      </c>
      <c r="N378" s="163">
        <f>L378/M378</f>
        <v>10.529001592951511</v>
      </c>
      <c r="O378" s="90">
        <v>368</v>
      </c>
    </row>
    <row r="379" spans="1:15" s="83" customFormat="1" ht="12" customHeight="1">
      <c r="A379" s="84">
        <v>369</v>
      </c>
      <c r="B379" s="232" t="s">
        <v>142</v>
      </c>
      <c r="C379" s="26">
        <v>40522</v>
      </c>
      <c r="D379" s="24" t="s">
        <v>32</v>
      </c>
      <c r="E379" s="159">
        <v>127</v>
      </c>
      <c r="F379" s="159">
        <v>2</v>
      </c>
      <c r="G379" s="159">
        <v>14</v>
      </c>
      <c r="H379" s="325">
        <v>2076</v>
      </c>
      <c r="I379" s="326">
        <v>481</v>
      </c>
      <c r="J379" s="97">
        <f>(I379/F379)</f>
        <v>240.5</v>
      </c>
      <c r="K379" s="161">
        <f t="shared" si="55"/>
        <v>4.316008316008316</v>
      </c>
      <c r="L379" s="8">
        <f>1048675+809166.5+457718.5+70165.5+7102+12164+8619.5+11777.5+6559.5+3338.5+10420.5+3303+3205+2076</f>
        <v>2454291</v>
      </c>
      <c r="M379" s="7">
        <f>92481+73795+43350+8841+1153+2869+1615+2831+1620+630+2477+726+513+481</f>
        <v>233382</v>
      </c>
      <c r="N379" s="163">
        <f>L379/M379</f>
        <v>10.516196621847444</v>
      </c>
      <c r="O379" s="90">
        <v>369</v>
      </c>
    </row>
    <row r="380" spans="1:15" s="83" customFormat="1" ht="12" customHeight="1">
      <c r="A380" s="84">
        <v>370</v>
      </c>
      <c r="B380" s="417" t="s">
        <v>142</v>
      </c>
      <c r="C380" s="418">
        <v>40522</v>
      </c>
      <c r="D380" s="419" t="s">
        <v>137</v>
      </c>
      <c r="E380" s="420">
        <v>127</v>
      </c>
      <c r="F380" s="172">
        <v>2</v>
      </c>
      <c r="G380" s="420">
        <v>21</v>
      </c>
      <c r="H380" s="325">
        <v>1818.5</v>
      </c>
      <c r="I380" s="326">
        <v>447</v>
      </c>
      <c r="J380" s="87">
        <f>I380/F380</f>
        <v>223.5</v>
      </c>
      <c r="K380" s="88">
        <f t="shared" si="55"/>
        <v>4.068232662192393</v>
      </c>
      <c r="L380" s="8">
        <f>1048675+809166.5+457718.5+70165.5+7102+12164+8619.5+11777.5+6559.5+3338.5+10420.5+3303+3205+2076+1722.5+314+264+550+5455+5583.5+1818.5</f>
        <v>2469998.5</v>
      </c>
      <c r="M380" s="7">
        <f>92481+73795+43350+8841+1153+2869+1615+2831+1620+630+2477+726+513+481+318+38+33+104+1359+1394+447</f>
        <v>237075</v>
      </c>
      <c r="N380" s="89">
        <f>+L380/M380</f>
        <v>10.418637561952968</v>
      </c>
      <c r="O380" s="90">
        <v>370</v>
      </c>
    </row>
    <row r="381" spans="1:15" s="83" customFormat="1" ht="12" customHeight="1">
      <c r="A381" s="84">
        <v>371</v>
      </c>
      <c r="B381" s="232" t="s">
        <v>142</v>
      </c>
      <c r="C381" s="26">
        <v>40522</v>
      </c>
      <c r="D381" s="24" t="s">
        <v>32</v>
      </c>
      <c r="E381" s="159">
        <v>127</v>
      </c>
      <c r="F381" s="159">
        <v>2</v>
      </c>
      <c r="G381" s="159">
        <v>15</v>
      </c>
      <c r="H381" s="325">
        <v>1722.5</v>
      </c>
      <c r="I381" s="326">
        <v>318</v>
      </c>
      <c r="J381" s="97">
        <f aca="true" t="shared" si="58" ref="J381:J388">(I381/F381)</f>
        <v>159</v>
      </c>
      <c r="K381" s="161">
        <f t="shared" si="55"/>
        <v>5.416666666666667</v>
      </c>
      <c r="L381" s="8">
        <f>1048675+809166.5+457718.5+70165.5+7102+12164+8619.5+11777.5+6559.5+3338.5+10420.5+3303+3205+2076+1722.5</f>
        <v>2456013.5</v>
      </c>
      <c r="M381" s="7">
        <f>92481+73795+43350+8841+1153+2869+1615+2831+1620+630+2477+726+513+481+318</f>
        <v>233700</v>
      </c>
      <c r="N381" s="163">
        <f aca="true" t="shared" si="59" ref="N381:N388">L381/M381</f>
        <v>10.509257595207531</v>
      </c>
      <c r="O381" s="90">
        <v>371</v>
      </c>
    </row>
    <row r="382" spans="1:15" s="83" customFormat="1" ht="12" customHeight="1">
      <c r="A382" s="84">
        <v>372</v>
      </c>
      <c r="B382" s="232" t="s">
        <v>142</v>
      </c>
      <c r="C382" s="26">
        <v>40522</v>
      </c>
      <c r="D382" s="24" t="s">
        <v>32</v>
      </c>
      <c r="E382" s="159">
        <v>127</v>
      </c>
      <c r="F382" s="159">
        <v>1</v>
      </c>
      <c r="G382" s="159">
        <v>18</v>
      </c>
      <c r="H382" s="325">
        <v>550</v>
      </c>
      <c r="I382" s="326">
        <v>104</v>
      </c>
      <c r="J382" s="97">
        <f t="shared" si="58"/>
        <v>104</v>
      </c>
      <c r="K382" s="161">
        <f t="shared" si="55"/>
        <v>5.288461538461538</v>
      </c>
      <c r="L382" s="8">
        <f>1048675+809166.5+457718.5+70165.5+7102+12164+8619.5+11777.5+6559.5+3338.5+10420.5+3303+3205+2076+1722.5+314+264+550</f>
        <v>2457141.5</v>
      </c>
      <c r="M382" s="7">
        <f>92481+73795+43350+8841+1153+2869+1615+2831+1620+630+2477+726+513+481+318+38+33+104</f>
        <v>233875</v>
      </c>
      <c r="N382" s="163">
        <f t="shared" si="59"/>
        <v>10.506216996258685</v>
      </c>
      <c r="O382" s="90">
        <v>372</v>
      </c>
    </row>
    <row r="383" spans="1:15" s="83" customFormat="1" ht="12" customHeight="1">
      <c r="A383" s="84">
        <v>373</v>
      </c>
      <c r="B383" s="178" t="s">
        <v>142</v>
      </c>
      <c r="C383" s="26">
        <v>40522</v>
      </c>
      <c r="D383" s="165" t="s">
        <v>137</v>
      </c>
      <c r="E383" s="167">
        <v>127</v>
      </c>
      <c r="F383" s="167">
        <v>1</v>
      </c>
      <c r="G383" s="167">
        <v>16</v>
      </c>
      <c r="H383" s="325">
        <v>314</v>
      </c>
      <c r="I383" s="326">
        <v>38</v>
      </c>
      <c r="J383" s="97">
        <f t="shared" si="58"/>
        <v>38</v>
      </c>
      <c r="K383" s="179">
        <f t="shared" si="55"/>
        <v>8.263157894736842</v>
      </c>
      <c r="L383" s="8">
        <f>1048675+809166.5+457718.5+70165.5+7102+12164+8619.5+11777.5+6559.5+3338.5+10420.5+3303+3205+2076+1722.5+314</f>
        <v>2456327.5</v>
      </c>
      <c r="M383" s="7">
        <f>92481+73795+43350+8841+1153+2869+1615+2831+1620+630+2477+726+513+481+318+38</f>
        <v>233738</v>
      </c>
      <c r="N383" s="163">
        <f t="shared" si="59"/>
        <v>10.508892435119664</v>
      </c>
      <c r="O383" s="90">
        <v>373</v>
      </c>
    </row>
    <row r="384" spans="1:15" s="83" customFormat="1" ht="12" customHeight="1">
      <c r="A384" s="84">
        <v>374</v>
      </c>
      <c r="B384" s="451" t="s">
        <v>142</v>
      </c>
      <c r="C384" s="171">
        <v>40522</v>
      </c>
      <c r="D384" s="388" t="s">
        <v>32</v>
      </c>
      <c r="E384" s="172">
        <v>127</v>
      </c>
      <c r="F384" s="172">
        <v>1</v>
      </c>
      <c r="G384" s="172">
        <v>17</v>
      </c>
      <c r="H384" s="469">
        <v>264</v>
      </c>
      <c r="I384" s="470">
        <v>33</v>
      </c>
      <c r="J384" s="173">
        <f t="shared" si="58"/>
        <v>33</v>
      </c>
      <c r="K384" s="174">
        <f t="shared" si="55"/>
        <v>8</v>
      </c>
      <c r="L384" s="175">
        <f>1048675+809166.5+457718.5+70165.5+7102+12164+8619.5+11777.5+6559.5+3338.5+10420.5+3303+3205+2076+1722.5+314+264</f>
        <v>2456591.5</v>
      </c>
      <c r="M384" s="176">
        <f>92481+73795+43350+8841+1153+2869+1615+2831+1620+630+2477+726+513+481+318+38+33</f>
        <v>233771</v>
      </c>
      <c r="N384" s="177">
        <f t="shared" si="59"/>
        <v>10.5085382703586</v>
      </c>
      <c r="O384" s="90">
        <v>374</v>
      </c>
    </row>
    <row r="385" spans="1:15" s="83" customFormat="1" ht="12" customHeight="1">
      <c r="A385" s="84">
        <v>375</v>
      </c>
      <c r="B385" s="158" t="s">
        <v>339</v>
      </c>
      <c r="C385" s="26">
        <v>40151</v>
      </c>
      <c r="D385" s="24" t="s">
        <v>32</v>
      </c>
      <c r="E385" s="159">
        <v>2</v>
      </c>
      <c r="F385" s="159">
        <v>1</v>
      </c>
      <c r="G385" s="159">
        <v>10</v>
      </c>
      <c r="H385" s="325">
        <v>2138.5</v>
      </c>
      <c r="I385" s="326">
        <v>534</v>
      </c>
      <c r="J385" s="97">
        <f t="shared" si="58"/>
        <v>534</v>
      </c>
      <c r="K385" s="161">
        <f t="shared" si="55"/>
        <v>4.004681647940075</v>
      </c>
      <c r="L385" s="8">
        <f>14952+6112+2196+2975+2853+674+1006+530+2139+2138.5</f>
        <v>35575.5</v>
      </c>
      <c r="M385" s="7">
        <f>1468+666+254+478+502+81+130+107+535+534</f>
        <v>4755</v>
      </c>
      <c r="N385" s="163">
        <f t="shared" si="59"/>
        <v>7.481703470031546</v>
      </c>
      <c r="O385" s="90">
        <v>375</v>
      </c>
    </row>
    <row r="386" spans="1:15" s="83" customFormat="1" ht="12" customHeight="1">
      <c r="A386" s="84">
        <v>376</v>
      </c>
      <c r="B386" s="170" t="s">
        <v>340</v>
      </c>
      <c r="C386" s="26">
        <v>40529</v>
      </c>
      <c r="D386" s="165" t="s">
        <v>32</v>
      </c>
      <c r="E386" s="159">
        <v>27</v>
      </c>
      <c r="F386" s="159">
        <v>11</v>
      </c>
      <c r="G386" s="159">
        <v>3</v>
      </c>
      <c r="H386" s="475">
        <v>7073.5</v>
      </c>
      <c r="I386" s="326">
        <v>920</v>
      </c>
      <c r="J386" s="97">
        <f t="shared" si="58"/>
        <v>83.63636363636364</v>
      </c>
      <c r="K386" s="166">
        <f t="shared" si="55"/>
        <v>7.688586956521739</v>
      </c>
      <c r="L386" s="20">
        <f>68045+25663+7073.5</f>
        <v>100781.5</v>
      </c>
      <c r="M386" s="7">
        <f>5442+2277+920</f>
        <v>8639</v>
      </c>
      <c r="N386" s="163">
        <f t="shared" si="59"/>
        <v>11.665875680055562</v>
      </c>
      <c r="O386" s="90">
        <v>376</v>
      </c>
    </row>
    <row r="387" spans="1:15" s="83" customFormat="1" ht="12" customHeight="1">
      <c r="A387" s="84">
        <v>377</v>
      </c>
      <c r="B387" s="170" t="s">
        <v>340</v>
      </c>
      <c r="C387" s="171">
        <v>40529</v>
      </c>
      <c r="D387" s="165" t="s">
        <v>32</v>
      </c>
      <c r="E387" s="172">
        <v>27</v>
      </c>
      <c r="F387" s="172">
        <v>4</v>
      </c>
      <c r="G387" s="172">
        <v>4</v>
      </c>
      <c r="H387" s="325">
        <v>5233</v>
      </c>
      <c r="I387" s="326">
        <v>1185</v>
      </c>
      <c r="J387" s="97">
        <f t="shared" si="58"/>
        <v>296.25</v>
      </c>
      <c r="K387" s="161">
        <f t="shared" si="55"/>
        <v>4.4160337552742615</v>
      </c>
      <c r="L387" s="8">
        <f>68045+25663+7073.5+5233</f>
        <v>106014.5</v>
      </c>
      <c r="M387" s="7">
        <f>5442+2277+920+1185</f>
        <v>9824</v>
      </c>
      <c r="N387" s="163">
        <f t="shared" si="59"/>
        <v>10.79137825732899</v>
      </c>
      <c r="O387" s="90">
        <v>377</v>
      </c>
    </row>
    <row r="388" spans="1:15" s="83" customFormat="1" ht="12" customHeight="1">
      <c r="A388" s="84">
        <v>378</v>
      </c>
      <c r="B388" s="191" t="s">
        <v>340</v>
      </c>
      <c r="C388" s="26">
        <v>40529</v>
      </c>
      <c r="D388" s="165" t="s">
        <v>32</v>
      </c>
      <c r="E388" s="159">
        <v>27</v>
      </c>
      <c r="F388" s="159">
        <v>2</v>
      </c>
      <c r="G388" s="159">
        <v>5</v>
      </c>
      <c r="H388" s="325">
        <v>3859</v>
      </c>
      <c r="I388" s="326">
        <v>711</v>
      </c>
      <c r="J388" s="97">
        <f t="shared" si="58"/>
        <v>355.5</v>
      </c>
      <c r="K388" s="161">
        <f t="shared" si="55"/>
        <v>5.427566807313643</v>
      </c>
      <c r="L388" s="8">
        <f>68045+25663+7073.5+5233+3859</f>
        <v>109873.5</v>
      </c>
      <c r="M388" s="7">
        <f>5442+2277+920+1185+711</f>
        <v>10535</v>
      </c>
      <c r="N388" s="163">
        <f t="shared" si="59"/>
        <v>10.42937826293308</v>
      </c>
      <c r="O388" s="90">
        <v>378</v>
      </c>
    </row>
    <row r="389" spans="1:15" s="83" customFormat="1" ht="12" customHeight="1">
      <c r="A389" s="84">
        <v>379</v>
      </c>
      <c r="B389" s="170" t="s">
        <v>340</v>
      </c>
      <c r="C389" s="171">
        <v>40529</v>
      </c>
      <c r="D389" s="101" t="s">
        <v>32</v>
      </c>
      <c r="E389" s="172">
        <v>27</v>
      </c>
      <c r="F389" s="172">
        <v>1</v>
      </c>
      <c r="G389" s="172">
        <v>9</v>
      </c>
      <c r="H389" s="325">
        <v>1782</v>
      </c>
      <c r="I389" s="326">
        <v>446</v>
      </c>
      <c r="J389" s="218">
        <f>I389/F389</f>
        <v>446</v>
      </c>
      <c r="K389" s="297">
        <f t="shared" si="55"/>
        <v>3.995515695067265</v>
      </c>
      <c r="L389" s="8">
        <f>68045+25663+7073.5+5233+3859+470+100+1497+1782</f>
        <v>113722.5</v>
      </c>
      <c r="M389" s="7">
        <f>5442+2277+920+1185+711+78+13+218+446</f>
        <v>11290</v>
      </c>
      <c r="N389" s="89">
        <f>+L389/M389</f>
        <v>10.072852081488042</v>
      </c>
      <c r="O389" s="90">
        <v>379</v>
      </c>
    </row>
    <row r="390" spans="1:15" s="83" customFormat="1" ht="12" customHeight="1">
      <c r="A390" s="84">
        <v>380</v>
      </c>
      <c r="B390" s="158" t="s">
        <v>340</v>
      </c>
      <c r="C390" s="26">
        <v>40529</v>
      </c>
      <c r="D390" s="24" t="s">
        <v>32</v>
      </c>
      <c r="E390" s="159">
        <v>27</v>
      </c>
      <c r="F390" s="159">
        <v>1</v>
      </c>
      <c r="G390" s="159">
        <v>8</v>
      </c>
      <c r="H390" s="325">
        <v>1497</v>
      </c>
      <c r="I390" s="326">
        <v>218</v>
      </c>
      <c r="J390" s="97">
        <f>(I390/F390)</f>
        <v>218</v>
      </c>
      <c r="K390" s="161">
        <f t="shared" si="55"/>
        <v>6.86697247706422</v>
      </c>
      <c r="L390" s="8">
        <f>68045+25663+7073.5+5233+3859+470+100+1497</f>
        <v>111940.5</v>
      </c>
      <c r="M390" s="7">
        <f>5442+2277+920+1185+711+78+13+218</f>
        <v>10844</v>
      </c>
      <c r="N390" s="163">
        <f>L390/M390</f>
        <v>10.322805237919587</v>
      </c>
      <c r="O390" s="90">
        <v>380</v>
      </c>
    </row>
    <row r="391" spans="1:15" s="83" customFormat="1" ht="12" customHeight="1">
      <c r="A391" s="84">
        <v>381</v>
      </c>
      <c r="B391" s="170" t="s">
        <v>340</v>
      </c>
      <c r="C391" s="171">
        <v>40529</v>
      </c>
      <c r="D391" s="165" t="s">
        <v>32</v>
      </c>
      <c r="E391" s="172">
        <v>27</v>
      </c>
      <c r="F391" s="172">
        <v>1</v>
      </c>
      <c r="G391" s="172">
        <v>6</v>
      </c>
      <c r="H391" s="325">
        <v>470</v>
      </c>
      <c r="I391" s="326">
        <v>78</v>
      </c>
      <c r="J391" s="97">
        <f>(I391/F391)</f>
        <v>78</v>
      </c>
      <c r="K391" s="161">
        <f t="shared" si="55"/>
        <v>6.0256410256410255</v>
      </c>
      <c r="L391" s="8">
        <f>68045+25663+7073.5+5233+3859+470</f>
        <v>110343.5</v>
      </c>
      <c r="M391" s="7">
        <f>5442+2277+920+1185+711+78</f>
        <v>10613</v>
      </c>
      <c r="N391" s="163">
        <f>L391/M391</f>
        <v>10.397013097145011</v>
      </c>
      <c r="O391" s="90">
        <v>381</v>
      </c>
    </row>
    <row r="392" spans="1:15" s="83" customFormat="1" ht="12" customHeight="1">
      <c r="A392" s="84">
        <v>382</v>
      </c>
      <c r="B392" s="178" t="s">
        <v>340</v>
      </c>
      <c r="C392" s="26">
        <v>40529</v>
      </c>
      <c r="D392" s="165" t="s">
        <v>32</v>
      </c>
      <c r="E392" s="167">
        <v>27</v>
      </c>
      <c r="F392" s="167">
        <v>1</v>
      </c>
      <c r="G392" s="167">
        <v>7</v>
      </c>
      <c r="H392" s="325">
        <v>100</v>
      </c>
      <c r="I392" s="326">
        <v>13</v>
      </c>
      <c r="J392" s="97">
        <f>(I392/F392)</f>
        <v>13</v>
      </c>
      <c r="K392" s="161">
        <f t="shared" si="55"/>
        <v>7.6923076923076925</v>
      </c>
      <c r="L392" s="8">
        <f>68045+25663+7073.5+5233+3859+470+100</f>
        <v>110443.5</v>
      </c>
      <c r="M392" s="7">
        <f>5442+2277+920+1185+711+78+13</f>
        <v>10626</v>
      </c>
      <c r="N392" s="163">
        <f>L392/M392</f>
        <v>10.393704121964992</v>
      </c>
      <c r="O392" s="90">
        <v>382</v>
      </c>
    </row>
    <row r="393" spans="1:15" s="83" customFormat="1" ht="12" customHeight="1">
      <c r="A393" s="84">
        <v>383</v>
      </c>
      <c r="B393" s="698" t="s">
        <v>402</v>
      </c>
      <c r="C393" s="648">
        <v>40333</v>
      </c>
      <c r="D393" s="537" t="s">
        <v>32</v>
      </c>
      <c r="E393" s="649">
        <v>4</v>
      </c>
      <c r="F393" s="25">
        <v>1</v>
      </c>
      <c r="G393" s="649">
        <v>12</v>
      </c>
      <c r="H393" s="475">
        <v>1425.5</v>
      </c>
      <c r="I393" s="476">
        <v>356</v>
      </c>
      <c r="J393" s="218">
        <f>I393/F393</f>
        <v>356</v>
      </c>
      <c r="K393" s="297">
        <f t="shared" si="55"/>
        <v>4.004213483146067</v>
      </c>
      <c r="L393" s="20">
        <f>24273.7+308+483+1188+1425.5</f>
        <v>27678.2</v>
      </c>
      <c r="M393" s="21">
        <f>2830+67+68+297+356</f>
        <v>3618</v>
      </c>
      <c r="N393" s="298">
        <f>L393/M393</f>
        <v>7.650138197899392</v>
      </c>
      <c r="O393" s="90">
        <v>383</v>
      </c>
    </row>
    <row r="394" spans="1:15" s="83" customFormat="1" ht="12" customHeight="1">
      <c r="A394" s="84">
        <v>384</v>
      </c>
      <c r="B394" s="557" t="s">
        <v>402</v>
      </c>
      <c r="C394" s="418">
        <v>40333</v>
      </c>
      <c r="D394" s="101" t="s">
        <v>32</v>
      </c>
      <c r="E394" s="420">
        <v>4</v>
      </c>
      <c r="F394" s="172">
        <v>3</v>
      </c>
      <c r="G394" s="420">
        <v>11</v>
      </c>
      <c r="H394" s="325">
        <v>1188</v>
      </c>
      <c r="I394" s="326">
        <v>297</v>
      </c>
      <c r="J394" s="87">
        <f>I394/F394</f>
        <v>99</v>
      </c>
      <c r="K394" s="88">
        <f t="shared" si="55"/>
        <v>4</v>
      </c>
      <c r="L394" s="8">
        <f>24273.7+308+483+1188</f>
        <v>26252.7</v>
      </c>
      <c r="M394" s="7">
        <f>2830+67+68+297</f>
        <v>3262</v>
      </c>
      <c r="N394" s="89">
        <f aca="true" t="shared" si="60" ref="N394:N408">+L394/M394</f>
        <v>8.048038013488657</v>
      </c>
      <c r="O394" s="90">
        <v>384</v>
      </c>
    </row>
    <row r="395" spans="1:15" s="83" customFormat="1" ht="12" customHeight="1">
      <c r="A395" s="84">
        <v>385</v>
      </c>
      <c r="B395" s="185" t="s">
        <v>341</v>
      </c>
      <c r="C395" s="2">
        <v>40417</v>
      </c>
      <c r="D395" s="14" t="s">
        <v>10</v>
      </c>
      <c r="E395" s="4">
        <v>119</v>
      </c>
      <c r="F395" s="4">
        <v>1</v>
      </c>
      <c r="G395" s="4">
        <v>15</v>
      </c>
      <c r="H395" s="375">
        <v>941</v>
      </c>
      <c r="I395" s="376">
        <v>843</v>
      </c>
      <c r="J395" s="96">
        <f>I395/F395</f>
        <v>843</v>
      </c>
      <c r="K395" s="169">
        <f t="shared" si="55"/>
        <v>1.1162514827995256</v>
      </c>
      <c r="L395" s="36">
        <v>859853</v>
      </c>
      <c r="M395" s="35">
        <v>97516</v>
      </c>
      <c r="N395" s="181">
        <f t="shared" si="60"/>
        <v>8.817558144304524</v>
      </c>
      <c r="O395" s="90">
        <v>385</v>
      </c>
    </row>
    <row r="396" spans="1:15" s="83" customFormat="1" ht="12" customHeight="1">
      <c r="A396" s="84">
        <v>386</v>
      </c>
      <c r="B396" s="205" t="s">
        <v>342</v>
      </c>
      <c r="C396" s="2">
        <v>40480</v>
      </c>
      <c r="D396" s="19" t="s">
        <v>8</v>
      </c>
      <c r="E396" s="4">
        <v>21</v>
      </c>
      <c r="F396" s="4">
        <v>12</v>
      </c>
      <c r="G396" s="4">
        <v>10</v>
      </c>
      <c r="H396" s="491">
        <v>8985</v>
      </c>
      <c r="I396" s="465">
        <v>1356</v>
      </c>
      <c r="J396" s="87">
        <f>+I396/F396</f>
        <v>113</v>
      </c>
      <c r="K396" s="189">
        <f>+H396/I396</f>
        <v>6.626106194690266</v>
      </c>
      <c r="L396" s="17">
        <v>295457</v>
      </c>
      <c r="M396" s="6">
        <v>26551</v>
      </c>
      <c r="N396" s="188">
        <f t="shared" si="60"/>
        <v>11.127904787013671</v>
      </c>
      <c r="O396" s="90">
        <v>386</v>
      </c>
    </row>
    <row r="397" spans="1:15" s="83" customFormat="1" ht="12" customHeight="1">
      <c r="A397" s="84">
        <v>387</v>
      </c>
      <c r="B397" s="185" t="s">
        <v>342</v>
      </c>
      <c r="C397" s="2">
        <v>40480</v>
      </c>
      <c r="D397" s="15" t="s">
        <v>8</v>
      </c>
      <c r="E397" s="4">
        <v>21</v>
      </c>
      <c r="F397" s="4">
        <v>9</v>
      </c>
      <c r="G397" s="4">
        <v>21</v>
      </c>
      <c r="H397" s="464">
        <v>6650</v>
      </c>
      <c r="I397" s="465">
        <v>974</v>
      </c>
      <c r="J397" s="96">
        <f>I397/F397</f>
        <v>108.22222222222223</v>
      </c>
      <c r="K397" s="169">
        <f>H397/I397</f>
        <v>6.827515400410678</v>
      </c>
      <c r="L397" s="5">
        <v>311586</v>
      </c>
      <c r="M397" s="6">
        <v>29016</v>
      </c>
      <c r="N397" s="188">
        <f t="shared" si="60"/>
        <v>10.73842018196857</v>
      </c>
      <c r="O397" s="90">
        <v>387</v>
      </c>
    </row>
    <row r="398" spans="1:15" s="83" customFormat="1" ht="12" customHeight="1">
      <c r="A398" s="84">
        <v>388</v>
      </c>
      <c r="B398" s="185" t="s">
        <v>342</v>
      </c>
      <c r="C398" s="2">
        <v>40480</v>
      </c>
      <c r="D398" s="15" t="s">
        <v>8</v>
      </c>
      <c r="E398" s="4">
        <v>21</v>
      </c>
      <c r="F398" s="4">
        <v>2</v>
      </c>
      <c r="G398" s="4">
        <v>18</v>
      </c>
      <c r="H398" s="464">
        <v>3250</v>
      </c>
      <c r="I398" s="465">
        <v>468</v>
      </c>
      <c r="J398" s="87">
        <f>+I398/F398</f>
        <v>234</v>
      </c>
      <c r="K398" s="187">
        <f>+H398/I398</f>
        <v>6.944444444444445</v>
      </c>
      <c r="L398" s="5">
        <v>309476</v>
      </c>
      <c r="M398" s="6">
        <v>28704</v>
      </c>
      <c r="N398" s="188">
        <f t="shared" si="60"/>
        <v>10.781633221850614</v>
      </c>
      <c r="O398" s="90">
        <v>388</v>
      </c>
    </row>
    <row r="399" spans="1:15" s="83" customFormat="1" ht="12" customHeight="1">
      <c r="A399" s="84">
        <v>389</v>
      </c>
      <c r="B399" s="185" t="s">
        <v>342</v>
      </c>
      <c r="C399" s="2">
        <v>40480</v>
      </c>
      <c r="D399" s="14" t="s">
        <v>8</v>
      </c>
      <c r="E399" s="4">
        <v>21</v>
      </c>
      <c r="F399" s="4">
        <v>3</v>
      </c>
      <c r="G399" s="4">
        <v>13</v>
      </c>
      <c r="H399" s="464">
        <v>2972</v>
      </c>
      <c r="I399" s="465">
        <v>535</v>
      </c>
      <c r="J399" s="87">
        <f>+I399/F399</f>
        <v>178.33333333333334</v>
      </c>
      <c r="K399" s="187">
        <f>+H399/I399</f>
        <v>5.555140186915888</v>
      </c>
      <c r="L399" s="5">
        <v>302074</v>
      </c>
      <c r="M399" s="6">
        <v>27572</v>
      </c>
      <c r="N399" s="188">
        <f t="shared" si="60"/>
        <v>10.95582474974612</v>
      </c>
      <c r="O399" s="90">
        <v>389</v>
      </c>
    </row>
    <row r="400" spans="1:15" s="83" customFormat="1" ht="12" customHeight="1">
      <c r="A400" s="84">
        <v>390</v>
      </c>
      <c r="B400" s="185" t="s">
        <v>342</v>
      </c>
      <c r="C400" s="2">
        <v>40480</v>
      </c>
      <c r="D400" s="15" t="s">
        <v>8</v>
      </c>
      <c r="E400" s="4">
        <v>21</v>
      </c>
      <c r="F400" s="4">
        <v>2</v>
      </c>
      <c r="G400" s="4">
        <v>17</v>
      </c>
      <c r="H400" s="464">
        <v>2367</v>
      </c>
      <c r="I400" s="465">
        <v>314</v>
      </c>
      <c r="J400" s="87">
        <f>+I400/F400</f>
        <v>157</v>
      </c>
      <c r="K400" s="187">
        <f>+H400/I400</f>
        <v>7.538216560509555</v>
      </c>
      <c r="L400" s="5">
        <v>306226</v>
      </c>
      <c r="M400" s="6">
        <v>28236</v>
      </c>
      <c r="N400" s="188">
        <f t="shared" si="60"/>
        <v>10.84523303584077</v>
      </c>
      <c r="O400" s="90">
        <v>390</v>
      </c>
    </row>
    <row r="401" spans="1:15" s="83" customFormat="1" ht="12" customHeight="1">
      <c r="A401" s="84">
        <v>391</v>
      </c>
      <c r="B401" s="422" t="s">
        <v>342</v>
      </c>
      <c r="C401" s="100">
        <v>40480</v>
      </c>
      <c r="D401" s="105" t="s">
        <v>8</v>
      </c>
      <c r="E401" s="106">
        <v>21</v>
      </c>
      <c r="F401" s="106">
        <v>3</v>
      </c>
      <c r="G401" s="106">
        <v>22</v>
      </c>
      <c r="H401" s="452">
        <v>2357</v>
      </c>
      <c r="I401" s="453">
        <v>335</v>
      </c>
      <c r="J401" s="87">
        <f>I401/F401</f>
        <v>111.66666666666667</v>
      </c>
      <c r="K401" s="88">
        <f>H401/I401</f>
        <v>7.035820895522388</v>
      </c>
      <c r="L401" s="29">
        <v>320593</v>
      </c>
      <c r="M401" s="31">
        <v>30325</v>
      </c>
      <c r="N401" s="89">
        <f t="shared" si="60"/>
        <v>10.571904369332234</v>
      </c>
      <c r="O401" s="90">
        <v>391</v>
      </c>
    </row>
    <row r="402" spans="1:15" s="83" customFormat="1" ht="12" customHeight="1">
      <c r="A402" s="84">
        <v>392</v>
      </c>
      <c r="B402" s="185" t="s">
        <v>342</v>
      </c>
      <c r="C402" s="2">
        <v>40480</v>
      </c>
      <c r="D402" s="15" t="s">
        <v>8</v>
      </c>
      <c r="E402" s="4">
        <v>21</v>
      </c>
      <c r="F402" s="4">
        <v>1</v>
      </c>
      <c r="G402" s="4">
        <v>12</v>
      </c>
      <c r="H402" s="464">
        <v>1139</v>
      </c>
      <c r="I402" s="465">
        <v>203</v>
      </c>
      <c r="J402" s="87">
        <f aca="true" t="shared" si="61" ref="J402:J408">+I402/F402</f>
        <v>203</v>
      </c>
      <c r="K402" s="187">
        <f aca="true" t="shared" si="62" ref="K402:K408">+H402/I402</f>
        <v>5.610837438423645</v>
      </c>
      <c r="L402" s="5">
        <v>299102</v>
      </c>
      <c r="M402" s="6">
        <v>27037</v>
      </c>
      <c r="N402" s="188">
        <f t="shared" si="60"/>
        <v>11.062691866701186</v>
      </c>
      <c r="O402" s="90">
        <v>392</v>
      </c>
    </row>
    <row r="403" spans="1:15" s="83" customFormat="1" ht="12" customHeight="1">
      <c r="A403" s="84">
        <v>393</v>
      </c>
      <c r="B403" s="185" t="s">
        <v>342</v>
      </c>
      <c r="C403" s="2">
        <v>40480</v>
      </c>
      <c r="D403" s="15" t="s">
        <v>8</v>
      </c>
      <c r="E403" s="4">
        <v>21</v>
      </c>
      <c r="F403" s="4">
        <v>2</v>
      </c>
      <c r="G403" s="4">
        <v>20</v>
      </c>
      <c r="H403" s="464">
        <v>1062</v>
      </c>
      <c r="I403" s="465">
        <v>160</v>
      </c>
      <c r="J403" s="87">
        <f t="shared" si="61"/>
        <v>80</v>
      </c>
      <c r="K403" s="187">
        <f t="shared" si="62"/>
        <v>6.6375</v>
      </c>
      <c r="L403" s="5">
        <v>311586</v>
      </c>
      <c r="M403" s="6">
        <v>29016</v>
      </c>
      <c r="N403" s="188">
        <f t="shared" si="60"/>
        <v>10.73842018196857</v>
      </c>
      <c r="O403" s="90">
        <v>393</v>
      </c>
    </row>
    <row r="404" spans="1:15" s="83" customFormat="1" ht="12" customHeight="1">
      <c r="A404" s="84">
        <v>394</v>
      </c>
      <c r="B404" s="185" t="s">
        <v>342</v>
      </c>
      <c r="C404" s="2">
        <v>40480</v>
      </c>
      <c r="D404" s="15" t="s">
        <v>8</v>
      </c>
      <c r="E404" s="4">
        <v>21</v>
      </c>
      <c r="F404" s="4">
        <v>1</v>
      </c>
      <c r="G404" s="4">
        <v>19</v>
      </c>
      <c r="H404" s="464">
        <v>1048</v>
      </c>
      <c r="I404" s="465">
        <v>152</v>
      </c>
      <c r="J404" s="87">
        <f t="shared" si="61"/>
        <v>152</v>
      </c>
      <c r="K404" s="189">
        <f t="shared" si="62"/>
        <v>6.894736842105263</v>
      </c>
      <c r="L404" s="5">
        <v>310524</v>
      </c>
      <c r="M404" s="6">
        <v>28856</v>
      </c>
      <c r="N404" s="188">
        <f t="shared" si="60"/>
        <v>10.761158857776545</v>
      </c>
      <c r="O404" s="90">
        <v>394</v>
      </c>
    </row>
    <row r="405" spans="1:15" s="83" customFormat="1" ht="12" customHeight="1">
      <c r="A405" s="84">
        <v>395</v>
      </c>
      <c r="B405" s="185" t="s">
        <v>342</v>
      </c>
      <c r="C405" s="2">
        <v>40480</v>
      </c>
      <c r="D405" s="14" t="s">
        <v>8</v>
      </c>
      <c r="E405" s="4">
        <v>21</v>
      </c>
      <c r="F405" s="4">
        <v>1</v>
      </c>
      <c r="G405" s="4">
        <v>14</v>
      </c>
      <c r="H405" s="491">
        <v>1028</v>
      </c>
      <c r="I405" s="492">
        <v>201</v>
      </c>
      <c r="J405" s="218">
        <f t="shared" si="61"/>
        <v>201</v>
      </c>
      <c r="K405" s="189">
        <f t="shared" si="62"/>
        <v>5.114427860696518</v>
      </c>
      <c r="L405" s="17">
        <v>303102</v>
      </c>
      <c r="M405" s="423">
        <v>27773</v>
      </c>
      <c r="N405" s="188">
        <f t="shared" si="60"/>
        <v>10.913549130450438</v>
      </c>
      <c r="O405" s="90">
        <v>395</v>
      </c>
    </row>
    <row r="406" spans="1:15" s="83" customFormat="1" ht="12" customHeight="1">
      <c r="A406" s="84">
        <v>396</v>
      </c>
      <c r="B406" s="185" t="s">
        <v>342</v>
      </c>
      <c r="C406" s="2">
        <v>40480</v>
      </c>
      <c r="D406" s="15" t="s">
        <v>8</v>
      </c>
      <c r="E406" s="4">
        <v>21</v>
      </c>
      <c r="F406" s="4">
        <v>1</v>
      </c>
      <c r="G406" s="4">
        <v>15</v>
      </c>
      <c r="H406" s="464">
        <v>484</v>
      </c>
      <c r="I406" s="465">
        <v>96</v>
      </c>
      <c r="J406" s="87">
        <f t="shared" si="61"/>
        <v>96</v>
      </c>
      <c r="K406" s="187">
        <f t="shared" si="62"/>
        <v>5.041666666666667</v>
      </c>
      <c r="L406" s="5">
        <v>303586</v>
      </c>
      <c r="M406" s="6">
        <v>27869</v>
      </c>
      <c r="N406" s="188">
        <f t="shared" si="60"/>
        <v>10.89332232947002</v>
      </c>
      <c r="O406" s="90">
        <v>396</v>
      </c>
    </row>
    <row r="407" spans="1:15" s="83" customFormat="1" ht="12" customHeight="1">
      <c r="A407" s="84">
        <v>397</v>
      </c>
      <c r="B407" s="185" t="s">
        <v>342</v>
      </c>
      <c r="C407" s="2">
        <v>40480</v>
      </c>
      <c r="D407" s="15" t="s">
        <v>8</v>
      </c>
      <c r="E407" s="4">
        <v>21</v>
      </c>
      <c r="F407" s="4">
        <v>1</v>
      </c>
      <c r="G407" s="4">
        <v>16</v>
      </c>
      <c r="H407" s="464">
        <v>273</v>
      </c>
      <c r="I407" s="465">
        <v>53</v>
      </c>
      <c r="J407" s="87">
        <f t="shared" si="61"/>
        <v>53</v>
      </c>
      <c r="K407" s="187">
        <f t="shared" si="62"/>
        <v>5.150943396226415</v>
      </c>
      <c r="L407" s="5">
        <v>303859</v>
      </c>
      <c r="M407" s="6">
        <v>27922</v>
      </c>
      <c r="N407" s="188">
        <f t="shared" si="60"/>
        <v>10.882422462574315</v>
      </c>
      <c r="O407" s="90">
        <v>397</v>
      </c>
    </row>
    <row r="408" spans="1:15" s="83" customFormat="1" ht="12" customHeight="1">
      <c r="A408" s="84">
        <v>398</v>
      </c>
      <c r="B408" s="185" t="s">
        <v>343</v>
      </c>
      <c r="C408" s="2">
        <v>37193</v>
      </c>
      <c r="D408" s="14" t="s">
        <v>8</v>
      </c>
      <c r="E408" s="4">
        <v>21</v>
      </c>
      <c r="F408" s="4">
        <v>1</v>
      </c>
      <c r="G408" s="4">
        <v>11</v>
      </c>
      <c r="H408" s="464">
        <v>2506</v>
      </c>
      <c r="I408" s="465">
        <v>283</v>
      </c>
      <c r="J408" s="87">
        <f t="shared" si="61"/>
        <v>283</v>
      </c>
      <c r="K408" s="187">
        <f t="shared" si="62"/>
        <v>8.855123674911662</v>
      </c>
      <c r="L408" s="5">
        <v>297963</v>
      </c>
      <c r="M408" s="6">
        <v>26834</v>
      </c>
      <c r="N408" s="188">
        <f t="shared" si="60"/>
        <v>11.103935305955131</v>
      </c>
      <c r="O408" s="90">
        <v>398</v>
      </c>
    </row>
    <row r="409" spans="1:15" s="83" customFormat="1" ht="12" customHeight="1">
      <c r="A409" s="84">
        <v>399</v>
      </c>
      <c r="B409" s="392" t="s">
        <v>344</v>
      </c>
      <c r="C409" s="26">
        <v>39920</v>
      </c>
      <c r="D409" s="24" t="s">
        <v>32</v>
      </c>
      <c r="E409" s="159">
        <v>133</v>
      </c>
      <c r="F409" s="159">
        <v>1</v>
      </c>
      <c r="G409" s="159">
        <v>24</v>
      </c>
      <c r="H409" s="325">
        <v>14</v>
      </c>
      <c r="I409" s="326">
        <v>7</v>
      </c>
      <c r="J409" s="97">
        <f>(I409/F409)</f>
        <v>7</v>
      </c>
      <c r="K409" s="161">
        <f aca="true" t="shared" si="63" ref="K409:K414">H409/I409</f>
        <v>2</v>
      </c>
      <c r="L409" s="8">
        <f>814797.5+158602+44526+7105.5+1443+731+330+3273+1356+388+2317+2290.5+138+112.5+37+1136+51+98+1424+1780+1780+2020+4040+14</f>
        <v>1049790</v>
      </c>
      <c r="M409" s="7">
        <f>100614+19257+6285+1176+234+205+67+783+301+48+521+500+23+18+9+170+23+30+356+445+445+505+1010+7</f>
        <v>133032</v>
      </c>
      <c r="N409" s="163">
        <f>L409/M409</f>
        <v>7.891259245895724</v>
      </c>
      <c r="O409" s="90">
        <v>399</v>
      </c>
    </row>
    <row r="410" spans="1:15" s="83" customFormat="1" ht="12" customHeight="1">
      <c r="A410" s="84">
        <v>400</v>
      </c>
      <c r="B410" s="182" t="s">
        <v>424</v>
      </c>
      <c r="C410" s="694">
        <v>40312</v>
      </c>
      <c r="D410" s="537" t="s">
        <v>21</v>
      </c>
      <c r="E410" s="695">
        <v>76</v>
      </c>
      <c r="F410" s="695">
        <v>1</v>
      </c>
      <c r="G410" s="695">
        <v>26</v>
      </c>
      <c r="H410" s="479">
        <v>1600</v>
      </c>
      <c r="I410" s="490">
        <v>200</v>
      </c>
      <c r="J410" s="218">
        <f>I410/F410</f>
        <v>200</v>
      </c>
      <c r="K410" s="297">
        <f t="shared" si="63"/>
        <v>8</v>
      </c>
      <c r="L410" s="28">
        <v>380002</v>
      </c>
      <c r="M410" s="23">
        <v>34659</v>
      </c>
      <c r="N410" s="309">
        <f>+L410/M410</f>
        <v>10.964020889235119</v>
      </c>
      <c r="O410" s="90">
        <v>400</v>
      </c>
    </row>
    <row r="411" spans="1:15" s="83" customFormat="1" ht="12" customHeight="1">
      <c r="A411" s="84">
        <v>401</v>
      </c>
      <c r="B411" s="180" t="s">
        <v>345</v>
      </c>
      <c r="C411" s="2">
        <v>40473</v>
      </c>
      <c r="D411" s="13" t="s">
        <v>10</v>
      </c>
      <c r="E411" s="3">
        <v>74</v>
      </c>
      <c r="F411" s="3">
        <v>1</v>
      </c>
      <c r="G411" s="3">
        <v>9</v>
      </c>
      <c r="H411" s="375">
        <v>3572</v>
      </c>
      <c r="I411" s="376">
        <v>893</v>
      </c>
      <c r="J411" s="96">
        <f>I411/F411</f>
        <v>893</v>
      </c>
      <c r="K411" s="169">
        <f t="shared" si="63"/>
        <v>4</v>
      </c>
      <c r="L411" s="36">
        <v>981252</v>
      </c>
      <c r="M411" s="35">
        <v>84379</v>
      </c>
      <c r="N411" s="181">
        <f>+L411/M411</f>
        <v>11.62910202775572</v>
      </c>
      <c r="O411" s="90">
        <v>401</v>
      </c>
    </row>
    <row r="412" spans="1:15" s="83" customFormat="1" ht="12" customHeight="1">
      <c r="A412" s="84">
        <v>402</v>
      </c>
      <c r="B412" s="180" t="s">
        <v>345</v>
      </c>
      <c r="C412" s="2">
        <v>40473</v>
      </c>
      <c r="D412" s="13" t="s">
        <v>10</v>
      </c>
      <c r="E412" s="3">
        <v>74</v>
      </c>
      <c r="F412" s="3">
        <v>1</v>
      </c>
      <c r="G412" s="3">
        <v>11</v>
      </c>
      <c r="H412" s="375">
        <v>1190</v>
      </c>
      <c r="I412" s="376">
        <v>238</v>
      </c>
      <c r="J412" s="96">
        <f>I412/F412</f>
        <v>238</v>
      </c>
      <c r="K412" s="169">
        <f t="shared" si="63"/>
        <v>5</v>
      </c>
      <c r="L412" s="36">
        <v>983217</v>
      </c>
      <c r="M412" s="35">
        <v>84696</v>
      </c>
      <c r="N412" s="181">
        <f>+L412/M412</f>
        <v>11.608777274015301</v>
      </c>
      <c r="O412" s="90">
        <v>402</v>
      </c>
    </row>
    <row r="413" spans="1:15" s="83" customFormat="1" ht="12" customHeight="1">
      <c r="A413" s="84">
        <v>403</v>
      </c>
      <c r="B413" s="180" t="s">
        <v>345</v>
      </c>
      <c r="C413" s="2">
        <v>40473</v>
      </c>
      <c r="D413" s="13" t="s">
        <v>10</v>
      </c>
      <c r="E413" s="3">
        <v>74</v>
      </c>
      <c r="F413" s="3">
        <v>1</v>
      </c>
      <c r="G413" s="3">
        <v>10</v>
      </c>
      <c r="H413" s="375">
        <v>775</v>
      </c>
      <c r="I413" s="376">
        <v>79</v>
      </c>
      <c r="J413" s="96">
        <f>I413/F413</f>
        <v>79</v>
      </c>
      <c r="K413" s="169">
        <f t="shared" si="63"/>
        <v>9.810126582278482</v>
      </c>
      <c r="L413" s="36">
        <f>981252+775</f>
        <v>982027</v>
      </c>
      <c r="M413" s="35">
        <f>84379+79</f>
        <v>84458</v>
      </c>
      <c r="N413" s="181">
        <f>+L413/M413</f>
        <v>11.627400601482394</v>
      </c>
      <c r="O413" s="90">
        <v>403</v>
      </c>
    </row>
    <row r="414" spans="1:15" s="83" customFormat="1" ht="12" customHeight="1">
      <c r="A414" s="84">
        <v>404</v>
      </c>
      <c r="B414" s="180" t="s">
        <v>345</v>
      </c>
      <c r="C414" s="2">
        <v>40473</v>
      </c>
      <c r="D414" s="13" t="s">
        <v>10</v>
      </c>
      <c r="E414" s="3">
        <v>74</v>
      </c>
      <c r="F414" s="3">
        <v>1</v>
      </c>
      <c r="G414" s="3">
        <v>12</v>
      </c>
      <c r="H414" s="375">
        <v>464</v>
      </c>
      <c r="I414" s="376">
        <v>380</v>
      </c>
      <c r="J414" s="96">
        <f>I414/F414</f>
        <v>380</v>
      </c>
      <c r="K414" s="169">
        <f t="shared" si="63"/>
        <v>1.2210526315789474</v>
      </c>
      <c r="L414" s="36">
        <v>983681</v>
      </c>
      <c r="M414" s="35">
        <v>85076</v>
      </c>
      <c r="N414" s="181">
        <f>+L414/M414</f>
        <v>11.562379519488458</v>
      </c>
      <c r="O414" s="90">
        <v>404</v>
      </c>
    </row>
    <row r="415" spans="1:15" s="83" customFormat="1" ht="12" customHeight="1">
      <c r="A415" s="84">
        <v>405</v>
      </c>
      <c r="B415" s="180" t="s">
        <v>346</v>
      </c>
      <c r="C415" s="2">
        <v>40312</v>
      </c>
      <c r="D415" s="13" t="s">
        <v>21</v>
      </c>
      <c r="E415" s="3">
        <v>64</v>
      </c>
      <c r="F415" s="3">
        <v>1</v>
      </c>
      <c r="G415" s="3">
        <v>22</v>
      </c>
      <c r="H415" s="452">
        <v>2376</v>
      </c>
      <c r="I415" s="453">
        <v>475</v>
      </c>
      <c r="J415" s="87">
        <f>IF(H415&lt;&gt;0,I415/F415,"")</f>
        <v>475</v>
      </c>
      <c r="K415" s="187">
        <f>IF(H415&lt;&gt;0,H415/I415,"")</f>
        <v>5.002105263157895</v>
      </c>
      <c r="L415" s="29">
        <f>384993+315+150+24+2376</f>
        <v>387858</v>
      </c>
      <c r="M415" s="32">
        <f>43717+38+25+4+475</f>
        <v>44259</v>
      </c>
      <c r="N415" s="188">
        <f>IF(L415&lt;&gt;0,L415/M415,"")</f>
        <v>8.76337016200095</v>
      </c>
      <c r="O415" s="90">
        <v>405</v>
      </c>
    </row>
    <row r="416" spans="1:15" s="83" customFormat="1" ht="12" customHeight="1">
      <c r="A416" s="84">
        <v>406</v>
      </c>
      <c r="B416" s="205" t="s">
        <v>347</v>
      </c>
      <c r="C416" s="2">
        <v>40522</v>
      </c>
      <c r="D416" s="19" t="s">
        <v>8</v>
      </c>
      <c r="E416" s="4">
        <v>110</v>
      </c>
      <c r="F416" s="4">
        <v>110</v>
      </c>
      <c r="G416" s="4">
        <v>4</v>
      </c>
      <c r="H416" s="491">
        <v>694041</v>
      </c>
      <c r="I416" s="465">
        <v>64977</v>
      </c>
      <c r="J416" s="87">
        <f>+I416/F416</f>
        <v>590.7</v>
      </c>
      <c r="K416" s="189">
        <f>+H416/I416</f>
        <v>10.681333394893578</v>
      </c>
      <c r="L416" s="17">
        <v>4602088</v>
      </c>
      <c r="M416" s="6">
        <v>434759</v>
      </c>
      <c r="N416" s="188">
        <f>+L416/M416</f>
        <v>10.5853771859812</v>
      </c>
      <c r="O416" s="90">
        <v>406</v>
      </c>
    </row>
    <row r="417" spans="1:15" s="83" customFormat="1" ht="12" customHeight="1">
      <c r="A417" s="84">
        <v>407</v>
      </c>
      <c r="B417" s="185" t="s">
        <v>347</v>
      </c>
      <c r="C417" s="2">
        <v>40522</v>
      </c>
      <c r="D417" s="19" t="s">
        <v>8</v>
      </c>
      <c r="E417" s="4">
        <v>110</v>
      </c>
      <c r="F417" s="4">
        <v>71</v>
      </c>
      <c r="G417" s="4">
        <v>5</v>
      </c>
      <c r="H417" s="464">
        <v>224162</v>
      </c>
      <c r="I417" s="465">
        <v>19224</v>
      </c>
      <c r="J417" s="87">
        <f>+I417/F417</f>
        <v>270.76056338028167</v>
      </c>
      <c r="K417" s="187">
        <f>+H417/I417</f>
        <v>11.660528506034124</v>
      </c>
      <c r="L417" s="5">
        <v>4826250</v>
      </c>
      <c r="M417" s="6">
        <v>453983</v>
      </c>
      <c r="N417" s="188">
        <f>+L417/M417</f>
        <v>10.63090468145283</v>
      </c>
      <c r="O417" s="90">
        <v>407</v>
      </c>
    </row>
    <row r="418" spans="1:15" s="83" customFormat="1" ht="12" customHeight="1">
      <c r="A418" s="84">
        <v>408</v>
      </c>
      <c r="B418" s="185" t="s">
        <v>347</v>
      </c>
      <c r="C418" s="2">
        <v>40522</v>
      </c>
      <c r="D418" s="14" t="s">
        <v>8</v>
      </c>
      <c r="E418" s="4">
        <v>110</v>
      </c>
      <c r="F418" s="4">
        <v>66</v>
      </c>
      <c r="G418" s="4">
        <v>6</v>
      </c>
      <c r="H418" s="464">
        <v>118638</v>
      </c>
      <c r="I418" s="465">
        <v>12477</v>
      </c>
      <c r="J418" s="87">
        <f>+I418/F418</f>
        <v>189.04545454545453</v>
      </c>
      <c r="K418" s="187">
        <f>+H418/I418</f>
        <v>9.508535705698485</v>
      </c>
      <c r="L418" s="5">
        <v>4944888</v>
      </c>
      <c r="M418" s="6">
        <v>466460</v>
      </c>
      <c r="N418" s="188">
        <f>+L418/M418</f>
        <v>10.600883248295673</v>
      </c>
      <c r="O418" s="90">
        <v>408</v>
      </c>
    </row>
    <row r="419" spans="1:15" s="83" customFormat="1" ht="12" customHeight="1">
      <c r="A419" s="84">
        <v>409</v>
      </c>
      <c r="B419" s="205" t="s">
        <v>347</v>
      </c>
      <c r="C419" s="2">
        <v>40522</v>
      </c>
      <c r="D419" s="15" t="s">
        <v>8</v>
      </c>
      <c r="E419" s="4">
        <v>110</v>
      </c>
      <c r="F419" s="4">
        <v>32</v>
      </c>
      <c r="G419" s="4">
        <v>7</v>
      </c>
      <c r="H419" s="464">
        <v>51075</v>
      </c>
      <c r="I419" s="465">
        <v>6840</v>
      </c>
      <c r="J419" s="97">
        <f>(I419/F419)</f>
        <v>213.75</v>
      </c>
      <c r="K419" s="161">
        <f>H419/I419</f>
        <v>7.467105263157895</v>
      </c>
      <c r="L419" s="5">
        <v>4995963</v>
      </c>
      <c r="M419" s="6">
        <v>473300</v>
      </c>
      <c r="N419" s="163">
        <f>L419/M419</f>
        <v>10.55559476019438</v>
      </c>
      <c r="O419" s="90">
        <v>409</v>
      </c>
    </row>
    <row r="420" spans="1:15" s="83" customFormat="1" ht="12" customHeight="1">
      <c r="A420" s="84">
        <v>410</v>
      </c>
      <c r="B420" s="185" t="s">
        <v>347</v>
      </c>
      <c r="C420" s="2">
        <v>40522</v>
      </c>
      <c r="D420" s="15" t="s">
        <v>8</v>
      </c>
      <c r="E420" s="4">
        <v>110</v>
      </c>
      <c r="F420" s="4">
        <v>6</v>
      </c>
      <c r="G420" s="4">
        <v>10</v>
      </c>
      <c r="H420" s="464">
        <v>4744</v>
      </c>
      <c r="I420" s="465">
        <v>1467</v>
      </c>
      <c r="J420" s="87">
        <f aca="true" t="shared" si="64" ref="J420:J425">+I420/F420</f>
        <v>244.5</v>
      </c>
      <c r="K420" s="187">
        <f aca="true" t="shared" si="65" ref="K420:K425">+H420/I420</f>
        <v>3.2338104976141784</v>
      </c>
      <c r="L420" s="5">
        <v>5008119</v>
      </c>
      <c r="M420" s="6">
        <v>476107</v>
      </c>
      <c r="N420" s="188">
        <f aca="true" t="shared" si="66" ref="N420:N442">+L420/M420</f>
        <v>10.518893862094025</v>
      </c>
      <c r="O420" s="90">
        <v>410</v>
      </c>
    </row>
    <row r="421" spans="1:15" s="83" customFormat="1" ht="12" customHeight="1">
      <c r="A421" s="84">
        <v>411</v>
      </c>
      <c r="B421" s="185" t="s">
        <v>347</v>
      </c>
      <c r="C421" s="2">
        <v>40522</v>
      </c>
      <c r="D421" s="14" t="s">
        <v>8</v>
      </c>
      <c r="E421" s="4">
        <v>110</v>
      </c>
      <c r="F421" s="4">
        <v>6</v>
      </c>
      <c r="G421" s="4">
        <v>9</v>
      </c>
      <c r="H421" s="464">
        <v>4075</v>
      </c>
      <c r="I421" s="465">
        <v>848</v>
      </c>
      <c r="J421" s="87">
        <f t="shared" si="64"/>
        <v>141.33333333333334</v>
      </c>
      <c r="K421" s="187">
        <f t="shared" si="65"/>
        <v>4.805424528301887</v>
      </c>
      <c r="L421" s="5">
        <v>5003375</v>
      </c>
      <c r="M421" s="6">
        <v>474640</v>
      </c>
      <c r="N421" s="188">
        <f t="shared" si="66"/>
        <v>10.541410332041126</v>
      </c>
      <c r="O421" s="90">
        <v>411</v>
      </c>
    </row>
    <row r="422" spans="1:15" s="83" customFormat="1" ht="12" customHeight="1">
      <c r="A422" s="84">
        <v>412</v>
      </c>
      <c r="B422" s="185" t="s">
        <v>347</v>
      </c>
      <c r="C422" s="2">
        <v>40522</v>
      </c>
      <c r="D422" s="14" t="s">
        <v>8</v>
      </c>
      <c r="E422" s="4">
        <v>110</v>
      </c>
      <c r="F422" s="4">
        <v>9</v>
      </c>
      <c r="G422" s="4">
        <v>11</v>
      </c>
      <c r="H422" s="464">
        <v>3734</v>
      </c>
      <c r="I422" s="465">
        <v>594</v>
      </c>
      <c r="J422" s="87">
        <f t="shared" si="64"/>
        <v>66</v>
      </c>
      <c r="K422" s="187">
        <f t="shared" si="65"/>
        <v>6.286195286195286</v>
      </c>
      <c r="L422" s="5">
        <v>5011853</v>
      </c>
      <c r="M422" s="6">
        <v>476701</v>
      </c>
      <c r="N422" s="188">
        <f t="shared" si="66"/>
        <v>10.513619648374977</v>
      </c>
      <c r="O422" s="90">
        <v>412</v>
      </c>
    </row>
    <row r="423" spans="1:15" s="83" customFormat="1" ht="12" customHeight="1">
      <c r="A423" s="84">
        <v>413</v>
      </c>
      <c r="B423" s="185" t="s">
        <v>347</v>
      </c>
      <c r="C423" s="2">
        <v>40522</v>
      </c>
      <c r="D423" s="15" t="s">
        <v>8</v>
      </c>
      <c r="E423" s="4">
        <v>110</v>
      </c>
      <c r="F423" s="4">
        <v>7</v>
      </c>
      <c r="G423" s="4">
        <v>8</v>
      </c>
      <c r="H423" s="464">
        <v>3338</v>
      </c>
      <c r="I423" s="465">
        <v>492</v>
      </c>
      <c r="J423" s="87">
        <f t="shared" si="64"/>
        <v>70.28571428571429</v>
      </c>
      <c r="K423" s="187">
        <f t="shared" si="65"/>
        <v>6.784552845528455</v>
      </c>
      <c r="L423" s="5">
        <v>4999300</v>
      </c>
      <c r="M423" s="6">
        <v>473792</v>
      </c>
      <c r="N423" s="181">
        <f t="shared" si="66"/>
        <v>10.551676685127651</v>
      </c>
      <c r="O423" s="90">
        <v>413</v>
      </c>
    </row>
    <row r="424" spans="1:15" s="83" customFormat="1" ht="12" customHeight="1">
      <c r="A424" s="84">
        <v>414</v>
      </c>
      <c r="B424" s="185" t="s">
        <v>347</v>
      </c>
      <c r="C424" s="2">
        <v>40522</v>
      </c>
      <c r="D424" s="15" t="s">
        <v>8</v>
      </c>
      <c r="E424" s="4">
        <v>110</v>
      </c>
      <c r="F424" s="4">
        <v>4</v>
      </c>
      <c r="G424" s="4">
        <v>13</v>
      </c>
      <c r="H424" s="464">
        <v>2400</v>
      </c>
      <c r="I424" s="465">
        <v>492</v>
      </c>
      <c r="J424" s="87">
        <f t="shared" si="64"/>
        <v>123</v>
      </c>
      <c r="K424" s="187">
        <f t="shared" si="65"/>
        <v>4.878048780487805</v>
      </c>
      <c r="L424" s="5">
        <v>5014749</v>
      </c>
      <c r="M424" s="6">
        <v>477268</v>
      </c>
      <c r="N424" s="188">
        <f t="shared" si="66"/>
        <v>10.507197214143835</v>
      </c>
      <c r="O424" s="90">
        <v>414</v>
      </c>
    </row>
    <row r="425" spans="1:15" s="83" customFormat="1" ht="12" customHeight="1">
      <c r="A425" s="84">
        <v>415</v>
      </c>
      <c r="B425" s="185" t="s">
        <v>347</v>
      </c>
      <c r="C425" s="2">
        <v>40522</v>
      </c>
      <c r="D425" s="14" t="s">
        <v>8</v>
      </c>
      <c r="E425" s="4">
        <v>110</v>
      </c>
      <c r="F425" s="4">
        <v>2</v>
      </c>
      <c r="G425" s="4">
        <v>12</v>
      </c>
      <c r="H425" s="491">
        <v>496</v>
      </c>
      <c r="I425" s="492">
        <v>75</v>
      </c>
      <c r="J425" s="218">
        <f t="shared" si="64"/>
        <v>37.5</v>
      </c>
      <c r="K425" s="189">
        <f t="shared" si="65"/>
        <v>6.613333333333333</v>
      </c>
      <c r="L425" s="17">
        <v>5012349</v>
      </c>
      <c r="M425" s="423">
        <v>476776</v>
      </c>
      <c r="N425" s="188">
        <f t="shared" si="66"/>
        <v>10.513006107689984</v>
      </c>
      <c r="O425" s="90">
        <v>415</v>
      </c>
    </row>
    <row r="426" spans="1:15" s="83" customFormat="1" ht="12" customHeight="1">
      <c r="A426" s="84">
        <v>416</v>
      </c>
      <c r="B426" s="422" t="s">
        <v>347</v>
      </c>
      <c r="C426" s="100">
        <v>40522</v>
      </c>
      <c r="D426" s="105" t="s">
        <v>8</v>
      </c>
      <c r="E426" s="4">
        <v>110</v>
      </c>
      <c r="F426" s="4">
        <v>1</v>
      </c>
      <c r="G426" s="329">
        <v>14</v>
      </c>
      <c r="H426" s="464">
        <v>362</v>
      </c>
      <c r="I426" s="465">
        <v>61</v>
      </c>
      <c r="J426" s="87">
        <f aca="true" t="shared" si="67" ref="J426:J442">I426/F426</f>
        <v>61</v>
      </c>
      <c r="K426" s="88">
        <f>H426/I426</f>
        <v>5.934426229508197</v>
      </c>
      <c r="L426" s="5">
        <v>5015111</v>
      </c>
      <c r="M426" s="6">
        <v>477329</v>
      </c>
      <c r="N426" s="89">
        <f t="shared" si="66"/>
        <v>10.506612839362369</v>
      </c>
      <c r="O426" s="90">
        <v>416</v>
      </c>
    </row>
    <row r="427" spans="1:15" s="83" customFormat="1" ht="12" customHeight="1">
      <c r="A427" s="84">
        <v>417</v>
      </c>
      <c r="B427" s="559" t="s">
        <v>347</v>
      </c>
      <c r="C427" s="639">
        <v>40522</v>
      </c>
      <c r="D427" s="541" t="s">
        <v>8</v>
      </c>
      <c r="E427" s="18">
        <v>110</v>
      </c>
      <c r="F427" s="18">
        <v>1</v>
      </c>
      <c r="G427" s="18">
        <v>14</v>
      </c>
      <c r="H427" s="491">
        <v>234</v>
      </c>
      <c r="I427" s="492">
        <v>35</v>
      </c>
      <c r="J427" s="218">
        <f t="shared" si="67"/>
        <v>35</v>
      </c>
      <c r="K427" s="297">
        <f>H427/I427</f>
        <v>6.685714285714286</v>
      </c>
      <c r="L427" s="17">
        <v>5015345</v>
      </c>
      <c r="M427" s="423">
        <v>477364</v>
      </c>
      <c r="N427" s="298">
        <f t="shared" si="66"/>
        <v>10.506332693709622</v>
      </c>
      <c r="O427" s="90">
        <v>417</v>
      </c>
    </row>
    <row r="428" spans="1:15" s="83" customFormat="1" ht="12" customHeight="1">
      <c r="A428" s="84">
        <v>418</v>
      </c>
      <c r="B428" s="182" t="s">
        <v>348</v>
      </c>
      <c r="C428" s="2">
        <v>40536</v>
      </c>
      <c r="D428" s="16" t="s">
        <v>10</v>
      </c>
      <c r="E428" s="3">
        <v>48</v>
      </c>
      <c r="F428" s="3">
        <v>48</v>
      </c>
      <c r="G428" s="3">
        <v>2</v>
      </c>
      <c r="H428" s="477">
        <v>281047</v>
      </c>
      <c r="I428" s="376">
        <v>23436</v>
      </c>
      <c r="J428" s="96">
        <f t="shared" si="67"/>
        <v>488.25</v>
      </c>
      <c r="K428" s="220">
        <f>+H428/I428</f>
        <v>11.992106161461</v>
      </c>
      <c r="L428" s="184">
        <v>605758</v>
      </c>
      <c r="M428" s="35">
        <v>52142</v>
      </c>
      <c r="N428" s="181">
        <f t="shared" si="66"/>
        <v>11.61746768440029</v>
      </c>
      <c r="O428" s="90">
        <v>418</v>
      </c>
    </row>
    <row r="429" spans="1:15" s="83" customFormat="1" ht="12" customHeight="1">
      <c r="A429" s="84">
        <v>419</v>
      </c>
      <c r="B429" s="180" t="s">
        <v>348</v>
      </c>
      <c r="C429" s="2">
        <v>40536</v>
      </c>
      <c r="D429" s="16" t="s">
        <v>10</v>
      </c>
      <c r="E429" s="3">
        <v>48</v>
      </c>
      <c r="F429" s="3">
        <v>36</v>
      </c>
      <c r="G429" s="3">
        <v>3</v>
      </c>
      <c r="H429" s="375">
        <v>66790</v>
      </c>
      <c r="I429" s="376">
        <v>5435</v>
      </c>
      <c r="J429" s="96">
        <f t="shared" si="67"/>
        <v>150.97222222222223</v>
      </c>
      <c r="K429" s="169">
        <f aca="true" t="shared" si="68" ref="K429:K442">H429/I429</f>
        <v>12.288868445262189</v>
      </c>
      <c r="L429" s="36">
        <v>672548</v>
      </c>
      <c r="M429" s="35">
        <v>57577</v>
      </c>
      <c r="N429" s="181">
        <f t="shared" si="66"/>
        <v>11.6808447817705</v>
      </c>
      <c r="O429" s="90">
        <v>419</v>
      </c>
    </row>
    <row r="430" spans="1:15" s="83" customFormat="1" ht="12" customHeight="1">
      <c r="A430" s="84">
        <v>420</v>
      </c>
      <c r="B430" s="182" t="s">
        <v>348</v>
      </c>
      <c r="C430" s="2">
        <v>40536</v>
      </c>
      <c r="D430" s="13" t="s">
        <v>10</v>
      </c>
      <c r="E430" s="3">
        <v>48</v>
      </c>
      <c r="F430" s="3">
        <v>10</v>
      </c>
      <c r="G430" s="3">
        <v>5</v>
      </c>
      <c r="H430" s="375">
        <v>11003</v>
      </c>
      <c r="I430" s="376">
        <v>1816</v>
      </c>
      <c r="J430" s="96">
        <f t="shared" si="67"/>
        <v>181.6</v>
      </c>
      <c r="K430" s="169">
        <f t="shared" si="68"/>
        <v>6.058920704845815</v>
      </c>
      <c r="L430" s="36">
        <v>691927</v>
      </c>
      <c r="M430" s="35">
        <v>60452</v>
      </c>
      <c r="N430" s="181">
        <f t="shared" si="66"/>
        <v>11.445890954807119</v>
      </c>
      <c r="O430" s="90">
        <v>420</v>
      </c>
    </row>
    <row r="431" spans="1:15" s="83" customFormat="1" ht="12" customHeight="1">
      <c r="A431" s="84">
        <v>421</v>
      </c>
      <c r="B431" s="185" t="s">
        <v>348</v>
      </c>
      <c r="C431" s="2">
        <v>40536</v>
      </c>
      <c r="D431" s="14" t="s">
        <v>10</v>
      </c>
      <c r="E431" s="4">
        <v>48</v>
      </c>
      <c r="F431" s="4">
        <v>7</v>
      </c>
      <c r="G431" s="4">
        <v>4</v>
      </c>
      <c r="H431" s="375">
        <v>8376</v>
      </c>
      <c r="I431" s="376">
        <v>1059</v>
      </c>
      <c r="J431" s="96">
        <f t="shared" si="67"/>
        <v>151.28571428571428</v>
      </c>
      <c r="K431" s="169">
        <f t="shared" si="68"/>
        <v>7.909348441926346</v>
      </c>
      <c r="L431" s="36">
        <v>680924</v>
      </c>
      <c r="M431" s="35">
        <v>58636</v>
      </c>
      <c r="N431" s="181">
        <f t="shared" si="66"/>
        <v>11.612729381267481</v>
      </c>
      <c r="O431" s="90">
        <v>421</v>
      </c>
    </row>
    <row r="432" spans="1:15" s="83" customFormat="1" ht="12" customHeight="1">
      <c r="A432" s="84">
        <v>422</v>
      </c>
      <c r="B432" s="185" t="s">
        <v>348</v>
      </c>
      <c r="C432" s="2">
        <v>40536</v>
      </c>
      <c r="D432" s="14" t="s">
        <v>10</v>
      </c>
      <c r="E432" s="4">
        <v>48</v>
      </c>
      <c r="F432" s="4">
        <v>4</v>
      </c>
      <c r="G432" s="4">
        <v>9</v>
      </c>
      <c r="H432" s="375">
        <v>3417</v>
      </c>
      <c r="I432" s="376">
        <v>493</v>
      </c>
      <c r="J432" s="96">
        <f t="shared" si="67"/>
        <v>123.25</v>
      </c>
      <c r="K432" s="169">
        <f t="shared" si="68"/>
        <v>6.931034482758621</v>
      </c>
      <c r="L432" s="36">
        <v>702704</v>
      </c>
      <c r="M432" s="35">
        <v>62786</v>
      </c>
      <c r="N432" s="181">
        <f t="shared" si="66"/>
        <v>11.192049182938872</v>
      </c>
      <c r="O432" s="90">
        <v>422</v>
      </c>
    </row>
    <row r="433" spans="1:15" s="83" customFormat="1" ht="12" customHeight="1">
      <c r="A433" s="84">
        <v>423</v>
      </c>
      <c r="B433" s="180" t="s">
        <v>348</v>
      </c>
      <c r="C433" s="2">
        <v>40536</v>
      </c>
      <c r="D433" s="13" t="s">
        <v>10</v>
      </c>
      <c r="E433" s="3">
        <v>48</v>
      </c>
      <c r="F433" s="3">
        <v>5</v>
      </c>
      <c r="G433" s="3">
        <v>8</v>
      </c>
      <c r="H433" s="375">
        <v>2592</v>
      </c>
      <c r="I433" s="376">
        <v>363</v>
      </c>
      <c r="J433" s="96">
        <f t="shared" si="67"/>
        <v>72.6</v>
      </c>
      <c r="K433" s="169">
        <f t="shared" si="68"/>
        <v>7.140495867768595</v>
      </c>
      <c r="L433" s="36">
        <v>699287</v>
      </c>
      <c r="M433" s="35">
        <v>62293</v>
      </c>
      <c r="N433" s="181">
        <f t="shared" si="66"/>
        <v>11.225771756056057</v>
      </c>
      <c r="O433" s="90">
        <v>423</v>
      </c>
    </row>
    <row r="434" spans="1:15" s="83" customFormat="1" ht="12" customHeight="1">
      <c r="A434" s="84">
        <v>424</v>
      </c>
      <c r="B434" s="185" t="s">
        <v>348</v>
      </c>
      <c r="C434" s="2">
        <v>40536</v>
      </c>
      <c r="D434" s="14" t="s">
        <v>10</v>
      </c>
      <c r="E434" s="4">
        <v>48</v>
      </c>
      <c r="F434" s="4">
        <v>2</v>
      </c>
      <c r="G434" s="4">
        <v>7</v>
      </c>
      <c r="H434" s="375">
        <v>2498</v>
      </c>
      <c r="I434" s="376">
        <v>822</v>
      </c>
      <c r="J434" s="96">
        <f t="shared" si="67"/>
        <v>411</v>
      </c>
      <c r="K434" s="169">
        <f t="shared" si="68"/>
        <v>3.0389294403892944</v>
      </c>
      <c r="L434" s="36">
        <v>696695</v>
      </c>
      <c r="M434" s="35">
        <v>61930</v>
      </c>
      <c r="N434" s="181">
        <f t="shared" si="66"/>
        <v>11.249717422896818</v>
      </c>
      <c r="O434" s="90">
        <v>424</v>
      </c>
    </row>
    <row r="435" spans="1:15" s="83" customFormat="1" ht="12" customHeight="1">
      <c r="A435" s="84">
        <v>425</v>
      </c>
      <c r="B435" s="180" t="s">
        <v>348</v>
      </c>
      <c r="C435" s="2">
        <v>40536</v>
      </c>
      <c r="D435" s="13" t="s">
        <v>10</v>
      </c>
      <c r="E435" s="3">
        <v>48</v>
      </c>
      <c r="F435" s="3">
        <v>3</v>
      </c>
      <c r="G435" s="3">
        <v>6</v>
      </c>
      <c r="H435" s="375">
        <v>2270</v>
      </c>
      <c r="I435" s="376">
        <v>656</v>
      </c>
      <c r="J435" s="96">
        <f t="shared" si="67"/>
        <v>218.66666666666666</v>
      </c>
      <c r="K435" s="169">
        <f t="shared" si="68"/>
        <v>3.4603658536585367</v>
      </c>
      <c r="L435" s="36">
        <v>694197</v>
      </c>
      <c r="M435" s="35">
        <v>61108</v>
      </c>
      <c r="N435" s="181">
        <f t="shared" si="66"/>
        <v>11.360165608430975</v>
      </c>
      <c r="O435" s="90">
        <v>425</v>
      </c>
    </row>
    <row r="436" spans="1:15" s="83" customFormat="1" ht="12" customHeight="1">
      <c r="A436" s="84">
        <v>426</v>
      </c>
      <c r="B436" s="185" t="s">
        <v>348</v>
      </c>
      <c r="C436" s="2">
        <v>40536</v>
      </c>
      <c r="D436" s="14" t="s">
        <v>10</v>
      </c>
      <c r="E436" s="4">
        <v>48</v>
      </c>
      <c r="F436" s="4">
        <v>2</v>
      </c>
      <c r="G436" s="4">
        <v>11</v>
      </c>
      <c r="H436" s="375">
        <v>2258</v>
      </c>
      <c r="I436" s="376">
        <v>388</v>
      </c>
      <c r="J436" s="96">
        <f t="shared" si="67"/>
        <v>194</v>
      </c>
      <c r="K436" s="186">
        <f t="shared" si="68"/>
        <v>5.819587628865979</v>
      </c>
      <c r="L436" s="36">
        <v>706152</v>
      </c>
      <c r="M436" s="35">
        <v>63570</v>
      </c>
      <c r="N436" s="181">
        <f t="shared" si="66"/>
        <v>11.10825861255309</v>
      </c>
      <c r="O436" s="90">
        <v>426</v>
      </c>
    </row>
    <row r="437" spans="1:15" s="83" customFormat="1" ht="12" customHeight="1">
      <c r="A437" s="84">
        <v>427</v>
      </c>
      <c r="B437" s="180" t="s">
        <v>348</v>
      </c>
      <c r="C437" s="2">
        <v>40536</v>
      </c>
      <c r="D437" s="13" t="s">
        <v>10</v>
      </c>
      <c r="E437" s="3">
        <v>48</v>
      </c>
      <c r="F437" s="3">
        <v>1</v>
      </c>
      <c r="G437" s="3">
        <v>10</v>
      </c>
      <c r="H437" s="375">
        <v>1190</v>
      </c>
      <c r="I437" s="376">
        <v>396</v>
      </c>
      <c r="J437" s="96">
        <f t="shared" si="67"/>
        <v>396</v>
      </c>
      <c r="K437" s="169">
        <f t="shared" si="68"/>
        <v>3.005050505050505</v>
      </c>
      <c r="L437" s="36">
        <v>703894</v>
      </c>
      <c r="M437" s="35">
        <v>63182</v>
      </c>
      <c r="N437" s="181">
        <f t="shared" si="66"/>
        <v>11.140736285650977</v>
      </c>
      <c r="O437" s="90">
        <v>427</v>
      </c>
    </row>
    <row r="438" spans="1:15" s="83" customFormat="1" ht="12" customHeight="1">
      <c r="A438" s="84">
        <v>428</v>
      </c>
      <c r="B438" s="185" t="s">
        <v>349</v>
      </c>
      <c r="C438" s="2">
        <v>39577</v>
      </c>
      <c r="D438" s="14" t="s">
        <v>81</v>
      </c>
      <c r="E438" s="4">
        <v>26</v>
      </c>
      <c r="F438" s="4">
        <v>1</v>
      </c>
      <c r="G438" s="4">
        <v>16</v>
      </c>
      <c r="H438" s="491">
        <v>1188</v>
      </c>
      <c r="I438" s="492">
        <v>198</v>
      </c>
      <c r="J438" s="454">
        <f t="shared" si="67"/>
        <v>198</v>
      </c>
      <c r="K438" s="455">
        <f t="shared" si="68"/>
        <v>6</v>
      </c>
      <c r="L438" s="17">
        <v>117962.42</v>
      </c>
      <c r="M438" s="423">
        <v>13895</v>
      </c>
      <c r="N438" s="416">
        <f t="shared" si="66"/>
        <v>8.48955883411299</v>
      </c>
      <c r="O438" s="90">
        <v>428</v>
      </c>
    </row>
    <row r="439" spans="1:15" s="83" customFormat="1" ht="12" customHeight="1">
      <c r="A439" s="84">
        <v>429</v>
      </c>
      <c r="B439" s="422" t="s">
        <v>400</v>
      </c>
      <c r="C439" s="100">
        <v>40522</v>
      </c>
      <c r="D439" s="105" t="s">
        <v>8</v>
      </c>
      <c r="E439" s="4">
        <v>110</v>
      </c>
      <c r="F439" s="4">
        <v>1</v>
      </c>
      <c r="G439" s="4">
        <v>15</v>
      </c>
      <c r="H439" s="464">
        <v>800</v>
      </c>
      <c r="I439" s="465">
        <v>80</v>
      </c>
      <c r="J439" s="87">
        <f t="shared" si="67"/>
        <v>80</v>
      </c>
      <c r="K439" s="88">
        <f t="shared" si="68"/>
        <v>10</v>
      </c>
      <c r="L439" s="5">
        <v>5015911</v>
      </c>
      <c r="M439" s="6">
        <v>477409</v>
      </c>
      <c r="N439" s="89">
        <f t="shared" si="66"/>
        <v>10.506527945639903</v>
      </c>
      <c r="O439" s="90">
        <v>429</v>
      </c>
    </row>
    <row r="440" spans="1:15" s="83" customFormat="1" ht="12" customHeight="1">
      <c r="A440" s="84">
        <v>430</v>
      </c>
      <c r="B440" s="446" t="s">
        <v>392</v>
      </c>
      <c r="C440" s="100">
        <v>40361</v>
      </c>
      <c r="D440" s="101" t="s">
        <v>23</v>
      </c>
      <c r="E440" s="102">
        <v>161</v>
      </c>
      <c r="F440" s="102">
        <v>1</v>
      </c>
      <c r="G440" s="102">
        <v>57</v>
      </c>
      <c r="H440" s="377">
        <v>1204</v>
      </c>
      <c r="I440" s="378">
        <v>350</v>
      </c>
      <c r="J440" s="218">
        <f t="shared" si="67"/>
        <v>350</v>
      </c>
      <c r="K440" s="297">
        <f t="shared" si="68"/>
        <v>3.44</v>
      </c>
      <c r="L440" s="194">
        <v>3668921</v>
      </c>
      <c r="M440" s="193">
        <v>336549</v>
      </c>
      <c r="N440" s="92">
        <f t="shared" si="66"/>
        <v>10.901595310044005</v>
      </c>
      <c r="O440" s="90">
        <v>430</v>
      </c>
    </row>
    <row r="441" spans="1:15" s="83" customFormat="1" ht="12" customHeight="1">
      <c r="A441" s="84">
        <v>431</v>
      </c>
      <c r="B441" s="191" t="s">
        <v>392</v>
      </c>
      <c r="C441" s="592">
        <v>40361</v>
      </c>
      <c r="D441" s="537" t="s">
        <v>23</v>
      </c>
      <c r="E441" s="25">
        <v>161</v>
      </c>
      <c r="F441" s="25">
        <v>1</v>
      </c>
      <c r="G441" s="25">
        <v>57</v>
      </c>
      <c r="H441" s="489">
        <v>1204</v>
      </c>
      <c r="I441" s="493">
        <v>350</v>
      </c>
      <c r="J441" s="218">
        <f t="shared" si="67"/>
        <v>350</v>
      </c>
      <c r="K441" s="297">
        <f t="shared" si="68"/>
        <v>3.44</v>
      </c>
      <c r="L441" s="22">
        <v>3670125</v>
      </c>
      <c r="M441" s="23">
        <v>336899</v>
      </c>
      <c r="N441" s="298">
        <f t="shared" si="66"/>
        <v>10.893843555486956</v>
      </c>
      <c r="O441" s="90">
        <v>431</v>
      </c>
    </row>
    <row r="442" spans="1:15" s="83" customFormat="1" ht="12" customHeight="1">
      <c r="A442" s="84">
        <v>432</v>
      </c>
      <c r="B442" s="558" t="s">
        <v>392</v>
      </c>
      <c r="C442" s="643">
        <v>40361</v>
      </c>
      <c r="D442" s="537" t="s">
        <v>23</v>
      </c>
      <c r="E442" s="25">
        <v>161</v>
      </c>
      <c r="F442" s="25">
        <v>1</v>
      </c>
      <c r="G442" s="25">
        <v>58</v>
      </c>
      <c r="H442" s="489">
        <v>1204</v>
      </c>
      <c r="I442" s="493">
        <v>350</v>
      </c>
      <c r="J442" s="218">
        <f t="shared" si="67"/>
        <v>350</v>
      </c>
      <c r="K442" s="297">
        <f t="shared" si="68"/>
        <v>3.44</v>
      </c>
      <c r="L442" s="22">
        <v>3671329</v>
      </c>
      <c r="M442" s="23">
        <v>337249</v>
      </c>
      <c r="N442" s="309">
        <f t="shared" si="66"/>
        <v>10.886107890609017</v>
      </c>
      <c r="O442" s="90">
        <v>432</v>
      </c>
    </row>
    <row r="443" spans="1:15" s="83" customFormat="1" ht="12" customHeight="1">
      <c r="A443" s="84">
        <v>433</v>
      </c>
      <c r="B443" s="498" t="s">
        <v>350</v>
      </c>
      <c r="C443" s="424">
        <v>40137</v>
      </c>
      <c r="D443" s="24" t="s">
        <v>32</v>
      </c>
      <c r="E443" s="425">
        <v>147</v>
      </c>
      <c r="F443" s="425">
        <v>1</v>
      </c>
      <c r="G443" s="425">
        <v>31</v>
      </c>
      <c r="H443" s="325">
        <v>138</v>
      </c>
      <c r="I443" s="326">
        <v>23</v>
      </c>
      <c r="J443" s="97">
        <v>22</v>
      </c>
      <c r="K443" s="161">
        <v>10</v>
      </c>
      <c r="L443" s="8">
        <f>10813638+1782+94+1782+138</f>
        <v>10817434</v>
      </c>
      <c r="M443" s="7">
        <f>1242823+446+17+445+23</f>
        <v>1243754</v>
      </c>
      <c r="N443" s="163">
        <v>8.700867299687888</v>
      </c>
      <c r="O443" s="90">
        <v>433</v>
      </c>
    </row>
    <row r="444" spans="1:15" s="83" customFormat="1" ht="12" customHeight="1">
      <c r="A444" s="84">
        <v>434</v>
      </c>
      <c r="B444" s="191" t="s">
        <v>169</v>
      </c>
      <c r="C444" s="26">
        <v>40508</v>
      </c>
      <c r="D444" s="165" t="s">
        <v>32</v>
      </c>
      <c r="E444" s="159">
        <v>44</v>
      </c>
      <c r="F444" s="27">
        <v>2</v>
      </c>
      <c r="G444" s="27">
        <v>6</v>
      </c>
      <c r="H444" s="475">
        <v>1171.5</v>
      </c>
      <c r="I444" s="326">
        <v>282</v>
      </c>
      <c r="J444" s="97">
        <f aca="true" t="shared" si="69" ref="J444:J452">(I444/F444)</f>
        <v>141</v>
      </c>
      <c r="K444" s="166">
        <f aca="true" t="shared" si="70" ref="K444:K465">H444/I444</f>
        <v>4.154255319148936</v>
      </c>
      <c r="L444" s="20">
        <f>49086+11854+1926+2212.5+1180+1171.5</f>
        <v>67430</v>
      </c>
      <c r="M444" s="7">
        <f>5689+1635+274+420+165+282</f>
        <v>8465</v>
      </c>
      <c r="N444" s="163">
        <f aca="true" t="shared" si="71" ref="N444:N452">L444/M444</f>
        <v>7.96574128765505</v>
      </c>
      <c r="O444" s="90">
        <v>434</v>
      </c>
    </row>
    <row r="445" spans="1:15" s="83" customFormat="1" ht="12" customHeight="1">
      <c r="A445" s="84">
        <v>435</v>
      </c>
      <c r="B445" s="403" t="s">
        <v>351</v>
      </c>
      <c r="C445" s="404">
        <v>40473</v>
      </c>
      <c r="D445" s="165" t="s">
        <v>32</v>
      </c>
      <c r="E445" s="405">
        <v>2</v>
      </c>
      <c r="F445" s="405">
        <v>1</v>
      </c>
      <c r="G445" s="405">
        <v>8</v>
      </c>
      <c r="H445" s="475">
        <v>2138.5</v>
      </c>
      <c r="I445" s="476">
        <v>534</v>
      </c>
      <c r="J445" s="168">
        <f t="shared" si="69"/>
        <v>534</v>
      </c>
      <c r="K445" s="166">
        <f t="shared" si="70"/>
        <v>4.004681647940075</v>
      </c>
      <c r="L445" s="20">
        <f>6832+2665+3612+1330+1973+129+396+2138.5</f>
        <v>19075.5</v>
      </c>
      <c r="M445" s="21">
        <f>659+312+817+151+365+14+89+534</f>
        <v>2941</v>
      </c>
      <c r="N445" s="163">
        <f t="shared" si="71"/>
        <v>6.486059163549813</v>
      </c>
      <c r="O445" s="90">
        <v>435</v>
      </c>
    </row>
    <row r="446" spans="1:15" s="83" customFormat="1" ht="12" customHeight="1">
      <c r="A446" s="84">
        <v>436</v>
      </c>
      <c r="B446" s="409" t="s">
        <v>351</v>
      </c>
      <c r="C446" s="404">
        <v>40473</v>
      </c>
      <c r="D446" s="24" t="s">
        <v>32</v>
      </c>
      <c r="E446" s="410">
        <v>2</v>
      </c>
      <c r="F446" s="410">
        <v>1</v>
      </c>
      <c r="G446" s="410">
        <v>9</v>
      </c>
      <c r="H446" s="325">
        <v>1307</v>
      </c>
      <c r="I446" s="326">
        <v>327</v>
      </c>
      <c r="J446" s="97">
        <f t="shared" si="69"/>
        <v>327</v>
      </c>
      <c r="K446" s="161">
        <f t="shared" si="70"/>
        <v>3.996941896024465</v>
      </c>
      <c r="L446" s="8">
        <f>6832+2665+3612+1330+1973+129+396+2138.5+1307</f>
        <v>20382.5</v>
      </c>
      <c r="M446" s="7">
        <f>659+312+817+151+365+14+89+534+327</f>
        <v>3268</v>
      </c>
      <c r="N446" s="163">
        <f t="shared" si="71"/>
        <v>6.236995104039168</v>
      </c>
      <c r="O446" s="90">
        <v>436</v>
      </c>
    </row>
    <row r="447" spans="1:15" s="83" customFormat="1" ht="12" customHeight="1">
      <c r="A447" s="84">
        <v>437</v>
      </c>
      <c r="B447" s="409" t="s">
        <v>351</v>
      </c>
      <c r="C447" s="404">
        <v>40473</v>
      </c>
      <c r="D447" s="165" t="s">
        <v>32</v>
      </c>
      <c r="E447" s="410">
        <v>2</v>
      </c>
      <c r="F447" s="410">
        <v>1</v>
      </c>
      <c r="G447" s="410">
        <v>7</v>
      </c>
      <c r="H447" s="325">
        <v>396</v>
      </c>
      <c r="I447" s="326">
        <v>89</v>
      </c>
      <c r="J447" s="97">
        <f t="shared" si="69"/>
        <v>89</v>
      </c>
      <c r="K447" s="161">
        <f t="shared" si="70"/>
        <v>4.449438202247191</v>
      </c>
      <c r="L447" s="8">
        <f>6832+2665+3612+1330+1973+129+396</f>
        <v>16937</v>
      </c>
      <c r="M447" s="7">
        <f>659+312+817+151+365+14+89</f>
        <v>2407</v>
      </c>
      <c r="N447" s="163">
        <f t="shared" si="71"/>
        <v>7.036560033236394</v>
      </c>
      <c r="O447" s="90">
        <v>437</v>
      </c>
    </row>
    <row r="448" spans="1:15" s="83" customFormat="1" ht="12" customHeight="1">
      <c r="A448" s="84">
        <v>438</v>
      </c>
      <c r="B448" s="411" t="s">
        <v>351</v>
      </c>
      <c r="C448" s="404">
        <v>40473</v>
      </c>
      <c r="D448" s="165" t="s">
        <v>32</v>
      </c>
      <c r="E448" s="410">
        <v>2</v>
      </c>
      <c r="F448" s="410">
        <v>1</v>
      </c>
      <c r="G448" s="410">
        <v>6</v>
      </c>
      <c r="H448" s="475">
        <v>129</v>
      </c>
      <c r="I448" s="326">
        <v>14</v>
      </c>
      <c r="J448" s="97">
        <f t="shared" si="69"/>
        <v>14</v>
      </c>
      <c r="K448" s="166">
        <f t="shared" si="70"/>
        <v>9.214285714285714</v>
      </c>
      <c r="L448" s="20">
        <f>6832+2665+3612+1330+1973+129</f>
        <v>16541</v>
      </c>
      <c r="M448" s="7">
        <f>659+312+817+151+365+14</f>
        <v>2318</v>
      </c>
      <c r="N448" s="163">
        <f t="shared" si="71"/>
        <v>7.135893011216566</v>
      </c>
      <c r="O448" s="90">
        <v>438</v>
      </c>
    </row>
    <row r="449" spans="1:15" s="83" customFormat="1" ht="12" customHeight="1">
      <c r="A449" s="84">
        <v>439</v>
      </c>
      <c r="B449" s="191" t="s">
        <v>352</v>
      </c>
      <c r="C449" s="26">
        <v>40494</v>
      </c>
      <c r="D449" s="165" t="s">
        <v>32</v>
      </c>
      <c r="E449" s="159">
        <v>80</v>
      </c>
      <c r="F449" s="27">
        <v>13</v>
      </c>
      <c r="G449" s="27">
        <v>8</v>
      </c>
      <c r="H449" s="475">
        <v>11751.5</v>
      </c>
      <c r="I449" s="326">
        <v>2055</v>
      </c>
      <c r="J449" s="97">
        <f t="shared" si="69"/>
        <v>158.07692307692307</v>
      </c>
      <c r="K449" s="166">
        <f t="shared" si="70"/>
        <v>5.718491484184915</v>
      </c>
      <c r="L449" s="20">
        <f>400584.5+260220.5+91588.5+26738.5+6598.5+10112.5+8832+11751.5</f>
        <v>816426.5</v>
      </c>
      <c r="M449" s="7">
        <f>34427+24318+9929+5066+1310+1866+1322+2055</f>
        <v>80293</v>
      </c>
      <c r="N449" s="163">
        <f t="shared" si="71"/>
        <v>10.168090618111167</v>
      </c>
      <c r="O449" s="90">
        <v>439</v>
      </c>
    </row>
    <row r="450" spans="1:15" s="83" customFormat="1" ht="12" customHeight="1">
      <c r="A450" s="84">
        <v>440</v>
      </c>
      <c r="B450" s="191" t="s">
        <v>352</v>
      </c>
      <c r="C450" s="26">
        <v>40494</v>
      </c>
      <c r="D450" s="165" t="s">
        <v>32</v>
      </c>
      <c r="E450" s="159">
        <v>80</v>
      </c>
      <c r="F450" s="27">
        <v>1</v>
      </c>
      <c r="G450" s="27">
        <v>11</v>
      </c>
      <c r="H450" s="325">
        <v>3564</v>
      </c>
      <c r="I450" s="326">
        <v>891</v>
      </c>
      <c r="J450" s="97">
        <f t="shared" si="69"/>
        <v>891</v>
      </c>
      <c r="K450" s="161">
        <f t="shared" si="70"/>
        <v>4</v>
      </c>
      <c r="L450" s="8">
        <f>400584.5+260220.5+91588.5+26738.5+6598.5+10112.5+8832+11751.5+1782+1570.5+3564</f>
        <v>823343</v>
      </c>
      <c r="M450" s="7">
        <f>34427+24318+9929+5066+1310+1866+1322+2055+445+470+891</f>
        <v>82099</v>
      </c>
      <c r="N450" s="163">
        <f t="shared" si="71"/>
        <v>10.02866051961656</v>
      </c>
      <c r="O450" s="90">
        <v>440</v>
      </c>
    </row>
    <row r="451" spans="1:15" s="83" customFormat="1" ht="12" customHeight="1">
      <c r="A451" s="84">
        <v>441</v>
      </c>
      <c r="B451" s="158" t="s">
        <v>352</v>
      </c>
      <c r="C451" s="26">
        <v>40494</v>
      </c>
      <c r="D451" s="165" t="s">
        <v>32</v>
      </c>
      <c r="E451" s="27">
        <v>80</v>
      </c>
      <c r="F451" s="27">
        <v>1</v>
      </c>
      <c r="G451" s="27">
        <v>9</v>
      </c>
      <c r="H451" s="325">
        <v>1782</v>
      </c>
      <c r="I451" s="326">
        <v>445</v>
      </c>
      <c r="J451" s="97">
        <f t="shared" si="69"/>
        <v>445</v>
      </c>
      <c r="K451" s="161">
        <f t="shared" si="70"/>
        <v>4.004494382022472</v>
      </c>
      <c r="L451" s="8">
        <f>400584.5+260220.5+91588.5+26738.5+6598.5+10112.5+8832+11751.5+1782</f>
        <v>818208.5</v>
      </c>
      <c r="M451" s="7">
        <f>34427+24318+9929+5066+1310+1866+1322+2055+445</f>
        <v>80738</v>
      </c>
      <c r="N451" s="163">
        <f t="shared" si="71"/>
        <v>10.134119002204661</v>
      </c>
      <c r="O451" s="90">
        <v>441</v>
      </c>
    </row>
    <row r="452" spans="1:15" s="83" customFormat="1" ht="12" customHeight="1">
      <c r="A452" s="84">
        <v>442</v>
      </c>
      <c r="B452" s="170" t="s">
        <v>352</v>
      </c>
      <c r="C452" s="171">
        <v>40494</v>
      </c>
      <c r="D452" s="165" t="s">
        <v>32</v>
      </c>
      <c r="E452" s="172">
        <v>80</v>
      </c>
      <c r="F452" s="172">
        <v>2</v>
      </c>
      <c r="G452" s="172">
        <v>10</v>
      </c>
      <c r="H452" s="469">
        <v>1570.5</v>
      </c>
      <c r="I452" s="470">
        <v>470</v>
      </c>
      <c r="J452" s="173">
        <f t="shared" si="69"/>
        <v>235</v>
      </c>
      <c r="K452" s="174">
        <f t="shared" si="70"/>
        <v>3.3414893617021275</v>
      </c>
      <c r="L452" s="175">
        <f>400584.5+260220.5+91588.5+26738.5+6598.5+10112.5+8832+11751.5+1782+1570.5</f>
        <v>819779</v>
      </c>
      <c r="M452" s="176">
        <f>34427+24318+9929+5066+1310+1866+1322+2055+445+470</f>
        <v>81208</v>
      </c>
      <c r="N452" s="177">
        <f t="shared" si="71"/>
        <v>10.094805930450201</v>
      </c>
      <c r="O452" s="90">
        <v>442</v>
      </c>
    </row>
    <row r="453" spans="1:15" s="83" customFormat="1" ht="12" customHeight="1">
      <c r="A453" s="84">
        <v>443</v>
      </c>
      <c r="B453" s="450" t="s">
        <v>352</v>
      </c>
      <c r="C453" s="100">
        <v>40494</v>
      </c>
      <c r="D453" s="101" t="s">
        <v>32</v>
      </c>
      <c r="E453" s="102">
        <v>80</v>
      </c>
      <c r="F453" s="102">
        <v>1</v>
      </c>
      <c r="G453" s="102">
        <v>12</v>
      </c>
      <c r="H453" s="443">
        <v>90</v>
      </c>
      <c r="I453" s="444">
        <v>15</v>
      </c>
      <c r="J453" s="87">
        <f>I453/F453</f>
        <v>15</v>
      </c>
      <c r="K453" s="88">
        <f t="shared" si="70"/>
        <v>6</v>
      </c>
      <c r="L453" s="98">
        <f>400584.5+260220.5+91588.5+26738.5+6598.5+10112.5+8832+11751.5+1782+1570.5+3564+90</f>
        <v>823433</v>
      </c>
      <c r="M453" s="97">
        <f>34427+24318+9929+5066+1310+1866+1322+2055+445+470+891+15</f>
        <v>82114</v>
      </c>
      <c r="N453" s="89">
        <f>+L453/M453</f>
        <v>10.0279245926395</v>
      </c>
      <c r="O453" s="90">
        <v>443</v>
      </c>
    </row>
    <row r="454" spans="1:15" s="83" customFormat="1" ht="12" customHeight="1">
      <c r="A454" s="84">
        <v>444</v>
      </c>
      <c r="B454" s="450" t="s">
        <v>352</v>
      </c>
      <c r="C454" s="100">
        <v>40494</v>
      </c>
      <c r="D454" s="101" t="s">
        <v>32</v>
      </c>
      <c r="E454" s="102">
        <v>80</v>
      </c>
      <c r="F454" s="102">
        <v>1</v>
      </c>
      <c r="G454" s="102">
        <v>12</v>
      </c>
      <c r="H454" s="443">
        <v>90</v>
      </c>
      <c r="I454" s="444">
        <v>15</v>
      </c>
      <c r="J454" s="87">
        <f>I454/F454</f>
        <v>15</v>
      </c>
      <c r="K454" s="88">
        <f t="shared" si="70"/>
        <v>6</v>
      </c>
      <c r="L454" s="98">
        <f>400584.5+260220.5+91588.5+26738.5+6598.5+10112.5+8832+11751.5+1782+1570.5+3564+90</f>
        <v>823433</v>
      </c>
      <c r="M454" s="97">
        <f>34427+24318+9929+5066+1310+1866+1322+2055+445+470+891+15</f>
        <v>82114</v>
      </c>
      <c r="N454" s="89">
        <f>+L454/M454</f>
        <v>10.0279245926395</v>
      </c>
      <c r="O454" s="90">
        <v>444</v>
      </c>
    </row>
    <row r="455" spans="1:15" s="83" customFormat="1" ht="12" customHeight="1">
      <c r="A455" s="84">
        <v>445</v>
      </c>
      <c r="B455" s="158" t="s">
        <v>170</v>
      </c>
      <c r="C455" s="26">
        <v>40445</v>
      </c>
      <c r="D455" s="165" t="s">
        <v>32</v>
      </c>
      <c r="E455" s="27">
        <v>99</v>
      </c>
      <c r="F455" s="27">
        <v>1</v>
      </c>
      <c r="G455" s="27">
        <v>13</v>
      </c>
      <c r="H455" s="325">
        <v>966</v>
      </c>
      <c r="I455" s="326">
        <v>317</v>
      </c>
      <c r="J455" s="97">
        <f aca="true" t="shared" si="72" ref="J455:J465">(I455/F455)</f>
        <v>317</v>
      </c>
      <c r="K455" s="161">
        <f t="shared" si="70"/>
        <v>3.047318611987382</v>
      </c>
      <c r="L455" s="8">
        <f>321502+248658+168337.5+120626.5+93787.5+82596.5+8900+14133+4789+1421+2440+594+966</f>
        <v>1068751</v>
      </c>
      <c r="M455" s="7">
        <f>37510+29635+22309+17930+15012+11746+1292+2243+804+260+600+115+317</f>
        <v>139773</v>
      </c>
      <c r="N455" s="163">
        <f aca="true" t="shared" si="73" ref="N455:N465">L455/M455</f>
        <v>7.64633369821067</v>
      </c>
      <c r="O455" s="90">
        <v>445</v>
      </c>
    </row>
    <row r="456" spans="1:15" s="83" customFormat="1" ht="12" customHeight="1">
      <c r="A456" s="84">
        <v>446</v>
      </c>
      <c r="B456" s="178" t="s">
        <v>170</v>
      </c>
      <c r="C456" s="26">
        <v>40445</v>
      </c>
      <c r="D456" s="165" t="s">
        <v>32</v>
      </c>
      <c r="E456" s="167">
        <v>99</v>
      </c>
      <c r="F456" s="167">
        <v>1</v>
      </c>
      <c r="G456" s="167">
        <v>14</v>
      </c>
      <c r="H456" s="325">
        <v>678</v>
      </c>
      <c r="I456" s="326">
        <v>102</v>
      </c>
      <c r="J456" s="97">
        <f t="shared" si="72"/>
        <v>102</v>
      </c>
      <c r="K456" s="161">
        <f t="shared" si="70"/>
        <v>6.647058823529412</v>
      </c>
      <c r="L456" s="8">
        <f>321502+248658+168337.5+120626.5+93787.5+82596.5+8900+14133+4789+1421+2440+594+966+678</f>
        <v>1069429</v>
      </c>
      <c r="M456" s="7">
        <f>37510+29635+22309+17930+15012+11746+1292+2243+804+260+600+115+317+102</f>
        <v>139875</v>
      </c>
      <c r="N456" s="163">
        <f t="shared" si="73"/>
        <v>7.645605004468275</v>
      </c>
      <c r="O456" s="90">
        <v>446</v>
      </c>
    </row>
    <row r="457" spans="1:15" s="83" customFormat="1" ht="12" customHeight="1">
      <c r="A457" s="84">
        <v>447</v>
      </c>
      <c r="B457" s="158" t="s">
        <v>170</v>
      </c>
      <c r="C457" s="26">
        <v>40445</v>
      </c>
      <c r="D457" s="165" t="s">
        <v>32</v>
      </c>
      <c r="E457" s="159">
        <v>99</v>
      </c>
      <c r="F457" s="27">
        <v>1</v>
      </c>
      <c r="G457" s="27">
        <v>12</v>
      </c>
      <c r="H457" s="325">
        <v>594</v>
      </c>
      <c r="I457" s="326">
        <v>115</v>
      </c>
      <c r="J457" s="97">
        <f t="shared" si="72"/>
        <v>115</v>
      </c>
      <c r="K457" s="161">
        <f t="shared" si="70"/>
        <v>5.165217391304348</v>
      </c>
      <c r="L457" s="8">
        <f>321502+248658+168337.5+120626.5+93787.5+82596.5+8900+14133+4789+1421+2440+594</f>
        <v>1067785</v>
      </c>
      <c r="M457" s="7">
        <f>37510+29635+22309+17930+15012+11746+1292+2243+804+260+600+115</f>
        <v>139456</v>
      </c>
      <c r="N457" s="163">
        <f t="shared" si="73"/>
        <v>7.65678780403855</v>
      </c>
      <c r="O457" s="90">
        <v>447</v>
      </c>
    </row>
    <row r="458" spans="1:15" s="83" customFormat="1" ht="12" customHeight="1">
      <c r="A458" s="84">
        <v>448</v>
      </c>
      <c r="B458" s="191" t="s">
        <v>353</v>
      </c>
      <c r="C458" s="26">
        <v>40508</v>
      </c>
      <c r="D458" s="165" t="s">
        <v>32</v>
      </c>
      <c r="E458" s="159">
        <v>34</v>
      </c>
      <c r="F458" s="27">
        <v>17</v>
      </c>
      <c r="G458" s="27">
        <v>6</v>
      </c>
      <c r="H458" s="475">
        <v>14630.5</v>
      </c>
      <c r="I458" s="326">
        <v>2283</v>
      </c>
      <c r="J458" s="97">
        <f t="shared" si="72"/>
        <v>134.2941176470588</v>
      </c>
      <c r="K458" s="166">
        <f t="shared" si="70"/>
        <v>6.408453788874288</v>
      </c>
      <c r="L458" s="20">
        <f>122173+87330+23120+25637+29159.5+14630.5</f>
        <v>302050</v>
      </c>
      <c r="M458" s="7">
        <f>10588+8153+2702+3877+4807+2283</f>
        <v>32410</v>
      </c>
      <c r="N458" s="163">
        <f t="shared" si="73"/>
        <v>9.319654427645789</v>
      </c>
      <c r="O458" s="90">
        <v>448</v>
      </c>
    </row>
    <row r="459" spans="1:15" s="83" customFormat="1" ht="12" customHeight="1">
      <c r="A459" s="84">
        <v>449</v>
      </c>
      <c r="B459" s="158" t="s">
        <v>353</v>
      </c>
      <c r="C459" s="26">
        <v>40508</v>
      </c>
      <c r="D459" s="24" t="s">
        <v>32</v>
      </c>
      <c r="E459" s="159">
        <v>34</v>
      </c>
      <c r="F459" s="159">
        <v>1</v>
      </c>
      <c r="G459" s="159">
        <v>11</v>
      </c>
      <c r="H459" s="325">
        <v>1632.5</v>
      </c>
      <c r="I459" s="326">
        <v>203</v>
      </c>
      <c r="J459" s="97">
        <f t="shared" si="72"/>
        <v>203</v>
      </c>
      <c r="K459" s="161">
        <f t="shared" si="70"/>
        <v>8.041871921182265</v>
      </c>
      <c r="L459" s="8">
        <f>122173+87330+23120+25637+29159.5+14630.5+403+1246+229+767+1632.5</f>
        <v>306327.5</v>
      </c>
      <c r="M459" s="7">
        <f>10588+8153+2702+3877+4807+2283+58+199+33+115+203</f>
        <v>33018</v>
      </c>
      <c r="N459" s="163">
        <f t="shared" si="73"/>
        <v>9.277591010963716</v>
      </c>
      <c r="O459" s="90">
        <v>449</v>
      </c>
    </row>
    <row r="460" spans="1:15" s="83" customFormat="1" ht="12" customHeight="1">
      <c r="A460" s="84">
        <v>450</v>
      </c>
      <c r="B460" s="191" t="s">
        <v>353</v>
      </c>
      <c r="C460" s="26">
        <v>40508</v>
      </c>
      <c r="D460" s="165" t="s">
        <v>32</v>
      </c>
      <c r="E460" s="159">
        <v>34</v>
      </c>
      <c r="F460" s="159">
        <v>2</v>
      </c>
      <c r="G460" s="159">
        <v>8</v>
      </c>
      <c r="H460" s="325">
        <v>1246</v>
      </c>
      <c r="I460" s="326">
        <v>199</v>
      </c>
      <c r="J460" s="97">
        <f t="shared" si="72"/>
        <v>99.5</v>
      </c>
      <c r="K460" s="161">
        <f t="shared" si="70"/>
        <v>6.261306532663316</v>
      </c>
      <c r="L460" s="8">
        <f>122173+87330+23120+25637+29159.5+14630.5+403+1246</f>
        <v>303699</v>
      </c>
      <c r="M460" s="7">
        <f>10588+8153+2702+3877+4807+2283+58+199</f>
        <v>32667</v>
      </c>
      <c r="N460" s="163">
        <f t="shared" si="73"/>
        <v>9.296813297823492</v>
      </c>
      <c r="O460" s="90">
        <v>450</v>
      </c>
    </row>
    <row r="461" spans="1:15" s="83" customFormat="1" ht="12" customHeight="1">
      <c r="A461" s="84">
        <v>451</v>
      </c>
      <c r="B461" s="158" t="s">
        <v>353</v>
      </c>
      <c r="C461" s="26">
        <v>40508</v>
      </c>
      <c r="D461" s="24" t="s">
        <v>32</v>
      </c>
      <c r="E461" s="27">
        <v>34</v>
      </c>
      <c r="F461" s="159">
        <v>1</v>
      </c>
      <c r="G461" s="159">
        <v>10</v>
      </c>
      <c r="H461" s="325">
        <v>767</v>
      </c>
      <c r="I461" s="326">
        <v>115</v>
      </c>
      <c r="J461" s="97">
        <f t="shared" si="72"/>
        <v>115</v>
      </c>
      <c r="K461" s="161">
        <f t="shared" si="70"/>
        <v>6.6695652173913045</v>
      </c>
      <c r="L461" s="8">
        <f>122173+87330+23120+25637+29159.5+14630.5+403+1246+229+767</f>
        <v>304695</v>
      </c>
      <c r="M461" s="7">
        <f>10588+8153+2702+3877+4807+2283+58+199+33+115</f>
        <v>32815</v>
      </c>
      <c r="N461" s="163">
        <f t="shared" si="73"/>
        <v>9.28523541063538</v>
      </c>
      <c r="O461" s="90">
        <v>451</v>
      </c>
    </row>
    <row r="462" spans="1:15" s="83" customFormat="1" ht="12" customHeight="1">
      <c r="A462" s="84">
        <v>452</v>
      </c>
      <c r="B462" s="170" t="s">
        <v>353</v>
      </c>
      <c r="C462" s="171">
        <v>40508</v>
      </c>
      <c r="D462" s="388" t="s">
        <v>32</v>
      </c>
      <c r="E462" s="172">
        <v>34</v>
      </c>
      <c r="F462" s="172">
        <v>1</v>
      </c>
      <c r="G462" s="172">
        <v>13</v>
      </c>
      <c r="H462" s="325">
        <v>462</v>
      </c>
      <c r="I462" s="326">
        <v>77</v>
      </c>
      <c r="J462" s="97">
        <f t="shared" si="72"/>
        <v>77</v>
      </c>
      <c r="K462" s="161">
        <f t="shared" si="70"/>
        <v>6</v>
      </c>
      <c r="L462" s="8">
        <f>122173+87330+23120+25637+29159.5+14630.5+403+1246+229+767+1632.5+402+462</f>
        <v>307191.5</v>
      </c>
      <c r="M462" s="7">
        <f>10588+8153+2702+3877+4807+2283+58+199+33+115+203+67+77</f>
        <v>33162</v>
      </c>
      <c r="N462" s="163">
        <f t="shared" si="73"/>
        <v>9.263358663530546</v>
      </c>
      <c r="O462" s="90">
        <v>452</v>
      </c>
    </row>
    <row r="463" spans="1:15" s="83" customFormat="1" ht="12" customHeight="1">
      <c r="A463" s="84">
        <v>453</v>
      </c>
      <c r="B463" s="158" t="s">
        <v>353</v>
      </c>
      <c r="C463" s="26">
        <v>40508</v>
      </c>
      <c r="D463" s="165" t="s">
        <v>32</v>
      </c>
      <c r="E463" s="159">
        <v>34</v>
      </c>
      <c r="F463" s="159">
        <v>1</v>
      </c>
      <c r="G463" s="159">
        <v>7</v>
      </c>
      <c r="H463" s="325">
        <v>403</v>
      </c>
      <c r="I463" s="326">
        <v>58</v>
      </c>
      <c r="J463" s="97">
        <f t="shared" si="72"/>
        <v>58</v>
      </c>
      <c r="K463" s="161">
        <f t="shared" si="70"/>
        <v>6.948275862068965</v>
      </c>
      <c r="L463" s="8">
        <f>122173+87330+23120+25637+29159.5+14630.5+403</f>
        <v>302453</v>
      </c>
      <c r="M463" s="7">
        <f>10588+8153+2702+3877+4807+2283+58</f>
        <v>32468</v>
      </c>
      <c r="N463" s="163">
        <f t="shared" si="73"/>
        <v>9.315418257977084</v>
      </c>
      <c r="O463" s="90">
        <v>453</v>
      </c>
    </row>
    <row r="464" spans="1:15" s="83" customFormat="1" ht="12" customHeight="1">
      <c r="A464" s="84">
        <v>454</v>
      </c>
      <c r="B464" s="178" t="s">
        <v>353</v>
      </c>
      <c r="C464" s="26">
        <v>40508</v>
      </c>
      <c r="D464" s="165" t="s">
        <v>137</v>
      </c>
      <c r="E464" s="167">
        <v>34</v>
      </c>
      <c r="F464" s="167">
        <v>1</v>
      </c>
      <c r="G464" s="167">
        <v>12</v>
      </c>
      <c r="H464" s="325">
        <v>402</v>
      </c>
      <c r="I464" s="326">
        <v>67</v>
      </c>
      <c r="J464" s="97">
        <f t="shared" si="72"/>
        <v>67</v>
      </c>
      <c r="K464" s="179">
        <f t="shared" si="70"/>
        <v>6</v>
      </c>
      <c r="L464" s="8">
        <f>122173+87330+23120+25637+29159.5+14630.5+403+1246+229+767+1632.5+402</f>
        <v>306729.5</v>
      </c>
      <c r="M464" s="7">
        <f>10588+8153+2702+3877+4807+2283+58+199+33+115+203+67</f>
        <v>33085</v>
      </c>
      <c r="N464" s="163">
        <f t="shared" si="73"/>
        <v>9.270953604352426</v>
      </c>
      <c r="O464" s="90">
        <v>454</v>
      </c>
    </row>
    <row r="465" spans="1:15" s="83" customFormat="1" ht="12" customHeight="1">
      <c r="A465" s="84">
        <v>455</v>
      </c>
      <c r="B465" s="178" t="s">
        <v>353</v>
      </c>
      <c r="C465" s="26">
        <v>40508</v>
      </c>
      <c r="D465" s="165" t="s">
        <v>32</v>
      </c>
      <c r="E465" s="167">
        <v>34</v>
      </c>
      <c r="F465" s="167">
        <v>1</v>
      </c>
      <c r="G465" s="167">
        <v>9</v>
      </c>
      <c r="H465" s="475">
        <v>229</v>
      </c>
      <c r="I465" s="476">
        <v>33</v>
      </c>
      <c r="J465" s="168">
        <f t="shared" si="72"/>
        <v>33</v>
      </c>
      <c r="K465" s="166">
        <f t="shared" si="70"/>
        <v>6.9393939393939394</v>
      </c>
      <c r="L465" s="20">
        <f>122173+87330+23120+25637+29159.5+14630.5+403+1246+229</f>
        <v>303928</v>
      </c>
      <c r="M465" s="21">
        <f>10588+8153+2702+3877+4807+2283+58+199+33</f>
        <v>32700</v>
      </c>
      <c r="N465" s="163">
        <f t="shared" si="73"/>
        <v>9.294434250764526</v>
      </c>
      <c r="O465" s="90">
        <v>455</v>
      </c>
    </row>
    <row r="466" spans="1:15" s="83" customFormat="1" ht="12" customHeight="1">
      <c r="A466" s="84">
        <v>456</v>
      </c>
      <c r="B466" s="178" t="s">
        <v>143</v>
      </c>
      <c r="C466" s="26">
        <v>40487</v>
      </c>
      <c r="D466" s="165" t="s">
        <v>29</v>
      </c>
      <c r="E466" s="167">
        <v>162</v>
      </c>
      <c r="F466" s="167">
        <v>2</v>
      </c>
      <c r="G466" s="167">
        <v>10</v>
      </c>
      <c r="H466" s="467">
        <v>1340</v>
      </c>
      <c r="I466" s="468">
        <v>198</v>
      </c>
      <c r="J466" s="87">
        <f>IF(H466&lt;&gt;0,I466/F466,"")</f>
        <v>99</v>
      </c>
      <c r="K466" s="187">
        <f>IF(H466&lt;&gt;0,H466/I466,"")</f>
        <v>6.767676767676767</v>
      </c>
      <c r="L466" s="30">
        <f>525983.5+915356-20+520720.5+229861+37809.5+41066.5+9062.5+5020+8527+1340</f>
        <v>2294726.5</v>
      </c>
      <c r="M466" s="32">
        <f>56225+93965-2+58841+28041+5233+5910+1474+785+1182+198</f>
        <v>251852</v>
      </c>
      <c r="N466" s="188">
        <f>IF(L466&lt;&gt;0,L466/M466,"")</f>
        <v>9.111408684465479</v>
      </c>
      <c r="O466" s="90">
        <v>456</v>
      </c>
    </row>
    <row r="467" spans="1:15" s="83" customFormat="1" ht="12" customHeight="1">
      <c r="A467" s="84">
        <v>457</v>
      </c>
      <c r="B467" s="191" t="s">
        <v>171</v>
      </c>
      <c r="C467" s="26">
        <v>40487</v>
      </c>
      <c r="D467" s="25" t="s">
        <v>29</v>
      </c>
      <c r="E467" s="27">
        <v>162</v>
      </c>
      <c r="F467" s="27">
        <v>8</v>
      </c>
      <c r="G467" s="27">
        <v>9</v>
      </c>
      <c r="H467" s="489">
        <v>8527</v>
      </c>
      <c r="I467" s="468">
        <v>1182</v>
      </c>
      <c r="J467" s="87">
        <f>IF(H467&lt;&gt;0,I467/F467,"")</f>
        <v>147.75</v>
      </c>
      <c r="K467" s="189">
        <f>IF(H467&lt;&gt;0,H467/I467,"")</f>
        <v>7.214043993231811</v>
      </c>
      <c r="L467" s="22">
        <f>525983.5+915356-20+520720.5+229861+37809.5+41066.5+9062.5+5020+8527</f>
        <v>2293386.5</v>
      </c>
      <c r="M467" s="32">
        <f>56225+93965-2+58841+28041+5233+5910+1474+785+1182</f>
        <v>251654</v>
      </c>
      <c r="N467" s="188">
        <f>IF(L467&lt;&gt;0,L467/M467,"")</f>
        <v>9.11325272000445</v>
      </c>
      <c r="O467" s="90">
        <v>457</v>
      </c>
    </row>
    <row r="468" spans="1:15" s="83" customFormat="1" ht="12" customHeight="1">
      <c r="A468" s="84">
        <v>458</v>
      </c>
      <c r="B468" s="158" t="s">
        <v>171</v>
      </c>
      <c r="C468" s="26">
        <v>40487</v>
      </c>
      <c r="D468" s="24" t="s">
        <v>29</v>
      </c>
      <c r="E468" s="27">
        <v>162</v>
      </c>
      <c r="F468" s="27">
        <v>1</v>
      </c>
      <c r="G468" s="27">
        <v>12</v>
      </c>
      <c r="H468" s="467">
        <v>1941</v>
      </c>
      <c r="I468" s="468">
        <v>388</v>
      </c>
      <c r="J468" s="33">
        <f>I468/F468</f>
        <v>388</v>
      </c>
      <c r="K468" s="212">
        <f>+H468/I468</f>
        <v>5.002577319587629</v>
      </c>
      <c r="L468" s="30">
        <f>525983.5+915356-20+520720.5+229861+37809.5+41066.5+9062.5+5020+8527+1340+1644+1941</f>
        <v>2298311.5</v>
      </c>
      <c r="M468" s="32">
        <f>56225+93965-2+58841+28041+5233+5910+1474+785+1182+198+319+388</f>
        <v>252559</v>
      </c>
      <c r="N468" s="181">
        <f>+L468/M468</f>
        <v>9.100097402983065</v>
      </c>
      <c r="O468" s="90">
        <v>458</v>
      </c>
    </row>
    <row r="469" spans="1:15" s="83" customFormat="1" ht="12" customHeight="1">
      <c r="A469" s="84">
        <v>459</v>
      </c>
      <c r="B469" s="191" t="s">
        <v>171</v>
      </c>
      <c r="C469" s="26">
        <v>40487</v>
      </c>
      <c r="D469" s="24" t="s">
        <v>29</v>
      </c>
      <c r="E469" s="27">
        <v>162</v>
      </c>
      <c r="F469" s="27">
        <v>3</v>
      </c>
      <c r="G469" s="27">
        <v>11</v>
      </c>
      <c r="H469" s="467">
        <v>1644</v>
      </c>
      <c r="I469" s="468">
        <v>319</v>
      </c>
      <c r="J469" s="97">
        <f>(I469/F469)</f>
        <v>106.33333333333333</v>
      </c>
      <c r="K469" s="161">
        <f>H469/I469</f>
        <v>5.153605015673981</v>
      </c>
      <c r="L469" s="30">
        <f>525983.5+915356-20+520720.5+229861+37809.5+41066.5+9062.5+5020+8527+1340+1644</f>
        <v>2296370.5</v>
      </c>
      <c r="M469" s="32">
        <f>56225+93965-2+58841+28041+5233+5910+1474+785+1182+198+319</f>
        <v>252171</v>
      </c>
      <c r="N469" s="163">
        <f>L469/M469</f>
        <v>9.106402004988679</v>
      </c>
      <c r="O469" s="90">
        <v>459</v>
      </c>
    </row>
    <row r="470" spans="1:15" s="83" customFormat="1" ht="12" customHeight="1">
      <c r="A470" s="84">
        <v>460</v>
      </c>
      <c r="B470" s="158" t="s">
        <v>171</v>
      </c>
      <c r="C470" s="26">
        <v>40487</v>
      </c>
      <c r="D470" s="24" t="s">
        <v>29</v>
      </c>
      <c r="E470" s="27">
        <v>162</v>
      </c>
      <c r="F470" s="27">
        <v>1</v>
      </c>
      <c r="G470" s="27">
        <v>16</v>
      </c>
      <c r="H470" s="467">
        <v>1503</v>
      </c>
      <c r="I470" s="468">
        <v>288</v>
      </c>
      <c r="J470" s="99">
        <v>19.8181818181821</v>
      </c>
      <c r="K470" s="245">
        <v>6.92102754237288</v>
      </c>
      <c r="L470" s="30">
        <f>525983.5+915356-20+520720.5+229861+37809.5+41066.5+9062.5+5020+8527+1340+1644+1941+1056+313+102+1503</f>
        <v>2301285.5</v>
      </c>
      <c r="M470" s="32">
        <f>56225+93965-2+58841+28041+5233+5910+1474+785+1182+198+319+388+171+52+17+288</f>
        <v>253087</v>
      </c>
      <c r="N470" s="197">
        <v>2.1488509451776</v>
      </c>
      <c r="O470" s="90">
        <v>460</v>
      </c>
    </row>
    <row r="471" spans="1:15" s="83" customFormat="1" ht="12" customHeight="1">
      <c r="A471" s="84">
        <v>461</v>
      </c>
      <c r="B471" s="399" t="s">
        <v>171</v>
      </c>
      <c r="C471" s="400">
        <v>40487</v>
      </c>
      <c r="D471" s="310" t="s">
        <v>29</v>
      </c>
      <c r="E471" s="192">
        <v>162</v>
      </c>
      <c r="F471" s="192">
        <v>1</v>
      </c>
      <c r="G471" s="192">
        <v>13</v>
      </c>
      <c r="H471" s="466">
        <v>1056</v>
      </c>
      <c r="I471" s="378">
        <v>171</v>
      </c>
      <c r="J471" s="221">
        <f>I471/F471</f>
        <v>171</v>
      </c>
      <c r="K471" s="246">
        <f>H471/I471</f>
        <v>6.175438596491228</v>
      </c>
      <c r="L471" s="296">
        <f>525983.5+915356-20+520720.5+229861+37809.5+41066.5+9062.5+5020+8527+1340+1644+1941+1056</f>
        <v>2299367.5</v>
      </c>
      <c r="M471" s="193">
        <f>56225+93965-2+58841+28041+5233+5910+1474+785+1182+198+319+388+171</f>
        <v>252730</v>
      </c>
      <c r="N471" s="247">
        <f>L471/M471</f>
        <v>9.098118545483322</v>
      </c>
      <c r="O471" s="90">
        <v>461</v>
      </c>
    </row>
    <row r="472" spans="1:15" s="83" customFormat="1" ht="12" customHeight="1">
      <c r="A472" s="84">
        <v>462</v>
      </c>
      <c r="B472" s="178" t="s">
        <v>171</v>
      </c>
      <c r="C472" s="26">
        <v>40487</v>
      </c>
      <c r="D472" s="165" t="s">
        <v>29</v>
      </c>
      <c r="E472" s="167">
        <v>162</v>
      </c>
      <c r="F472" s="167">
        <v>1</v>
      </c>
      <c r="G472" s="167">
        <v>14</v>
      </c>
      <c r="H472" s="467">
        <v>313</v>
      </c>
      <c r="I472" s="468">
        <v>52</v>
      </c>
      <c r="J472" s="87">
        <f>+I472/F472</f>
        <v>52</v>
      </c>
      <c r="K472" s="187">
        <f>+H472/I472</f>
        <v>6.019230769230769</v>
      </c>
      <c r="L472" s="30">
        <f>525983.5+915356-20+520720.5+229861+37809.5+41066.5+9062.5+5020+8527+1340+1644+1941+1056+313</f>
        <v>2299680.5</v>
      </c>
      <c r="M472" s="32">
        <f>56225+93965-2+58841+28041+5233+5910+1474+785+1182+198+319+388+171+52</f>
        <v>252782</v>
      </c>
      <c r="N472" s="188">
        <f>+L472/M472</f>
        <v>9.097485184862846</v>
      </c>
      <c r="O472" s="90">
        <v>462</v>
      </c>
    </row>
    <row r="473" spans="1:15" s="83" customFormat="1" ht="12" customHeight="1">
      <c r="A473" s="84">
        <v>463</v>
      </c>
      <c r="B473" s="178" t="s">
        <v>171</v>
      </c>
      <c r="C473" s="26">
        <v>40487</v>
      </c>
      <c r="D473" s="165" t="s">
        <v>29</v>
      </c>
      <c r="E473" s="167">
        <v>162</v>
      </c>
      <c r="F473" s="167">
        <v>1</v>
      </c>
      <c r="G473" s="167">
        <v>15</v>
      </c>
      <c r="H473" s="489">
        <v>102</v>
      </c>
      <c r="I473" s="493">
        <v>17</v>
      </c>
      <c r="J473" s="218">
        <f>+I473/F473</f>
        <v>17</v>
      </c>
      <c r="K473" s="189">
        <f>+H473/I473</f>
        <v>6</v>
      </c>
      <c r="L473" s="22">
        <f>525983.5+915356-20+520720.5+229861+37809.5+41066.5+9062.5+5020+8527+1340+1644+1941+1056+313+102</f>
        <v>2299782.5</v>
      </c>
      <c r="M473" s="23">
        <f>56225+93965-2+58841+28041+5233+5910+1474+785+1182+198+319+388+171+52+17</f>
        <v>252799</v>
      </c>
      <c r="N473" s="188">
        <f>+L473/M473</f>
        <v>9.097276887962373</v>
      </c>
      <c r="O473" s="90">
        <v>463</v>
      </c>
    </row>
    <row r="474" spans="1:15" s="83" customFormat="1" ht="12" customHeight="1">
      <c r="A474" s="84">
        <v>464</v>
      </c>
      <c r="B474" s="158" t="s">
        <v>172</v>
      </c>
      <c r="C474" s="26">
        <v>40235</v>
      </c>
      <c r="D474" s="165" t="s">
        <v>32</v>
      </c>
      <c r="E474" s="27">
        <v>227</v>
      </c>
      <c r="F474" s="27">
        <v>1</v>
      </c>
      <c r="G474" s="27">
        <v>30</v>
      </c>
      <c r="H474" s="325">
        <v>950.5</v>
      </c>
      <c r="I474" s="326">
        <v>238</v>
      </c>
      <c r="J474" s="97">
        <f>(I474/F474)</f>
        <v>238</v>
      </c>
      <c r="K474" s="161">
        <f aca="true" t="shared" si="74" ref="K474:K483">H474/I474</f>
        <v>3.9936974789915967</v>
      </c>
      <c r="L474" s="8">
        <f>8240207.5+202+255+7892+2376+1782+1782+2376+950.5</f>
        <v>8257823</v>
      </c>
      <c r="M474" s="7">
        <f>1023896+40+51+1967+594+445+445+594+238</f>
        <v>1028270</v>
      </c>
      <c r="N474" s="163">
        <f>L474/M474</f>
        <v>8.030792496134284</v>
      </c>
      <c r="O474" s="90">
        <v>464</v>
      </c>
    </row>
    <row r="475" spans="1:15" s="83" customFormat="1" ht="12" customHeight="1">
      <c r="A475" s="84">
        <v>465</v>
      </c>
      <c r="B475" s="170" t="s">
        <v>354</v>
      </c>
      <c r="C475" s="171">
        <v>40480</v>
      </c>
      <c r="D475" s="165" t="s">
        <v>32</v>
      </c>
      <c r="E475" s="172">
        <v>100</v>
      </c>
      <c r="F475" s="172">
        <v>4</v>
      </c>
      <c r="G475" s="172">
        <v>15</v>
      </c>
      <c r="H475" s="469">
        <v>8910</v>
      </c>
      <c r="I475" s="470">
        <v>2228</v>
      </c>
      <c r="J475" s="173">
        <f>(I475/F475)</f>
        <v>557</v>
      </c>
      <c r="K475" s="174">
        <f t="shared" si="74"/>
        <v>3.9991023339317775</v>
      </c>
      <c r="L475" s="175">
        <f>1221166+429124.5+378100+240009.5+108018.5+26890.5+15319+16968+7345.5+4160+1262+1510+3920.5+2732.5+8910</f>
        <v>2465436.5</v>
      </c>
      <c r="M475" s="176">
        <f>114702+40612+35598+23284+12543+4168+3055+2661+1161+850+210+377+981+684+2228</f>
        <v>243114</v>
      </c>
      <c r="N475" s="177">
        <f>L475/M475</f>
        <v>10.141071678307297</v>
      </c>
      <c r="O475" s="90">
        <v>465</v>
      </c>
    </row>
    <row r="476" spans="1:15" s="83" customFormat="1" ht="12" customHeight="1">
      <c r="A476" s="84">
        <v>466</v>
      </c>
      <c r="B476" s="557" t="s">
        <v>354</v>
      </c>
      <c r="C476" s="418">
        <v>40480</v>
      </c>
      <c r="D476" s="101" t="s">
        <v>32</v>
      </c>
      <c r="E476" s="420">
        <v>100</v>
      </c>
      <c r="F476" s="172">
        <v>1</v>
      </c>
      <c r="G476" s="420">
        <v>18</v>
      </c>
      <c r="H476" s="325">
        <v>4457</v>
      </c>
      <c r="I476" s="326">
        <v>857</v>
      </c>
      <c r="J476" s="87">
        <f>I476/F476</f>
        <v>857</v>
      </c>
      <c r="K476" s="88">
        <f t="shared" si="74"/>
        <v>5.200700116686114</v>
      </c>
      <c r="L476" s="8">
        <f>1221166+429124.5+378100+240009.5+108018.5+26890.5+15319+16968+7345.5+4160+1262+1510+3920.5+2732.5+8910+571+670+102+4457</f>
        <v>2471236.5</v>
      </c>
      <c r="M476" s="7">
        <f>114702+40612+35598+23284+12543+4168+3055+2661+1161+850+210+377+981+684+2228+92+109+26+857</f>
        <v>244198</v>
      </c>
      <c r="N476" s="89">
        <f>+L476/M476</f>
        <v>10.119806468521446</v>
      </c>
      <c r="O476" s="90">
        <v>466</v>
      </c>
    </row>
    <row r="477" spans="1:15" s="83" customFormat="1" ht="12" customHeight="1">
      <c r="A477" s="84">
        <v>467</v>
      </c>
      <c r="B477" s="191" t="s">
        <v>354</v>
      </c>
      <c r="C477" s="26">
        <v>40480</v>
      </c>
      <c r="D477" s="165" t="s">
        <v>32</v>
      </c>
      <c r="E477" s="27">
        <v>100</v>
      </c>
      <c r="F477" s="27">
        <v>11</v>
      </c>
      <c r="G477" s="27">
        <v>10</v>
      </c>
      <c r="H477" s="475">
        <v>4160</v>
      </c>
      <c r="I477" s="326">
        <v>850</v>
      </c>
      <c r="J477" s="97">
        <f aca="true" t="shared" si="75" ref="J477:J483">(I477/F477)</f>
        <v>77.27272727272727</v>
      </c>
      <c r="K477" s="166">
        <f t="shared" si="74"/>
        <v>4.894117647058824</v>
      </c>
      <c r="L477" s="20">
        <f>1221166+429124.5+378100+240009.5+108018.5+26890.5+15319+16968+7345.5+4160</f>
        <v>2447101.5</v>
      </c>
      <c r="M477" s="7">
        <f>114702+40612+35598+23284+12543+4168+3055+2661+1161+850</f>
        <v>238634</v>
      </c>
      <c r="N477" s="163">
        <f aca="true" t="shared" si="76" ref="N477:N483">L477/M477</f>
        <v>10.254622141019302</v>
      </c>
      <c r="O477" s="90">
        <v>467</v>
      </c>
    </row>
    <row r="478" spans="1:15" s="83" customFormat="1" ht="12" customHeight="1">
      <c r="A478" s="84">
        <v>468</v>
      </c>
      <c r="B478" s="158" t="s">
        <v>354</v>
      </c>
      <c r="C478" s="26">
        <v>40480</v>
      </c>
      <c r="D478" s="165" t="s">
        <v>32</v>
      </c>
      <c r="E478" s="159">
        <v>100</v>
      </c>
      <c r="F478" s="159">
        <v>2</v>
      </c>
      <c r="G478" s="159">
        <v>13</v>
      </c>
      <c r="H478" s="325">
        <v>3920.5</v>
      </c>
      <c r="I478" s="326">
        <v>982</v>
      </c>
      <c r="J478" s="97">
        <f t="shared" si="75"/>
        <v>491</v>
      </c>
      <c r="K478" s="166">
        <f t="shared" si="74"/>
        <v>3.9923625254582484</v>
      </c>
      <c r="L478" s="8">
        <f>1221166+429124.5+378100+240009.5+108018.5+26890.5+15319+16968+7345.5+4160+1262+1510+3920.5</f>
        <v>2453794</v>
      </c>
      <c r="M478" s="7">
        <f>114702+40612+35598+23284+12543+4168+3055+2661+1161+850+210+377+982</f>
        <v>240203</v>
      </c>
      <c r="N478" s="163">
        <f t="shared" si="76"/>
        <v>10.215501055357343</v>
      </c>
      <c r="O478" s="90">
        <v>468</v>
      </c>
    </row>
    <row r="479" spans="1:15" s="83" customFormat="1" ht="12" customHeight="1">
      <c r="A479" s="84">
        <v>469</v>
      </c>
      <c r="B479" s="178" t="s">
        <v>354</v>
      </c>
      <c r="C479" s="26">
        <v>40480</v>
      </c>
      <c r="D479" s="165" t="s">
        <v>32</v>
      </c>
      <c r="E479" s="167">
        <v>100</v>
      </c>
      <c r="F479" s="167">
        <v>2</v>
      </c>
      <c r="G479" s="167">
        <v>14</v>
      </c>
      <c r="H479" s="325">
        <v>2732.5</v>
      </c>
      <c r="I479" s="326">
        <v>684</v>
      </c>
      <c r="J479" s="97">
        <f t="shared" si="75"/>
        <v>342</v>
      </c>
      <c r="K479" s="161">
        <f t="shared" si="74"/>
        <v>3.9948830409356724</v>
      </c>
      <c r="L479" s="8">
        <f>1221166+429124.5+378100+240009.5+108018.5+26890.5+15319+16968+7345.5+4160+1262+1510+3920.5+2732.5</f>
        <v>2456526.5</v>
      </c>
      <c r="M479" s="7">
        <f>114702+40612+35598+23284+12543+4168+3055+2661+1161+850+210+377+981+684</f>
        <v>240886</v>
      </c>
      <c r="N479" s="163">
        <f t="shared" si="76"/>
        <v>10.197879909998921</v>
      </c>
      <c r="O479" s="90">
        <v>469</v>
      </c>
    </row>
    <row r="480" spans="1:15" s="83" customFormat="1" ht="12" customHeight="1">
      <c r="A480" s="84">
        <v>470</v>
      </c>
      <c r="B480" s="170" t="s">
        <v>354</v>
      </c>
      <c r="C480" s="171">
        <v>40480</v>
      </c>
      <c r="D480" s="165" t="s">
        <v>32</v>
      </c>
      <c r="E480" s="172">
        <v>100</v>
      </c>
      <c r="F480" s="172">
        <v>1</v>
      </c>
      <c r="G480" s="172">
        <v>12</v>
      </c>
      <c r="H480" s="469">
        <v>1510</v>
      </c>
      <c r="I480" s="470">
        <v>377</v>
      </c>
      <c r="J480" s="173">
        <f t="shared" si="75"/>
        <v>377</v>
      </c>
      <c r="K480" s="174">
        <f t="shared" si="74"/>
        <v>4.005305039787799</v>
      </c>
      <c r="L480" s="175">
        <f>1221166+429124.5+378100+240009.5+108018.5+26890.5+15319+16968+7345.5+4160+1262+1510</f>
        <v>2449873.5</v>
      </c>
      <c r="M480" s="176">
        <f>114702+40612+35598+23284+12543+4168+3055+2661+1161+850+210+377</f>
        <v>239221</v>
      </c>
      <c r="N480" s="177">
        <f t="shared" si="76"/>
        <v>10.24104698166131</v>
      </c>
      <c r="O480" s="90">
        <v>470</v>
      </c>
    </row>
    <row r="481" spans="1:15" s="83" customFormat="1" ht="12" customHeight="1">
      <c r="A481" s="84">
        <v>471</v>
      </c>
      <c r="B481" s="158" t="s">
        <v>354</v>
      </c>
      <c r="C481" s="26">
        <v>40480</v>
      </c>
      <c r="D481" s="165" t="s">
        <v>32</v>
      </c>
      <c r="E481" s="27">
        <v>100</v>
      </c>
      <c r="F481" s="27">
        <v>2</v>
      </c>
      <c r="G481" s="27">
        <v>11</v>
      </c>
      <c r="H481" s="325">
        <v>1262</v>
      </c>
      <c r="I481" s="326">
        <v>210</v>
      </c>
      <c r="J481" s="97">
        <f t="shared" si="75"/>
        <v>105</v>
      </c>
      <c r="K481" s="161">
        <f t="shared" si="74"/>
        <v>6.0095238095238095</v>
      </c>
      <c r="L481" s="8">
        <f>1221166+429124.5+378100+240009.5+108018.5+26890.5+15319+16968+7345.5+4160+1262</f>
        <v>2448363.5</v>
      </c>
      <c r="M481" s="7">
        <f>114702+40612+35598+23284+12543+4168+3055+2661+1161+850+210</f>
        <v>238844</v>
      </c>
      <c r="N481" s="163">
        <f t="shared" si="76"/>
        <v>10.250889702064946</v>
      </c>
      <c r="O481" s="90">
        <v>471</v>
      </c>
    </row>
    <row r="482" spans="1:15" s="83" customFormat="1" ht="12" customHeight="1">
      <c r="A482" s="84">
        <v>472</v>
      </c>
      <c r="B482" s="158" t="s">
        <v>354</v>
      </c>
      <c r="C482" s="26">
        <v>40480</v>
      </c>
      <c r="D482" s="24" t="s">
        <v>32</v>
      </c>
      <c r="E482" s="159">
        <v>100</v>
      </c>
      <c r="F482" s="27">
        <v>1</v>
      </c>
      <c r="G482" s="27">
        <v>17</v>
      </c>
      <c r="H482" s="325">
        <v>670</v>
      </c>
      <c r="I482" s="326">
        <v>109</v>
      </c>
      <c r="J482" s="97">
        <f t="shared" si="75"/>
        <v>109</v>
      </c>
      <c r="K482" s="161">
        <f t="shared" si="74"/>
        <v>6.146788990825688</v>
      </c>
      <c r="L482" s="8">
        <f>1221166+429124.5+378100+240009.5+108018.5+26890.5+15319+16968+7345.5+4160+1262+1510+3920.5+2732.5+8910+571+670</f>
        <v>2466677.5</v>
      </c>
      <c r="M482" s="7">
        <f>114702+40612+35598+23284+12543+4168+3055+2661+1161+850+210+377+981+684+2228+92+109</f>
        <v>243315</v>
      </c>
      <c r="N482" s="163">
        <f t="shared" si="76"/>
        <v>10.13779462836241</v>
      </c>
      <c r="O482" s="90">
        <v>472</v>
      </c>
    </row>
    <row r="483" spans="1:15" s="83" customFormat="1" ht="12" customHeight="1">
      <c r="A483" s="84">
        <v>473</v>
      </c>
      <c r="B483" s="158" t="s">
        <v>354</v>
      </c>
      <c r="C483" s="26">
        <v>40480</v>
      </c>
      <c r="D483" s="24" t="s">
        <v>32</v>
      </c>
      <c r="E483" s="159">
        <v>100</v>
      </c>
      <c r="F483" s="27">
        <v>1</v>
      </c>
      <c r="G483" s="27">
        <v>16</v>
      </c>
      <c r="H483" s="325">
        <v>571</v>
      </c>
      <c r="I483" s="326">
        <v>92</v>
      </c>
      <c r="J483" s="97">
        <f t="shared" si="75"/>
        <v>92</v>
      </c>
      <c r="K483" s="161">
        <f t="shared" si="74"/>
        <v>6.206521739130435</v>
      </c>
      <c r="L483" s="8">
        <f>1221166+429124.5+378100+240009.5+108018.5+26890.5+15319+16968+7345.5+4160+1262+1510+3920.5+2732.5+8910+571</f>
        <v>2466007.5</v>
      </c>
      <c r="M483" s="7">
        <f>114702+40612+35598+23284+12543+4168+3055+2661+1161+850+210+377+981+684+2228+92</f>
        <v>243206</v>
      </c>
      <c r="N483" s="163">
        <f t="shared" si="76"/>
        <v>10.139583316201081</v>
      </c>
      <c r="O483" s="90">
        <v>473</v>
      </c>
    </row>
    <row r="484" spans="1:15" s="83" customFormat="1" ht="12" customHeight="1">
      <c r="A484" s="84">
        <v>474</v>
      </c>
      <c r="B484" s="191" t="s">
        <v>355</v>
      </c>
      <c r="C484" s="26">
        <v>40508</v>
      </c>
      <c r="D484" s="215" t="s">
        <v>23</v>
      </c>
      <c r="E484" s="27">
        <v>11</v>
      </c>
      <c r="F484" s="27">
        <v>3</v>
      </c>
      <c r="G484" s="27">
        <v>6</v>
      </c>
      <c r="H484" s="489">
        <v>3343</v>
      </c>
      <c r="I484" s="481">
        <v>754</v>
      </c>
      <c r="J484" s="33">
        <f>I484/F484</f>
        <v>251.33333333333334</v>
      </c>
      <c r="K484" s="220">
        <f>+H484/I484</f>
        <v>4.43368700265252</v>
      </c>
      <c r="L484" s="22">
        <v>107677</v>
      </c>
      <c r="M484" s="34">
        <v>8838</v>
      </c>
      <c r="N484" s="213">
        <f>+L484/M484</f>
        <v>12.183412536773025</v>
      </c>
      <c r="O484" s="90">
        <v>474</v>
      </c>
    </row>
    <row r="485" spans="1:15" s="83" customFormat="1" ht="12" customHeight="1">
      <c r="A485" s="84">
        <v>475</v>
      </c>
      <c r="B485" s="191" t="s">
        <v>355</v>
      </c>
      <c r="C485" s="592">
        <v>40508</v>
      </c>
      <c r="D485" s="537" t="s">
        <v>23</v>
      </c>
      <c r="E485" s="25">
        <v>11</v>
      </c>
      <c r="F485" s="25">
        <v>1</v>
      </c>
      <c r="G485" s="25">
        <v>37</v>
      </c>
      <c r="H485" s="489">
        <v>1750</v>
      </c>
      <c r="I485" s="493">
        <v>525</v>
      </c>
      <c r="J485" s="218">
        <f>I485/F485</f>
        <v>525</v>
      </c>
      <c r="K485" s="297">
        <f>H485/I485</f>
        <v>3.3333333333333335</v>
      </c>
      <c r="L485" s="22">
        <v>110667</v>
      </c>
      <c r="M485" s="550">
        <v>9527</v>
      </c>
      <c r="N485" s="298">
        <f>+L485/M485</f>
        <v>11.616143591896714</v>
      </c>
      <c r="O485" s="90">
        <v>475</v>
      </c>
    </row>
    <row r="486" spans="1:15" s="83" customFormat="1" ht="12" customHeight="1">
      <c r="A486" s="84">
        <v>476</v>
      </c>
      <c r="B486" s="399" t="s">
        <v>355</v>
      </c>
      <c r="C486" s="401">
        <v>40508</v>
      </c>
      <c r="D486" s="402" t="s">
        <v>23</v>
      </c>
      <c r="E486" s="192">
        <v>11</v>
      </c>
      <c r="F486" s="192">
        <v>1</v>
      </c>
      <c r="G486" s="192">
        <v>9</v>
      </c>
      <c r="H486" s="377">
        <v>1240</v>
      </c>
      <c r="I486" s="379">
        <v>164</v>
      </c>
      <c r="J486" s="221">
        <f>I486/F486</f>
        <v>164</v>
      </c>
      <c r="K486" s="246">
        <f>+H486/I486</f>
        <v>7.560975609756097</v>
      </c>
      <c r="L486" s="194">
        <v>108917</v>
      </c>
      <c r="M486" s="221">
        <v>9002</v>
      </c>
      <c r="N486" s="247">
        <f>+L486/M486</f>
        <v>12.09920017773828</v>
      </c>
      <c r="O486" s="90">
        <v>476</v>
      </c>
    </row>
    <row r="487" spans="1:15" s="83" customFormat="1" ht="12" customHeight="1" thickBot="1">
      <c r="A487" s="84">
        <v>477</v>
      </c>
      <c r="B487" s="456" t="s">
        <v>356</v>
      </c>
      <c r="C487" s="457">
        <v>40284</v>
      </c>
      <c r="D487" s="458" t="s">
        <v>8</v>
      </c>
      <c r="E487" s="459">
        <v>1</v>
      </c>
      <c r="F487" s="459">
        <v>1</v>
      </c>
      <c r="G487" s="459">
        <v>22</v>
      </c>
      <c r="H487" s="495">
        <v>336</v>
      </c>
      <c r="I487" s="496">
        <v>48</v>
      </c>
      <c r="J487" s="111">
        <f>+I487/F487</f>
        <v>48</v>
      </c>
      <c r="K487" s="460">
        <f>+H487/I487</f>
        <v>7</v>
      </c>
      <c r="L487" s="461">
        <v>47577</v>
      </c>
      <c r="M487" s="462">
        <v>4083</v>
      </c>
      <c r="N487" s="463">
        <f>+L487/M487</f>
        <v>11.652461425422484</v>
      </c>
      <c r="O487" s="90">
        <v>477</v>
      </c>
    </row>
    <row r="488" spans="1:14" s="83" customFormat="1" ht="15.75" thickBot="1">
      <c r="A488" s="113"/>
      <c r="C488" s="115"/>
      <c r="E488" s="114"/>
      <c r="F488" s="114"/>
      <c r="G488" s="114"/>
      <c r="H488" s="292"/>
      <c r="I488" s="280"/>
      <c r="J488" s="123"/>
      <c r="K488" s="124"/>
      <c r="L488" s="116"/>
      <c r="M488" s="125"/>
      <c r="N488" s="120"/>
    </row>
    <row r="489" spans="1:15" s="126" customFormat="1" ht="12.75">
      <c r="A489" s="755" t="s">
        <v>86</v>
      </c>
      <c r="B489" s="756"/>
      <c r="C489" s="756"/>
      <c r="D489" s="756"/>
      <c r="E489" s="756"/>
      <c r="F489" s="756"/>
      <c r="G489" s="756"/>
      <c r="H489" s="756"/>
      <c r="I489" s="756"/>
      <c r="J489" s="756"/>
      <c r="K489" s="756"/>
      <c r="L489" s="756"/>
      <c r="M489" s="756"/>
      <c r="N489" s="756"/>
      <c r="O489" s="757"/>
    </row>
    <row r="490" spans="1:15" s="126" customFormat="1" ht="12.75">
      <c r="A490" s="758"/>
      <c r="B490" s="759"/>
      <c r="C490" s="759"/>
      <c r="D490" s="759"/>
      <c r="E490" s="759"/>
      <c r="F490" s="759"/>
      <c r="G490" s="759"/>
      <c r="H490" s="759"/>
      <c r="I490" s="759"/>
      <c r="J490" s="759"/>
      <c r="K490" s="759"/>
      <c r="L490" s="759"/>
      <c r="M490" s="759"/>
      <c r="N490" s="759"/>
      <c r="O490" s="760"/>
    </row>
    <row r="491" spans="1:15" s="126" customFormat="1" ht="12.75">
      <c r="A491" s="758"/>
      <c r="B491" s="759"/>
      <c r="C491" s="759"/>
      <c r="D491" s="759"/>
      <c r="E491" s="759"/>
      <c r="F491" s="759"/>
      <c r="G491" s="759"/>
      <c r="H491" s="759"/>
      <c r="I491" s="759"/>
      <c r="J491" s="759"/>
      <c r="K491" s="759"/>
      <c r="L491" s="759"/>
      <c r="M491" s="759"/>
      <c r="N491" s="759"/>
      <c r="O491" s="760"/>
    </row>
    <row r="492" spans="1:15" s="126" customFormat="1" ht="12.75">
      <c r="A492" s="758"/>
      <c r="B492" s="759"/>
      <c r="C492" s="759"/>
      <c r="D492" s="759"/>
      <c r="E492" s="759"/>
      <c r="F492" s="759"/>
      <c r="G492" s="759"/>
      <c r="H492" s="759"/>
      <c r="I492" s="759"/>
      <c r="J492" s="759"/>
      <c r="K492" s="759"/>
      <c r="L492" s="759"/>
      <c r="M492" s="759"/>
      <c r="N492" s="759"/>
      <c r="O492" s="760"/>
    </row>
    <row r="493" spans="1:15" s="126" customFormat="1" ht="12.75">
      <c r="A493" s="758"/>
      <c r="B493" s="759"/>
      <c r="C493" s="759"/>
      <c r="D493" s="759"/>
      <c r="E493" s="759"/>
      <c r="F493" s="759"/>
      <c r="G493" s="759"/>
      <c r="H493" s="759"/>
      <c r="I493" s="759"/>
      <c r="J493" s="759"/>
      <c r="K493" s="759"/>
      <c r="L493" s="759"/>
      <c r="M493" s="759"/>
      <c r="N493" s="759"/>
      <c r="O493" s="760"/>
    </row>
    <row r="494" spans="1:15" s="126" customFormat="1" ht="13.5" thickBot="1">
      <c r="A494" s="761"/>
      <c r="B494" s="762"/>
      <c r="C494" s="762"/>
      <c r="D494" s="762"/>
      <c r="E494" s="762"/>
      <c r="F494" s="762"/>
      <c r="G494" s="762"/>
      <c r="H494" s="762"/>
      <c r="I494" s="762"/>
      <c r="J494" s="762"/>
      <c r="K494" s="762"/>
      <c r="L494" s="762"/>
      <c r="M494" s="762"/>
      <c r="N494" s="762"/>
      <c r="O494" s="763"/>
    </row>
    <row r="495" spans="8:9" ht="18">
      <c r="H495" s="293"/>
      <c r="I495" s="281"/>
    </row>
    <row r="496" spans="8:9" ht="18">
      <c r="H496" s="293"/>
      <c r="I496" s="281"/>
    </row>
  </sheetData>
  <sheetProtection/>
  <mergeCells count="19">
    <mergeCell ref="H7:I7"/>
    <mergeCell ref="J7:K7"/>
    <mergeCell ref="L7:M7"/>
    <mergeCell ref="A5:C5"/>
    <mergeCell ref="B6:E6"/>
    <mergeCell ref="F6:G6"/>
    <mergeCell ref="H6:I6"/>
    <mergeCell ref="J6:K6"/>
    <mergeCell ref="L6:O6"/>
    <mergeCell ref="A489:O494"/>
    <mergeCell ref="J9:K9"/>
    <mergeCell ref="H1:J1"/>
    <mergeCell ref="K1:O1"/>
    <mergeCell ref="H4:J4"/>
    <mergeCell ref="H5:O5"/>
    <mergeCell ref="A1:G1"/>
    <mergeCell ref="A2:G2"/>
    <mergeCell ref="A3:G3"/>
    <mergeCell ref="A4:C4"/>
  </mergeCells>
  <hyperlinks>
    <hyperlink ref="A3" r:id="rId1" display="http://www.antraktsinema.com"/>
  </hyperlinks>
  <printOptions/>
  <pageMargins left="0.75" right="0.75" top="1" bottom="1" header="0.5" footer="0.5"/>
  <pageSetup horizontalDpi="200" verticalDpi="200" orientation="portrait" paperSize="9" r:id="rId3"/>
  <drawing r:id="rId2"/>
</worksheet>
</file>

<file path=xl/worksheets/sheet4.xml><?xml version="1.0" encoding="utf-8"?>
<worksheet xmlns="http://schemas.openxmlformats.org/spreadsheetml/2006/main" xmlns:r="http://schemas.openxmlformats.org/officeDocument/2006/relationships">
  <dimension ref="A1:AG37"/>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27" bestFit="1" customWidth="1"/>
    <col min="2" max="2" width="4.28125" style="128" hidden="1" customWidth="1"/>
    <col min="3" max="3" width="6.421875" style="129" hidden="1" customWidth="1"/>
    <col min="4" max="4" width="41.28125" style="130" bestFit="1" customWidth="1"/>
    <col min="5" max="5" width="7.8515625" style="131" hidden="1" customWidth="1"/>
    <col min="6" max="6" width="24.421875" style="131" bestFit="1" customWidth="1"/>
    <col min="7" max="7" width="5.8515625" style="131" bestFit="1" customWidth="1"/>
    <col min="8" max="8" width="8.57421875" style="132" customWidth="1"/>
    <col min="9" max="9" width="8.57421875" style="133" customWidth="1"/>
    <col min="10" max="10" width="9.8515625" style="132" hidden="1" customWidth="1"/>
    <col min="11" max="11" width="6.421875" style="133" hidden="1" customWidth="1"/>
    <col min="12" max="12" width="11.28125" style="132" hidden="1" customWidth="1"/>
    <col min="13" max="13" width="6.421875" style="133" hidden="1" customWidth="1"/>
    <col min="14" max="14" width="9.8515625" style="134" hidden="1" customWidth="1"/>
    <col min="15" max="15" width="6.421875" style="135" hidden="1" customWidth="1"/>
    <col min="16" max="16" width="11.28125" style="136" hidden="1" customWidth="1"/>
    <col min="17" max="17" width="7.421875" style="137" hidden="1" customWidth="1"/>
    <col min="18" max="18" width="10.421875" style="138" hidden="1" customWidth="1"/>
    <col min="19" max="19" width="7.57421875" style="139" hidden="1" customWidth="1"/>
    <col min="20" max="20" width="9.8515625" style="138" hidden="1" customWidth="1"/>
    <col min="21" max="21" width="7.28125" style="136" hidden="1" customWidth="1"/>
    <col min="22" max="22" width="11.28125" style="137" hidden="1" customWidth="1"/>
    <col min="23" max="23" width="7.421875" style="140" hidden="1" customWidth="1"/>
    <col min="24" max="24" width="11.28125" style="141" bestFit="1" customWidth="1"/>
    <col min="25" max="25" width="7.421875" style="141" bestFit="1" customWidth="1"/>
    <col min="26" max="27" width="7.57421875" style="130" customWidth="1"/>
    <col min="28" max="28" width="10.421875" style="142" customWidth="1"/>
    <col min="29" max="29" width="10.421875" style="143" customWidth="1"/>
    <col min="30" max="30" width="12.28125" style="130" bestFit="1" customWidth="1"/>
    <col min="31" max="31" width="8.8515625" style="130" bestFit="1" customWidth="1"/>
    <col min="32" max="32" width="9.140625" style="130" bestFit="1" customWidth="1"/>
    <col min="33" max="33" width="3.28125" style="130" bestFit="1" customWidth="1"/>
    <col min="34" max="16384" width="4.421875" style="130" customWidth="1"/>
  </cols>
  <sheetData>
    <row r="1" spans="1:33" s="44" customFormat="1" ht="35.25" thickBot="1">
      <c r="A1" s="798" t="s">
        <v>393</v>
      </c>
      <c r="B1" s="791"/>
      <c r="C1" s="791"/>
      <c r="D1" s="791"/>
      <c r="E1" s="791"/>
      <c r="F1" s="791"/>
      <c r="G1" s="791"/>
      <c r="H1" s="791"/>
      <c r="I1" s="791"/>
      <c r="J1" s="43"/>
      <c r="K1" s="43"/>
      <c r="L1" s="43"/>
      <c r="M1" s="43"/>
      <c r="N1" s="43"/>
      <c r="O1" s="43"/>
      <c r="P1" s="43"/>
      <c r="Q1" s="43"/>
      <c r="R1" s="43"/>
      <c r="S1" s="43"/>
      <c r="T1" s="43"/>
      <c r="U1" s="43"/>
      <c r="V1" s="43"/>
      <c r="W1" s="43"/>
      <c r="X1" s="786"/>
      <c r="Y1" s="786"/>
      <c r="Z1" s="786"/>
      <c r="AA1" s="786"/>
      <c r="AB1" s="786"/>
      <c r="AC1" s="797" t="s">
        <v>178</v>
      </c>
      <c r="AD1" s="797"/>
      <c r="AE1" s="797"/>
      <c r="AF1" s="797"/>
      <c r="AG1" s="797"/>
    </row>
    <row r="2" spans="1:33" s="44" customFormat="1" ht="24" customHeight="1">
      <c r="A2" s="801" t="s">
        <v>174</v>
      </c>
      <c r="B2" s="781"/>
      <c r="C2" s="781"/>
      <c r="D2" s="781"/>
      <c r="E2" s="781"/>
      <c r="F2" s="781"/>
      <c r="G2" s="781"/>
      <c r="H2" s="781"/>
      <c r="I2" s="781"/>
      <c r="J2" s="45"/>
      <c r="K2" s="45"/>
      <c r="L2" s="45"/>
      <c r="M2" s="45"/>
      <c r="N2" s="45"/>
      <c r="O2" s="45"/>
      <c r="P2" s="45"/>
      <c r="Q2" s="45"/>
      <c r="R2" s="45"/>
      <c r="S2" s="45"/>
      <c r="T2" s="45"/>
      <c r="U2" s="45"/>
      <c r="V2" s="45"/>
      <c r="W2" s="45"/>
      <c r="X2" s="145"/>
      <c r="Y2" s="145"/>
      <c r="Z2" s="145"/>
      <c r="AA2" s="145"/>
      <c r="AB2" s="145"/>
      <c r="AC2" s="145"/>
      <c r="AD2" s="145"/>
      <c r="AE2" s="145"/>
      <c r="AF2" s="145"/>
      <c r="AG2" s="145"/>
    </row>
    <row r="3" spans="1:33" s="44" customFormat="1" ht="22.5" customHeight="1" thickBot="1">
      <c r="A3" s="749" t="s">
        <v>135</v>
      </c>
      <c r="B3" s="750"/>
      <c r="C3" s="750"/>
      <c r="D3" s="750"/>
      <c r="E3" s="750"/>
      <c r="F3" s="750"/>
      <c r="G3" s="750"/>
      <c r="H3" s="750"/>
      <c r="I3" s="750"/>
      <c r="J3" s="47"/>
      <c r="K3" s="47"/>
      <c r="L3" s="47"/>
      <c r="M3" s="47"/>
      <c r="N3" s="47"/>
      <c r="O3" s="47"/>
      <c r="P3" s="47"/>
      <c r="Q3" s="47"/>
      <c r="R3" s="47"/>
      <c r="S3" s="47"/>
      <c r="T3" s="47"/>
      <c r="U3" s="47"/>
      <c r="V3" s="47"/>
      <c r="W3" s="47"/>
      <c r="X3" s="146"/>
      <c r="Y3" s="147"/>
      <c r="Z3" s="148"/>
      <c r="AA3" s="149"/>
      <c r="AB3" s="150"/>
      <c r="AC3" s="146"/>
      <c r="AD3" s="147"/>
      <c r="AE3" s="148"/>
      <c r="AF3" s="149"/>
      <c r="AG3" s="150"/>
    </row>
    <row r="4" spans="1:33" s="44" customFormat="1" ht="32.25">
      <c r="A4" s="802" t="s">
        <v>416</v>
      </c>
      <c r="B4" s="803"/>
      <c r="C4" s="803"/>
      <c r="D4" s="803"/>
      <c r="E4" s="803"/>
      <c r="F4" s="48"/>
      <c r="G4" s="48"/>
      <c r="H4" s="48"/>
      <c r="I4" s="48"/>
      <c r="J4" s="48"/>
      <c r="K4" s="48"/>
      <c r="L4" s="48"/>
      <c r="M4" s="48"/>
      <c r="N4" s="48"/>
      <c r="O4" s="48"/>
      <c r="P4" s="48"/>
      <c r="Q4" s="48"/>
      <c r="R4" s="48"/>
      <c r="S4" s="48"/>
      <c r="T4" s="48"/>
      <c r="U4" s="48"/>
      <c r="V4" s="48"/>
      <c r="W4" s="48"/>
      <c r="X4" s="151"/>
      <c r="Y4" s="152"/>
      <c r="Z4" s="152"/>
      <c r="AA4" s="152"/>
      <c r="AB4" s="152"/>
      <c r="AC4" s="153"/>
      <c r="AD4" s="153"/>
      <c r="AE4" s="154"/>
      <c r="AF4" s="153"/>
      <c r="AG4" s="153"/>
    </row>
    <row r="5" spans="1:33" s="44" customFormat="1" ht="33" thickBot="1">
      <c r="A5" s="799" t="s">
        <v>415</v>
      </c>
      <c r="B5" s="800"/>
      <c r="C5" s="800"/>
      <c r="D5" s="800"/>
      <c r="E5" s="800"/>
      <c r="F5" s="50"/>
      <c r="G5" s="50"/>
      <c r="H5" s="50"/>
      <c r="I5" s="50"/>
      <c r="J5" s="50"/>
      <c r="K5" s="50"/>
      <c r="L5" s="50"/>
      <c r="M5" s="50"/>
      <c r="N5" s="50"/>
      <c r="O5" s="50"/>
      <c r="P5" s="50"/>
      <c r="Q5" s="50"/>
      <c r="R5" s="50"/>
      <c r="S5" s="50"/>
      <c r="T5" s="50"/>
      <c r="U5" s="50"/>
      <c r="V5" s="50"/>
      <c r="W5" s="50"/>
      <c r="X5" s="789"/>
      <c r="Y5" s="776"/>
      <c r="Z5" s="776"/>
      <c r="AA5" s="776"/>
      <c r="AB5" s="776"/>
      <c r="AC5" s="776"/>
      <c r="AD5" s="776"/>
      <c r="AE5" s="776"/>
      <c r="AF5" s="776"/>
      <c r="AG5" s="776"/>
    </row>
    <row r="6" spans="1:33" s="53" customFormat="1" ht="15.75" thickBot="1">
      <c r="A6" s="51"/>
      <c r="B6" s="52"/>
      <c r="C6" s="52"/>
      <c r="D6" s="783" t="s">
        <v>118</v>
      </c>
      <c r="E6" s="783"/>
      <c r="F6" s="783"/>
      <c r="G6" s="783"/>
      <c r="H6" s="783" t="s">
        <v>117</v>
      </c>
      <c r="I6" s="783"/>
      <c r="J6" s="783" t="s">
        <v>114</v>
      </c>
      <c r="K6" s="783"/>
      <c r="L6" s="783"/>
      <c r="M6" s="783"/>
      <c r="N6" s="783"/>
      <c r="O6" s="783"/>
      <c r="P6" s="783"/>
      <c r="Q6" s="783"/>
      <c r="R6" s="783"/>
      <c r="S6" s="783"/>
      <c r="T6" s="783"/>
      <c r="U6" s="783"/>
      <c r="V6" s="783" t="s">
        <v>115</v>
      </c>
      <c r="W6" s="783"/>
      <c r="X6" s="783" t="s">
        <v>120</v>
      </c>
      <c r="Y6" s="783"/>
      <c r="Z6" s="783" t="s">
        <v>119</v>
      </c>
      <c r="AA6" s="783"/>
      <c r="AB6" s="783" t="s">
        <v>124</v>
      </c>
      <c r="AC6" s="783"/>
      <c r="AD6" s="783" t="s">
        <v>116</v>
      </c>
      <c r="AE6" s="783"/>
      <c r="AF6" s="783"/>
      <c r="AG6" s="783"/>
    </row>
    <row r="7" spans="1:33" s="57" customFormat="1" ht="12.75">
      <c r="A7" s="54"/>
      <c r="B7" s="55"/>
      <c r="C7" s="55"/>
      <c r="D7" s="1"/>
      <c r="E7" s="56" t="s">
        <v>87</v>
      </c>
      <c r="F7" s="1"/>
      <c r="G7" s="1" t="s">
        <v>90</v>
      </c>
      <c r="H7" s="1" t="s">
        <v>90</v>
      </c>
      <c r="I7" s="1" t="s">
        <v>92</v>
      </c>
      <c r="J7" s="795" t="s">
        <v>2</v>
      </c>
      <c r="K7" s="796"/>
      <c r="L7" s="795" t="s">
        <v>3</v>
      </c>
      <c r="M7" s="796"/>
      <c r="N7" s="795" t="s">
        <v>4</v>
      </c>
      <c r="O7" s="796"/>
      <c r="P7" s="784" t="s">
        <v>11</v>
      </c>
      <c r="Q7" s="784"/>
      <c r="R7" s="784" t="s">
        <v>102</v>
      </c>
      <c r="S7" s="784"/>
      <c r="T7" s="784" t="s">
        <v>0</v>
      </c>
      <c r="U7" s="784"/>
      <c r="V7" s="784"/>
      <c r="W7" s="784"/>
      <c r="X7" s="794"/>
      <c r="Y7" s="794"/>
      <c r="Z7" s="784" t="s">
        <v>113</v>
      </c>
      <c r="AA7" s="784"/>
      <c r="AB7" s="784" t="s">
        <v>125</v>
      </c>
      <c r="AC7" s="784"/>
      <c r="AD7" s="784"/>
      <c r="AE7" s="784"/>
      <c r="AF7" s="55" t="s">
        <v>102</v>
      </c>
      <c r="AG7" s="55"/>
    </row>
    <row r="8" spans="1:33" s="57" customFormat="1" ht="13.5" thickBot="1">
      <c r="A8" s="58"/>
      <c r="B8" s="59"/>
      <c r="C8" s="59"/>
      <c r="D8" s="60" t="s">
        <v>9</v>
      </c>
      <c r="E8" s="61" t="s">
        <v>88</v>
      </c>
      <c r="F8" s="62" t="s">
        <v>1</v>
      </c>
      <c r="G8" s="62" t="s">
        <v>89</v>
      </c>
      <c r="H8" s="62" t="s">
        <v>91</v>
      </c>
      <c r="I8" s="62" t="s">
        <v>87</v>
      </c>
      <c r="J8" s="59" t="s">
        <v>7</v>
      </c>
      <c r="K8" s="59" t="s">
        <v>6</v>
      </c>
      <c r="L8" s="59" t="s">
        <v>7</v>
      </c>
      <c r="M8" s="59" t="s">
        <v>6</v>
      </c>
      <c r="N8" s="59" t="s">
        <v>7</v>
      </c>
      <c r="O8" s="59" t="s">
        <v>6</v>
      </c>
      <c r="P8" s="59" t="s">
        <v>7</v>
      </c>
      <c r="Q8" s="59" t="s">
        <v>6</v>
      </c>
      <c r="R8" s="59" t="s">
        <v>121</v>
      </c>
      <c r="S8" s="59" t="s">
        <v>103</v>
      </c>
      <c r="T8" s="59" t="s">
        <v>7</v>
      </c>
      <c r="U8" s="59" t="s">
        <v>5</v>
      </c>
      <c r="V8" s="59" t="s">
        <v>7</v>
      </c>
      <c r="W8" s="59" t="s">
        <v>6</v>
      </c>
      <c r="X8" s="63" t="s">
        <v>7</v>
      </c>
      <c r="Y8" s="63" t="s">
        <v>6</v>
      </c>
      <c r="Z8" s="59" t="s">
        <v>6</v>
      </c>
      <c r="AA8" s="59" t="s">
        <v>6</v>
      </c>
      <c r="AB8" s="64" t="s">
        <v>6</v>
      </c>
      <c r="AC8" s="65" t="s">
        <v>103</v>
      </c>
      <c r="AD8" s="59" t="s">
        <v>7</v>
      </c>
      <c r="AE8" s="59" t="s">
        <v>6</v>
      </c>
      <c r="AF8" s="59" t="s">
        <v>103</v>
      </c>
      <c r="AG8" s="59"/>
    </row>
    <row r="9" spans="1:33" s="71" customFormat="1" ht="12.75">
      <c r="A9" s="66"/>
      <c r="B9" s="66"/>
      <c r="C9" s="66"/>
      <c r="D9" s="66"/>
      <c r="E9" s="67" t="s">
        <v>94</v>
      </c>
      <c r="F9" s="66"/>
      <c r="G9" s="66" t="s">
        <v>97</v>
      </c>
      <c r="H9" s="66" t="s">
        <v>99</v>
      </c>
      <c r="I9" s="66" t="s">
        <v>100</v>
      </c>
      <c r="J9" s="804" t="s">
        <v>104</v>
      </c>
      <c r="K9" s="805"/>
      <c r="L9" s="804" t="s">
        <v>105</v>
      </c>
      <c r="M9" s="805"/>
      <c r="N9" s="804" t="s">
        <v>106</v>
      </c>
      <c r="O9" s="805"/>
      <c r="P9" s="785" t="s">
        <v>122</v>
      </c>
      <c r="Q9" s="785"/>
      <c r="R9" s="785" t="s">
        <v>108</v>
      </c>
      <c r="S9" s="785"/>
      <c r="T9" s="785" t="s">
        <v>123</v>
      </c>
      <c r="U9" s="785"/>
      <c r="V9" s="66"/>
      <c r="W9" s="66"/>
      <c r="X9" s="69"/>
      <c r="Y9" s="69"/>
      <c r="Z9" s="785" t="s">
        <v>112</v>
      </c>
      <c r="AA9" s="785"/>
      <c r="AB9" s="785" t="s">
        <v>126</v>
      </c>
      <c r="AC9" s="785"/>
      <c r="AD9" s="70"/>
      <c r="AE9" s="70"/>
      <c r="AF9" s="68" t="s">
        <v>108</v>
      </c>
      <c r="AG9" s="68"/>
    </row>
    <row r="10" spans="1:33" s="71" customFormat="1" ht="13.5" thickBot="1">
      <c r="A10" s="72"/>
      <c r="B10" s="73"/>
      <c r="C10" s="72"/>
      <c r="D10" s="73" t="s">
        <v>93</v>
      </c>
      <c r="E10" s="74" t="s">
        <v>95</v>
      </c>
      <c r="F10" s="72" t="s">
        <v>96</v>
      </c>
      <c r="G10" s="72" t="s">
        <v>98</v>
      </c>
      <c r="H10" s="72" t="s">
        <v>98</v>
      </c>
      <c r="I10" s="72" t="s">
        <v>101</v>
      </c>
      <c r="J10" s="75" t="s">
        <v>110</v>
      </c>
      <c r="K10" s="75" t="s">
        <v>107</v>
      </c>
      <c r="L10" s="75" t="s">
        <v>110</v>
      </c>
      <c r="M10" s="75" t="s">
        <v>107</v>
      </c>
      <c r="N10" s="75" t="s">
        <v>110</v>
      </c>
      <c r="O10" s="75" t="s">
        <v>107</v>
      </c>
      <c r="P10" s="75" t="s">
        <v>110</v>
      </c>
      <c r="Q10" s="75" t="s">
        <v>107</v>
      </c>
      <c r="R10" s="75" t="s">
        <v>107</v>
      </c>
      <c r="S10" s="75" t="s">
        <v>109</v>
      </c>
      <c r="T10" s="75" t="s">
        <v>110</v>
      </c>
      <c r="U10" s="75" t="s">
        <v>111</v>
      </c>
      <c r="V10" s="75" t="s">
        <v>110</v>
      </c>
      <c r="W10" s="75" t="s">
        <v>107</v>
      </c>
      <c r="X10" s="76" t="s">
        <v>110</v>
      </c>
      <c r="Y10" s="76" t="s">
        <v>107</v>
      </c>
      <c r="Z10" s="75" t="s">
        <v>107</v>
      </c>
      <c r="AA10" s="75" t="s">
        <v>107</v>
      </c>
      <c r="AB10" s="77" t="s">
        <v>107</v>
      </c>
      <c r="AC10" s="78" t="s">
        <v>109</v>
      </c>
      <c r="AD10" s="75" t="s">
        <v>107</v>
      </c>
      <c r="AE10" s="75" t="s">
        <v>109</v>
      </c>
      <c r="AF10" s="75" t="s">
        <v>109</v>
      </c>
      <c r="AG10" s="72"/>
    </row>
    <row r="11" spans="1:33" s="83" customFormat="1" ht="14.25" customHeight="1">
      <c r="A11" s="79">
        <v>1</v>
      </c>
      <c r="B11" s="80" t="s">
        <v>85</v>
      </c>
      <c r="C11" s="81"/>
      <c r="D11" s="720" t="s">
        <v>412</v>
      </c>
      <c r="E11" s="660">
        <v>40760</v>
      </c>
      <c r="F11" s="531" t="s">
        <v>10</v>
      </c>
      <c r="G11" s="555">
        <v>184</v>
      </c>
      <c r="H11" s="532">
        <v>195</v>
      </c>
      <c r="I11" s="532">
        <v>1</v>
      </c>
      <c r="J11" s="661">
        <v>657080</v>
      </c>
      <c r="K11" s="662">
        <v>57752</v>
      </c>
      <c r="L11" s="661">
        <v>884558</v>
      </c>
      <c r="M11" s="662">
        <v>75610</v>
      </c>
      <c r="N11" s="661">
        <v>869963</v>
      </c>
      <c r="O11" s="662">
        <v>75376</v>
      </c>
      <c r="P11" s="663">
        <f aca="true" t="shared" si="0" ref="P11:Q16">SUM(J11+L11+N11)</f>
        <v>2411601</v>
      </c>
      <c r="Q11" s="664">
        <f t="shared" si="0"/>
        <v>208738</v>
      </c>
      <c r="R11" s="533">
        <f>IF(P11&lt;&gt;0,Q11/H11,"")</f>
        <v>1070.451282051282</v>
      </c>
      <c r="S11" s="534">
        <f>+P11/Q11</f>
        <v>11.55324377928312</v>
      </c>
      <c r="T11" s="535"/>
      <c r="U11" s="536"/>
      <c r="V11" s="534">
        <f aca="true" t="shared" si="1" ref="V11:V30">X11-P11</f>
        <v>1835739</v>
      </c>
      <c r="W11" s="533">
        <f aca="true" t="shared" si="2" ref="W11:W30">Y11-Q11</f>
        <v>187551</v>
      </c>
      <c r="X11" s="593">
        <v>4247340</v>
      </c>
      <c r="Y11" s="594">
        <v>396289</v>
      </c>
      <c r="Z11" s="536">
        <f aca="true" t="shared" si="3" ref="Z11:Z30">Q11*1/Y11</f>
        <v>0.5267317538463091</v>
      </c>
      <c r="AA11" s="536">
        <f aca="true" t="shared" si="4" ref="AA11:AA30">W11*1/Y11</f>
        <v>0.47326824615369084</v>
      </c>
      <c r="AB11" s="533">
        <f aca="true" t="shared" si="5" ref="AB11:AB30">Y11/H11</f>
        <v>2032.251282051282</v>
      </c>
      <c r="AC11" s="534">
        <f aca="true" t="shared" si="6" ref="AC11:AC30">X11/Y11</f>
        <v>10.717784243317377</v>
      </c>
      <c r="AD11" s="587">
        <v>4253612</v>
      </c>
      <c r="AE11" s="588">
        <v>396620</v>
      </c>
      <c r="AF11" s="626">
        <f>+AD11/AE11</f>
        <v>10.724653320558721</v>
      </c>
      <c r="AG11" s="82">
        <v>1</v>
      </c>
    </row>
    <row r="12" spans="1:33" s="83" customFormat="1" ht="14.25" customHeight="1">
      <c r="A12" s="84">
        <v>2</v>
      </c>
      <c r="B12" s="85"/>
      <c r="C12" s="86"/>
      <c r="D12" s="499" t="s">
        <v>417</v>
      </c>
      <c r="E12" s="635">
        <v>40760</v>
      </c>
      <c r="F12" s="537" t="s">
        <v>32</v>
      </c>
      <c r="G12" s="25">
        <v>101</v>
      </c>
      <c r="H12" s="25">
        <v>137</v>
      </c>
      <c r="I12" s="25">
        <v>1</v>
      </c>
      <c r="J12" s="636">
        <v>187567.5</v>
      </c>
      <c r="K12" s="637">
        <v>17968</v>
      </c>
      <c r="L12" s="636">
        <v>247969.5</v>
      </c>
      <c r="M12" s="637">
        <v>21004</v>
      </c>
      <c r="N12" s="636">
        <v>255894.5</v>
      </c>
      <c r="O12" s="637">
        <v>22370</v>
      </c>
      <c r="P12" s="631">
        <f t="shared" si="0"/>
        <v>691431.5</v>
      </c>
      <c r="Q12" s="632">
        <f t="shared" si="0"/>
        <v>61342</v>
      </c>
      <c r="R12" s="218">
        <f>IF(P12&lt;&gt;0,Q12/H12,"")</f>
        <v>447.75182481751824</v>
      </c>
      <c r="S12" s="297">
        <f>IF(P12&lt;&gt;0,P12/Q12,"")</f>
        <v>11.271746927064655</v>
      </c>
      <c r="T12" s="28"/>
      <c r="U12" s="305"/>
      <c r="V12" s="297">
        <f t="shared" si="1"/>
        <v>431955.5</v>
      </c>
      <c r="W12" s="218">
        <f t="shared" si="2"/>
        <v>46824</v>
      </c>
      <c r="X12" s="597">
        <v>1123387</v>
      </c>
      <c r="Y12" s="598">
        <v>108166</v>
      </c>
      <c r="Z12" s="305">
        <f t="shared" si="3"/>
        <v>0.5671098126953017</v>
      </c>
      <c r="AA12" s="305">
        <f t="shared" si="4"/>
        <v>0.43289018730469836</v>
      </c>
      <c r="AB12" s="218">
        <f t="shared" si="5"/>
        <v>789.5328467153284</v>
      </c>
      <c r="AC12" s="297">
        <f t="shared" si="6"/>
        <v>10.385768171144353</v>
      </c>
      <c r="AD12" s="20">
        <f>1123387</f>
        <v>1123387</v>
      </c>
      <c r="AE12" s="21">
        <f>108166</f>
        <v>108166</v>
      </c>
      <c r="AF12" s="298">
        <f>+AD12/AE12</f>
        <v>10.385768171144353</v>
      </c>
      <c r="AG12" s="90">
        <v>2</v>
      </c>
    </row>
    <row r="13" spans="1:33" s="83" customFormat="1" ht="14.25" customHeight="1">
      <c r="A13" s="84">
        <v>3</v>
      </c>
      <c r="B13" s="91"/>
      <c r="C13" s="86"/>
      <c r="D13" s="568" t="s">
        <v>385</v>
      </c>
      <c r="E13" s="639">
        <v>40739</v>
      </c>
      <c r="F13" s="537" t="s">
        <v>10</v>
      </c>
      <c r="G13" s="16">
        <v>277</v>
      </c>
      <c r="H13" s="16">
        <v>295</v>
      </c>
      <c r="I13" s="16">
        <v>4</v>
      </c>
      <c r="J13" s="17">
        <v>84879</v>
      </c>
      <c r="K13" s="423">
        <v>8045</v>
      </c>
      <c r="L13" s="17">
        <v>116305</v>
      </c>
      <c r="M13" s="423">
        <v>10856</v>
      </c>
      <c r="N13" s="17">
        <v>125469</v>
      </c>
      <c r="O13" s="423">
        <v>11952</v>
      </c>
      <c r="P13" s="631">
        <f t="shared" si="0"/>
        <v>326653</v>
      </c>
      <c r="Q13" s="632">
        <f t="shared" si="0"/>
        <v>30853</v>
      </c>
      <c r="R13" s="218">
        <f>IF(P13&lt;&gt;0,Q13/H13,"")</f>
        <v>104.5864406779661</v>
      </c>
      <c r="S13" s="297">
        <f>+P13/Q13</f>
        <v>10.58739830810618</v>
      </c>
      <c r="T13" s="28">
        <v>565308</v>
      </c>
      <c r="U13" s="305">
        <f aca="true" t="shared" si="7" ref="U13:U23">IF(T13&lt;&gt;0,-(T13-P13)/T13,"")</f>
        <v>-0.42216809243810455</v>
      </c>
      <c r="V13" s="297">
        <f t="shared" si="1"/>
        <v>272406</v>
      </c>
      <c r="W13" s="218">
        <f t="shared" si="2"/>
        <v>30140</v>
      </c>
      <c r="X13" s="603">
        <v>599059</v>
      </c>
      <c r="Y13" s="604">
        <v>60993</v>
      </c>
      <c r="Z13" s="305">
        <f t="shared" si="3"/>
        <v>0.5058449330251013</v>
      </c>
      <c r="AA13" s="305">
        <f t="shared" si="4"/>
        <v>0.49415506697489875</v>
      </c>
      <c r="AB13" s="218">
        <f t="shared" si="5"/>
        <v>206.75593220338982</v>
      </c>
      <c r="AC13" s="297">
        <f t="shared" si="6"/>
        <v>9.821766432213533</v>
      </c>
      <c r="AD13" s="184">
        <v>7331807</v>
      </c>
      <c r="AE13" s="299">
        <v>723527</v>
      </c>
      <c r="AF13" s="309">
        <f>+AD13/AE13</f>
        <v>10.133425566703108</v>
      </c>
      <c r="AG13" s="90">
        <v>3</v>
      </c>
    </row>
    <row r="14" spans="1:33" s="83" customFormat="1" ht="14.25" customHeight="1">
      <c r="A14" s="84">
        <v>4</v>
      </c>
      <c r="B14" s="93" t="s">
        <v>85</v>
      </c>
      <c r="C14" s="94" t="s">
        <v>84</v>
      </c>
      <c r="D14" s="568" t="s">
        <v>261</v>
      </c>
      <c r="E14" s="639">
        <v>40723</v>
      </c>
      <c r="F14" s="537" t="s">
        <v>23</v>
      </c>
      <c r="G14" s="25">
        <v>323</v>
      </c>
      <c r="H14" s="25">
        <v>119</v>
      </c>
      <c r="I14" s="25">
        <v>6</v>
      </c>
      <c r="J14" s="538">
        <v>26440</v>
      </c>
      <c r="K14" s="539">
        <v>2588</v>
      </c>
      <c r="L14" s="538">
        <v>42608</v>
      </c>
      <c r="M14" s="539">
        <v>3966</v>
      </c>
      <c r="N14" s="538">
        <v>56007</v>
      </c>
      <c r="O14" s="539">
        <v>5426</v>
      </c>
      <c r="P14" s="631">
        <f t="shared" si="0"/>
        <v>125055</v>
      </c>
      <c r="Q14" s="632">
        <f t="shared" si="0"/>
        <v>11980</v>
      </c>
      <c r="R14" s="218">
        <f>IF(P14&lt;&gt;0,Q14/H14,"")</f>
        <v>100.67226890756302</v>
      </c>
      <c r="S14" s="297">
        <f>+P14/Q14</f>
        <v>10.43864774624374</v>
      </c>
      <c r="T14" s="28">
        <v>269587</v>
      </c>
      <c r="U14" s="305">
        <f t="shared" si="7"/>
        <v>-0.5361237745143498</v>
      </c>
      <c r="V14" s="297">
        <f t="shared" si="1"/>
        <v>93565</v>
      </c>
      <c r="W14" s="218">
        <f t="shared" si="2"/>
        <v>10411</v>
      </c>
      <c r="X14" s="595">
        <v>218620</v>
      </c>
      <c r="Y14" s="596">
        <v>22391</v>
      </c>
      <c r="Z14" s="305">
        <f t="shared" si="3"/>
        <v>0.53503639855299</v>
      </c>
      <c r="AA14" s="305">
        <f t="shared" si="4"/>
        <v>0.46496360144700993</v>
      </c>
      <c r="AB14" s="218">
        <f t="shared" si="5"/>
        <v>188.1596638655462</v>
      </c>
      <c r="AC14" s="297">
        <f t="shared" si="6"/>
        <v>9.763744361573847</v>
      </c>
      <c r="AD14" s="22">
        <v>6598898</v>
      </c>
      <c r="AE14" s="437">
        <v>609304</v>
      </c>
      <c r="AF14" s="298">
        <f>AD14/AE14</f>
        <v>10.830222680304084</v>
      </c>
      <c r="AG14" s="90">
        <v>4</v>
      </c>
    </row>
    <row r="15" spans="1:33" s="83" customFormat="1" ht="14.25" customHeight="1">
      <c r="A15" s="84">
        <v>5</v>
      </c>
      <c r="B15" s="95"/>
      <c r="C15" s="86"/>
      <c r="D15" s="569" t="s">
        <v>404</v>
      </c>
      <c r="E15" s="639">
        <v>40753</v>
      </c>
      <c r="F15" s="537" t="s">
        <v>32</v>
      </c>
      <c r="G15" s="25">
        <v>58</v>
      </c>
      <c r="H15" s="25">
        <v>57</v>
      </c>
      <c r="I15" s="25">
        <v>2</v>
      </c>
      <c r="J15" s="636">
        <v>11236.5</v>
      </c>
      <c r="K15" s="637">
        <v>1170</v>
      </c>
      <c r="L15" s="636">
        <v>20409</v>
      </c>
      <c r="M15" s="637">
        <v>2029</v>
      </c>
      <c r="N15" s="636">
        <v>27037</v>
      </c>
      <c r="O15" s="637">
        <v>2651</v>
      </c>
      <c r="P15" s="641">
        <f t="shared" si="0"/>
        <v>58682.5</v>
      </c>
      <c r="Q15" s="642">
        <f t="shared" si="0"/>
        <v>5850</v>
      </c>
      <c r="R15" s="437">
        <f>Q15/H15</f>
        <v>102.63157894736842</v>
      </c>
      <c r="S15" s="297">
        <f>IF(P15&lt;&gt;0,P15/Q15,"")</f>
        <v>10.031196581196582</v>
      </c>
      <c r="T15" s="512">
        <v>97171.5</v>
      </c>
      <c r="U15" s="305">
        <f t="shared" si="7"/>
        <v>-0.39609350478278094</v>
      </c>
      <c r="V15" s="297">
        <f t="shared" si="1"/>
        <v>49436</v>
      </c>
      <c r="W15" s="218">
        <f t="shared" si="2"/>
        <v>5891</v>
      </c>
      <c r="X15" s="597">
        <v>108118.5</v>
      </c>
      <c r="Y15" s="598">
        <v>11741</v>
      </c>
      <c r="Z15" s="305">
        <f t="shared" si="3"/>
        <v>0.4982539817732731</v>
      </c>
      <c r="AA15" s="305">
        <f t="shared" si="4"/>
        <v>0.5017460182267268</v>
      </c>
      <c r="AB15" s="218">
        <f t="shared" si="5"/>
        <v>205.98245614035088</v>
      </c>
      <c r="AC15" s="297">
        <f t="shared" si="6"/>
        <v>9.208627885188655</v>
      </c>
      <c r="AD15" s="20">
        <f>159826+108118.5</f>
        <v>267944.5</v>
      </c>
      <c r="AE15" s="21">
        <f>16534+11741</f>
        <v>28275</v>
      </c>
      <c r="AF15" s="309">
        <f>+AD15/AE15</f>
        <v>9.476374889478338</v>
      </c>
      <c r="AG15" s="90">
        <v>5</v>
      </c>
    </row>
    <row r="16" spans="1:33" s="83" customFormat="1" ht="14.25" customHeight="1">
      <c r="A16" s="84">
        <v>6</v>
      </c>
      <c r="B16" s="93" t="s">
        <v>85</v>
      </c>
      <c r="C16" s="94" t="s">
        <v>84</v>
      </c>
      <c r="D16" s="558" t="s">
        <v>358</v>
      </c>
      <c r="E16" s="643">
        <v>40732</v>
      </c>
      <c r="F16" s="537" t="s">
        <v>23</v>
      </c>
      <c r="G16" s="25">
        <v>81</v>
      </c>
      <c r="H16" s="25">
        <v>75</v>
      </c>
      <c r="I16" s="25">
        <v>5</v>
      </c>
      <c r="J16" s="538">
        <v>12536</v>
      </c>
      <c r="K16" s="539">
        <v>1184</v>
      </c>
      <c r="L16" s="538">
        <v>23011</v>
      </c>
      <c r="M16" s="539">
        <v>2030</v>
      </c>
      <c r="N16" s="538">
        <v>24711</v>
      </c>
      <c r="O16" s="539">
        <v>2315</v>
      </c>
      <c r="P16" s="631">
        <f t="shared" si="0"/>
        <v>60258</v>
      </c>
      <c r="Q16" s="632">
        <f t="shared" si="0"/>
        <v>5529</v>
      </c>
      <c r="R16" s="218">
        <f>IF(P16&lt;&gt;0,Q16/H16,"")</f>
        <v>73.72</v>
      </c>
      <c r="S16" s="297">
        <f>+P16/Q16</f>
        <v>10.898534997287031</v>
      </c>
      <c r="T16" s="28">
        <v>114524</v>
      </c>
      <c r="U16" s="305">
        <f t="shared" si="7"/>
        <v>-0.4738395445496141</v>
      </c>
      <c r="V16" s="297">
        <f t="shared" si="1"/>
        <v>46306</v>
      </c>
      <c r="W16" s="218">
        <f t="shared" si="2"/>
        <v>5162</v>
      </c>
      <c r="X16" s="595">
        <v>106564</v>
      </c>
      <c r="Y16" s="596">
        <v>10691</v>
      </c>
      <c r="Z16" s="305">
        <f t="shared" si="3"/>
        <v>0.5171639696941353</v>
      </c>
      <c r="AA16" s="305">
        <f t="shared" si="4"/>
        <v>0.48283603030586475</v>
      </c>
      <c r="AB16" s="218">
        <f t="shared" si="5"/>
        <v>142.54666666666665</v>
      </c>
      <c r="AC16" s="297">
        <f t="shared" si="6"/>
        <v>9.967636329623048</v>
      </c>
      <c r="AD16" s="22">
        <v>1191624</v>
      </c>
      <c r="AE16" s="437">
        <v>110921</v>
      </c>
      <c r="AF16" s="590">
        <f>+AD16/AE16</f>
        <v>10.742997268326105</v>
      </c>
      <c r="AG16" s="90">
        <v>6</v>
      </c>
    </row>
    <row r="17" spans="1:33" s="83" customFormat="1" ht="14.25" customHeight="1">
      <c r="A17" s="84">
        <v>7</v>
      </c>
      <c r="B17" s="91"/>
      <c r="C17" s="86"/>
      <c r="D17" s="559" t="s">
        <v>395</v>
      </c>
      <c r="E17" s="639">
        <v>40746</v>
      </c>
      <c r="F17" s="541" t="s">
        <v>8</v>
      </c>
      <c r="G17" s="18">
        <v>26</v>
      </c>
      <c r="H17" s="18">
        <v>27</v>
      </c>
      <c r="I17" s="18">
        <v>3</v>
      </c>
      <c r="J17" s="17">
        <v>10638</v>
      </c>
      <c r="K17" s="423">
        <v>848</v>
      </c>
      <c r="L17" s="17">
        <v>16228</v>
      </c>
      <c r="M17" s="423">
        <v>1300</v>
      </c>
      <c r="N17" s="17">
        <v>21466</v>
      </c>
      <c r="O17" s="423">
        <v>1606</v>
      </c>
      <c r="P17" s="631">
        <f>+J17+L17+N17</f>
        <v>48332</v>
      </c>
      <c r="Q17" s="632">
        <f>+K17+M17+O17</f>
        <v>3754</v>
      </c>
      <c r="R17" s="218">
        <f>IF(P17&lt;&gt;0,Q17/H17,"")</f>
        <v>139.03703703703704</v>
      </c>
      <c r="S17" s="297">
        <f>IF(P17&lt;&gt;0,P17/Q17,"")</f>
        <v>12.87480021310602</v>
      </c>
      <c r="T17" s="28">
        <v>68812</v>
      </c>
      <c r="U17" s="305">
        <f t="shared" si="7"/>
        <v>-0.297622507702145</v>
      </c>
      <c r="V17" s="297">
        <f t="shared" si="1"/>
        <v>34001</v>
      </c>
      <c r="W17" s="218">
        <f t="shared" si="2"/>
        <v>3330</v>
      </c>
      <c r="X17" s="599">
        <v>82333</v>
      </c>
      <c r="Y17" s="600">
        <v>7084</v>
      </c>
      <c r="Z17" s="305">
        <f t="shared" si="3"/>
        <v>0.5299265951439864</v>
      </c>
      <c r="AA17" s="305">
        <f t="shared" si="4"/>
        <v>0.47007340485601357</v>
      </c>
      <c r="AB17" s="218">
        <f t="shared" si="5"/>
        <v>262.3703703703704</v>
      </c>
      <c r="AC17" s="297">
        <f t="shared" si="6"/>
        <v>11.622388481084133</v>
      </c>
      <c r="AD17" s="17">
        <v>340620</v>
      </c>
      <c r="AE17" s="423">
        <v>28247</v>
      </c>
      <c r="AF17" s="298">
        <f>AD17/AE17</f>
        <v>12.058625694764046</v>
      </c>
      <c r="AG17" s="90">
        <v>7</v>
      </c>
    </row>
    <row r="18" spans="1:33" s="83" customFormat="1" ht="14.25" customHeight="1">
      <c r="A18" s="84">
        <v>8</v>
      </c>
      <c r="B18" s="93" t="s">
        <v>85</v>
      </c>
      <c r="C18" s="86"/>
      <c r="D18" s="559" t="s">
        <v>419</v>
      </c>
      <c r="E18" s="639">
        <v>40760</v>
      </c>
      <c r="F18" s="541" t="s">
        <v>8</v>
      </c>
      <c r="G18" s="18">
        <v>15</v>
      </c>
      <c r="H18" s="18">
        <v>15</v>
      </c>
      <c r="I18" s="18">
        <v>1</v>
      </c>
      <c r="J18" s="17">
        <v>9750</v>
      </c>
      <c r="K18" s="423">
        <v>643</v>
      </c>
      <c r="L18" s="17">
        <v>16209</v>
      </c>
      <c r="M18" s="423">
        <v>1069</v>
      </c>
      <c r="N18" s="17">
        <v>17901</v>
      </c>
      <c r="O18" s="423">
        <v>1170</v>
      </c>
      <c r="P18" s="631">
        <f>SUM(J18+L18+N18)</f>
        <v>43860</v>
      </c>
      <c r="Q18" s="632">
        <f>SUM(K18+M18+O18)</f>
        <v>2882</v>
      </c>
      <c r="R18" s="218">
        <f>IF(P18&lt;&gt;0,Q18/H18,"")</f>
        <v>192.13333333333333</v>
      </c>
      <c r="S18" s="297">
        <f>IF(P18&lt;&gt;0,P18/Q18,"")</f>
        <v>15.218598195697432</v>
      </c>
      <c r="T18" s="28"/>
      <c r="U18" s="305">
        <f t="shared" si="7"/>
      </c>
      <c r="V18" s="297">
        <f t="shared" si="1"/>
        <v>26409</v>
      </c>
      <c r="W18" s="218">
        <f t="shared" si="2"/>
        <v>2227</v>
      </c>
      <c r="X18" s="599">
        <v>70269</v>
      </c>
      <c r="Y18" s="600">
        <v>5109</v>
      </c>
      <c r="Z18" s="305">
        <f t="shared" si="3"/>
        <v>0.5641025641025641</v>
      </c>
      <c r="AA18" s="305">
        <f t="shared" si="4"/>
        <v>0.4358974358974359</v>
      </c>
      <c r="AB18" s="218">
        <f t="shared" si="5"/>
        <v>340.6</v>
      </c>
      <c r="AC18" s="297">
        <f t="shared" si="6"/>
        <v>13.75396359365825</v>
      </c>
      <c r="AD18" s="17">
        <v>70269</v>
      </c>
      <c r="AE18" s="423">
        <v>5109</v>
      </c>
      <c r="AF18" s="309">
        <f>+AD18/AE18</f>
        <v>13.75396359365825</v>
      </c>
      <c r="AG18" s="90">
        <v>8</v>
      </c>
    </row>
    <row r="19" spans="1:33" s="83" customFormat="1" ht="14.25" customHeight="1">
      <c r="A19" s="84">
        <v>9</v>
      </c>
      <c r="B19" s="85"/>
      <c r="C19" s="86"/>
      <c r="D19" s="566" t="s">
        <v>418</v>
      </c>
      <c r="E19" s="635">
        <v>40760</v>
      </c>
      <c r="F19" s="537" t="s">
        <v>21</v>
      </c>
      <c r="G19" s="16">
        <v>218</v>
      </c>
      <c r="H19" s="16">
        <v>50</v>
      </c>
      <c r="I19" s="16">
        <v>1</v>
      </c>
      <c r="J19" s="17">
        <v>7629</v>
      </c>
      <c r="K19" s="423">
        <v>725</v>
      </c>
      <c r="L19" s="17">
        <v>13424.5</v>
      </c>
      <c r="M19" s="423">
        <v>1226</v>
      </c>
      <c r="N19" s="17">
        <v>15379</v>
      </c>
      <c r="O19" s="423">
        <v>1458</v>
      </c>
      <c r="P19" s="631">
        <f>SUM(J19+L19+N19)</f>
        <v>36432.5</v>
      </c>
      <c r="Q19" s="632">
        <f>SUM(K19+M19+O19)</f>
        <v>3409</v>
      </c>
      <c r="R19" s="437">
        <f>Q19/H19</f>
        <v>68.18</v>
      </c>
      <c r="S19" s="297">
        <f>IF(P19&lt;&gt;0,P19/Q19,"")</f>
        <v>10.68715165737753</v>
      </c>
      <c r="T19" s="28"/>
      <c r="U19" s="305">
        <f t="shared" si="7"/>
      </c>
      <c r="V19" s="297">
        <f t="shared" si="1"/>
        <v>31102.5</v>
      </c>
      <c r="W19" s="218">
        <f t="shared" si="2"/>
        <v>3491</v>
      </c>
      <c r="X19" s="605">
        <v>67535</v>
      </c>
      <c r="Y19" s="606">
        <v>6900</v>
      </c>
      <c r="Z19" s="305">
        <f t="shared" si="3"/>
        <v>0.4940579710144928</v>
      </c>
      <c r="AA19" s="305">
        <f t="shared" si="4"/>
        <v>0.5059420289855072</v>
      </c>
      <c r="AB19" s="218">
        <f t="shared" si="5"/>
        <v>138</v>
      </c>
      <c r="AC19" s="297">
        <f t="shared" si="6"/>
        <v>9.78768115942029</v>
      </c>
      <c r="AD19" s="28">
        <v>67535</v>
      </c>
      <c r="AE19" s="23">
        <v>6900</v>
      </c>
      <c r="AF19" s="298">
        <f>+AD19/AE19</f>
        <v>9.78768115942029</v>
      </c>
      <c r="AG19" s="90">
        <v>9</v>
      </c>
    </row>
    <row r="20" spans="1:33" s="83" customFormat="1" ht="14.25" customHeight="1">
      <c r="A20" s="84">
        <v>10</v>
      </c>
      <c r="B20" s="91"/>
      <c r="C20" s="86"/>
      <c r="D20" s="569" t="s">
        <v>13</v>
      </c>
      <c r="E20" s="635">
        <v>40585</v>
      </c>
      <c r="F20" s="537" t="s">
        <v>32</v>
      </c>
      <c r="G20" s="25">
        <v>58</v>
      </c>
      <c r="H20" s="25">
        <v>56</v>
      </c>
      <c r="I20" s="25">
        <v>26</v>
      </c>
      <c r="J20" s="636">
        <v>6128.5</v>
      </c>
      <c r="K20" s="637">
        <v>919</v>
      </c>
      <c r="L20" s="636">
        <v>11253.5</v>
      </c>
      <c r="M20" s="637">
        <v>1524</v>
      </c>
      <c r="N20" s="636">
        <v>14420</v>
      </c>
      <c r="O20" s="637">
        <v>1988</v>
      </c>
      <c r="P20" s="631">
        <f>+J20+L20+N20</f>
        <v>31802</v>
      </c>
      <c r="Q20" s="632">
        <f>+K20+M20+O20</f>
        <v>4431</v>
      </c>
      <c r="R20" s="539">
        <f>+Q20/H20</f>
        <v>79.125</v>
      </c>
      <c r="S20" s="538">
        <f>+P20/Q20</f>
        <v>7.177160911758068</v>
      </c>
      <c r="T20" s="28">
        <v>50185.5</v>
      </c>
      <c r="U20" s="305">
        <f t="shared" si="7"/>
        <v>-0.36631098624104574</v>
      </c>
      <c r="V20" s="297">
        <f t="shared" si="1"/>
        <v>31673</v>
      </c>
      <c r="W20" s="218">
        <f t="shared" si="2"/>
        <v>4838</v>
      </c>
      <c r="X20" s="597">
        <v>63475</v>
      </c>
      <c r="Y20" s="598">
        <v>9269</v>
      </c>
      <c r="Z20" s="305">
        <f t="shared" si="3"/>
        <v>0.47804509655842053</v>
      </c>
      <c r="AA20" s="305">
        <f t="shared" si="4"/>
        <v>0.5219549034415795</v>
      </c>
      <c r="AB20" s="218">
        <f t="shared" si="5"/>
        <v>165.51785714285714</v>
      </c>
      <c r="AC20" s="297">
        <f t="shared" si="6"/>
        <v>6.848095803215018</v>
      </c>
      <c r="AD20" s="20">
        <f>236018+209847.25+105622+138051.5+64189.5+34454+20202.5+27754+16946+8179.5+9672.5+8494+21812+25095+12109+8066+3824+4092+15394+226700+172575.5+127465+93972+96529+77366.5+63475.5</f>
        <v>1827906.25</v>
      </c>
      <c r="AE20" s="21">
        <f>25731+24506+13184+19079+9581+4996+3067+4392+3122+1175+1530+1410+3175+3587+1436+923+420+447+1629+25969+20073+15455+11876+13635+10490+9269</f>
        <v>230157</v>
      </c>
      <c r="AF20" s="309">
        <f>+AD20/AE20</f>
        <v>7.9419972019100005</v>
      </c>
      <c r="AG20" s="90">
        <v>10</v>
      </c>
    </row>
    <row r="21" spans="1:33" s="83" customFormat="1" ht="14.25" customHeight="1">
      <c r="A21" s="84">
        <v>11</v>
      </c>
      <c r="B21" s="93" t="s">
        <v>85</v>
      </c>
      <c r="C21" s="94" t="s">
        <v>84</v>
      </c>
      <c r="D21" s="568" t="s">
        <v>420</v>
      </c>
      <c r="E21" s="646">
        <v>40760</v>
      </c>
      <c r="F21" s="545" t="s">
        <v>64</v>
      </c>
      <c r="G21" s="547">
        <v>15</v>
      </c>
      <c r="H21" s="547">
        <v>15</v>
      </c>
      <c r="I21" s="547">
        <v>1</v>
      </c>
      <c r="J21" s="512">
        <v>2920</v>
      </c>
      <c r="K21" s="437">
        <v>330</v>
      </c>
      <c r="L21" s="512">
        <v>6143</v>
      </c>
      <c r="M21" s="437">
        <v>656</v>
      </c>
      <c r="N21" s="512">
        <v>8892</v>
      </c>
      <c r="O21" s="437">
        <v>954</v>
      </c>
      <c r="P21" s="631">
        <f>SUM(J21+L21+N21)</f>
        <v>17955</v>
      </c>
      <c r="Q21" s="632">
        <f>SUM(K21+M21+O21)</f>
        <v>1940</v>
      </c>
      <c r="R21" s="218">
        <f>IF(P21&lt;&gt;0,Q21/H21,"")</f>
        <v>129.33333333333334</v>
      </c>
      <c r="S21" s="297">
        <f>IF(P21&lt;&gt;0,P21/Q21,"")</f>
        <v>9.255154639175258</v>
      </c>
      <c r="T21" s="549"/>
      <c r="U21" s="305">
        <f t="shared" si="7"/>
      </c>
      <c r="V21" s="297">
        <f t="shared" si="1"/>
        <v>13925</v>
      </c>
      <c r="W21" s="218">
        <f t="shared" si="2"/>
        <v>1696</v>
      </c>
      <c r="X21" s="601">
        <v>31880</v>
      </c>
      <c r="Y21" s="602">
        <v>3636</v>
      </c>
      <c r="Z21" s="305">
        <f t="shared" si="3"/>
        <v>0.5335533553355336</v>
      </c>
      <c r="AA21" s="305">
        <f t="shared" si="4"/>
        <v>0.46644664466446645</v>
      </c>
      <c r="AB21" s="218">
        <f t="shared" si="5"/>
        <v>242.4</v>
      </c>
      <c r="AC21" s="297">
        <f t="shared" si="6"/>
        <v>8.767876787678768</v>
      </c>
      <c r="AD21" s="512">
        <v>31880</v>
      </c>
      <c r="AE21" s="437">
        <v>3636</v>
      </c>
      <c r="AF21" s="298">
        <f>AD21/AE21</f>
        <v>8.767876787678768</v>
      </c>
      <c r="AG21" s="90">
        <v>11</v>
      </c>
    </row>
    <row r="22" spans="1:33" s="83" customFormat="1" ht="14.25" customHeight="1">
      <c r="A22" s="84">
        <v>12</v>
      </c>
      <c r="B22" s="95"/>
      <c r="C22" s="94" t="s">
        <v>84</v>
      </c>
      <c r="D22" s="568" t="s">
        <v>232</v>
      </c>
      <c r="E22" s="635">
        <v>40704</v>
      </c>
      <c r="F22" s="537" t="s">
        <v>23</v>
      </c>
      <c r="G22" s="25">
        <v>144</v>
      </c>
      <c r="H22" s="25">
        <v>34</v>
      </c>
      <c r="I22" s="25">
        <v>9</v>
      </c>
      <c r="J22" s="538">
        <v>3743</v>
      </c>
      <c r="K22" s="539">
        <v>562</v>
      </c>
      <c r="L22" s="538">
        <v>5590</v>
      </c>
      <c r="M22" s="539">
        <v>816</v>
      </c>
      <c r="N22" s="538">
        <v>6039</v>
      </c>
      <c r="O22" s="539">
        <v>889</v>
      </c>
      <c r="P22" s="631">
        <f>SUM(J22+L22+N22)</f>
        <v>15372</v>
      </c>
      <c r="Q22" s="632">
        <f>SUM(K22+M22+O22)</f>
        <v>2267</v>
      </c>
      <c r="R22" s="218">
        <f>IF(P22&lt;&gt;0,Q22/H22,"")</f>
        <v>66.67647058823529</v>
      </c>
      <c r="S22" s="297">
        <f>+P22/Q22</f>
        <v>6.7807675341861495</v>
      </c>
      <c r="T22" s="28">
        <v>60219</v>
      </c>
      <c r="U22" s="305">
        <f t="shared" si="7"/>
        <v>-0.7447317291884621</v>
      </c>
      <c r="V22" s="297">
        <f t="shared" si="1"/>
        <v>13419</v>
      </c>
      <c r="W22" s="218">
        <f t="shared" si="2"/>
        <v>1906</v>
      </c>
      <c r="X22" s="595">
        <v>28791</v>
      </c>
      <c r="Y22" s="596">
        <v>4173</v>
      </c>
      <c r="Z22" s="305">
        <f t="shared" si="3"/>
        <v>0.5432542535346274</v>
      </c>
      <c r="AA22" s="305">
        <f t="shared" si="4"/>
        <v>0.45674574646537264</v>
      </c>
      <c r="AB22" s="218">
        <f t="shared" si="5"/>
        <v>122.73529411764706</v>
      </c>
      <c r="AC22" s="297">
        <f t="shared" si="6"/>
        <v>6.899352983465133</v>
      </c>
      <c r="AD22" s="22">
        <v>3632808</v>
      </c>
      <c r="AE22" s="437">
        <v>327586</v>
      </c>
      <c r="AF22" s="309">
        <f>+AD22/AE22</f>
        <v>11.089631425030374</v>
      </c>
      <c r="AG22" s="90">
        <v>12</v>
      </c>
    </row>
    <row r="23" spans="1:33" s="83" customFormat="1" ht="14.25" customHeight="1">
      <c r="A23" s="84">
        <v>13</v>
      </c>
      <c r="B23" s="93" t="s">
        <v>85</v>
      </c>
      <c r="C23" s="86"/>
      <c r="D23" s="566" t="s">
        <v>360</v>
      </c>
      <c r="E23" s="635">
        <v>40732</v>
      </c>
      <c r="F23" s="537" t="s">
        <v>21</v>
      </c>
      <c r="G23" s="16">
        <v>23</v>
      </c>
      <c r="H23" s="16">
        <v>23</v>
      </c>
      <c r="I23" s="16">
        <v>5</v>
      </c>
      <c r="J23" s="17">
        <v>2410</v>
      </c>
      <c r="K23" s="423">
        <v>336</v>
      </c>
      <c r="L23" s="17">
        <v>5084.5</v>
      </c>
      <c r="M23" s="423">
        <v>654</v>
      </c>
      <c r="N23" s="17">
        <v>6413.5</v>
      </c>
      <c r="O23" s="423">
        <v>840</v>
      </c>
      <c r="P23" s="631">
        <f>+J23+L23+N23</f>
        <v>13908</v>
      </c>
      <c r="Q23" s="632">
        <f>+K23+M23+O23</f>
        <v>1830</v>
      </c>
      <c r="R23" s="539">
        <f>+Q23/H23</f>
        <v>79.56521739130434</v>
      </c>
      <c r="S23" s="297">
        <f>+P23/Q23</f>
        <v>7.6</v>
      </c>
      <c r="T23" s="28">
        <v>14075</v>
      </c>
      <c r="U23" s="305">
        <f t="shared" si="7"/>
        <v>-0.011865008880994671</v>
      </c>
      <c r="V23" s="297">
        <f t="shared" si="1"/>
        <v>13127</v>
      </c>
      <c r="W23" s="218">
        <f t="shared" si="2"/>
        <v>1909</v>
      </c>
      <c r="X23" s="605">
        <v>27035</v>
      </c>
      <c r="Y23" s="606">
        <v>3739</v>
      </c>
      <c r="Z23" s="305">
        <f t="shared" si="3"/>
        <v>0.489435677988767</v>
      </c>
      <c r="AA23" s="305">
        <f t="shared" si="4"/>
        <v>0.5105643220112329</v>
      </c>
      <c r="AB23" s="218">
        <f t="shared" si="5"/>
        <v>162.56521739130434</v>
      </c>
      <c r="AC23" s="297">
        <f t="shared" si="6"/>
        <v>7.23054292591602</v>
      </c>
      <c r="AD23" s="28">
        <f>63653+42613.5+25162+24678+27035</f>
        <v>183141.5</v>
      </c>
      <c r="AE23" s="23">
        <f>5385+3679+2937+3272+3739</f>
        <v>19012</v>
      </c>
      <c r="AF23" s="298">
        <f>AD23/AE23</f>
        <v>9.632942352198612</v>
      </c>
      <c r="AG23" s="90">
        <v>13</v>
      </c>
    </row>
    <row r="24" spans="1:33" s="83" customFormat="1" ht="14.25" customHeight="1">
      <c r="A24" s="84">
        <v>14</v>
      </c>
      <c r="B24" s="103"/>
      <c r="C24" s="86"/>
      <c r="D24" s="698" t="s">
        <v>425</v>
      </c>
      <c r="E24" s="648">
        <v>40760</v>
      </c>
      <c r="F24" s="537" t="s">
        <v>32</v>
      </c>
      <c r="G24" s="649">
        <v>8</v>
      </c>
      <c r="H24" s="25">
        <v>8</v>
      </c>
      <c r="I24" s="649">
        <v>1</v>
      </c>
      <c r="J24" s="636">
        <v>3189</v>
      </c>
      <c r="K24" s="637">
        <v>213</v>
      </c>
      <c r="L24" s="636">
        <v>5185</v>
      </c>
      <c r="M24" s="637">
        <v>358</v>
      </c>
      <c r="N24" s="636">
        <v>5381.5</v>
      </c>
      <c r="O24" s="637">
        <v>359</v>
      </c>
      <c r="P24" s="641">
        <f aca="true" t="shared" si="8" ref="P24:Q26">SUM(J24+L24+N24)</f>
        <v>13755.5</v>
      </c>
      <c r="Q24" s="642">
        <f t="shared" si="8"/>
        <v>930</v>
      </c>
      <c r="R24" s="437">
        <f>Q24/H24</f>
        <v>116.25</v>
      </c>
      <c r="S24" s="297">
        <f>IF(P24&lt;&gt;0,P24/Q24,"")</f>
        <v>14.790860215053764</v>
      </c>
      <c r="T24" s="512"/>
      <c r="U24" s="305"/>
      <c r="V24" s="297">
        <f t="shared" si="1"/>
        <v>9460.5</v>
      </c>
      <c r="W24" s="218">
        <f t="shared" si="2"/>
        <v>773</v>
      </c>
      <c r="X24" s="597">
        <v>23216</v>
      </c>
      <c r="Y24" s="598">
        <v>1703</v>
      </c>
      <c r="Z24" s="305">
        <f t="shared" si="3"/>
        <v>0.546095126247798</v>
      </c>
      <c r="AA24" s="305">
        <f t="shared" si="4"/>
        <v>0.453904873752202</v>
      </c>
      <c r="AB24" s="218">
        <f t="shared" si="5"/>
        <v>212.875</v>
      </c>
      <c r="AC24" s="297">
        <f t="shared" si="6"/>
        <v>13.632413388138579</v>
      </c>
      <c r="AD24" s="20">
        <f>23216</f>
        <v>23216</v>
      </c>
      <c r="AE24" s="21">
        <f>1703</f>
        <v>1703</v>
      </c>
      <c r="AF24" s="298">
        <f>+AD24/AE24</f>
        <v>13.632413388138579</v>
      </c>
      <c r="AG24" s="90">
        <v>14</v>
      </c>
    </row>
    <row r="25" spans="1:33" s="83" customFormat="1" ht="14.25" customHeight="1">
      <c r="A25" s="84">
        <v>15</v>
      </c>
      <c r="B25" s="95"/>
      <c r="C25" s="86"/>
      <c r="D25" s="569" t="s">
        <v>244</v>
      </c>
      <c r="E25" s="635">
        <v>40718</v>
      </c>
      <c r="F25" s="537" t="s">
        <v>32</v>
      </c>
      <c r="G25" s="25">
        <v>42</v>
      </c>
      <c r="H25" s="25">
        <v>28</v>
      </c>
      <c r="I25" s="25">
        <v>7</v>
      </c>
      <c r="J25" s="636">
        <v>2271</v>
      </c>
      <c r="K25" s="637">
        <v>367</v>
      </c>
      <c r="L25" s="636">
        <v>2988.5</v>
      </c>
      <c r="M25" s="637">
        <v>439</v>
      </c>
      <c r="N25" s="636">
        <v>4343</v>
      </c>
      <c r="O25" s="637">
        <v>628</v>
      </c>
      <c r="P25" s="631">
        <f t="shared" si="8"/>
        <v>9602.5</v>
      </c>
      <c r="Q25" s="632">
        <f t="shared" si="8"/>
        <v>1434</v>
      </c>
      <c r="R25" s="539">
        <f>+Q25/H25</f>
        <v>51.214285714285715</v>
      </c>
      <c r="S25" s="538">
        <f>+P25/Q25</f>
        <v>6.696304044630405</v>
      </c>
      <c r="T25" s="28">
        <v>27951</v>
      </c>
      <c r="U25" s="305">
        <f aca="true" t="shared" si="9" ref="U25:U30">IF(T25&lt;&gt;0,-(T25-P25)/T25,"")</f>
        <v>-0.6564523630639333</v>
      </c>
      <c r="V25" s="297">
        <f t="shared" si="1"/>
        <v>11163.5</v>
      </c>
      <c r="W25" s="218">
        <f t="shared" si="2"/>
        <v>1811</v>
      </c>
      <c r="X25" s="597">
        <v>20766</v>
      </c>
      <c r="Y25" s="598">
        <v>3245</v>
      </c>
      <c r="Z25" s="305">
        <f t="shared" si="3"/>
        <v>0.4419106317411402</v>
      </c>
      <c r="AA25" s="305">
        <f t="shared" si="4"/>
        <v>0.5580893682588598</v>
      </c>
      <c r="AB25" s="218">
        <f t="shared" si="5"/>
        <v>115.89285714285714</v>
      </c>
      <c r="AC25" s="297">
        <f t="shared" si="6"/>
        <v>6.3993836671802775</v>
      </c>
      <c r="AD25" s="20">
        <f>206744+133125+83915.5+50898.5+53053.5+49526+20766</f>
        <v>598028.5</v>
      </c>
      <c r="AE25" s="21">
        <f>19325+12664+8208+6197+7341+6951+3245</f>
        <v>63931</v>
      </c>
      <c r="AF25" s="309">
        <f>+AD25/AE25</f>
        <v>9.354280396051994</v>
      </c>
      <c r="AG25" s="90">
        <v>15</v>
      </c>
    </row>
    <row r="26" spans="1:33" s="83" customFormat="1" ht="14.25" customHeight="1">
      <c r="A26" s="84">
        <v>16</v>
      </c>
      <c r="B26" s="93" t="s">
        <v>85</v>
      </c>
      <c r="C26" s="86"/>
      <c r="D26" s="566" t="s">
        <v>263</v>
      </c>
      <c r="E26" s="639">
        <v>40725</v>
      </c>
      <c r="F26" s="537" t="s">
        <v>64</v>
      </c>
      <c r="G26" s="547">
        <v>18</v>
      </c>
      <c r="H26" s="547">
        <v>18</v>
      </c>
      <c r="I26" s="547">
        <v>6</v>
      </c>
      <c r="J26" s="512">
        <v>2399</v>
      </c>
      <c r="K26" s="437">
        <v>288</v>
      </c>
      <c r="L26" s="512">
        <v>3148.5</v>
      </c>
      <c r="M26" s="437">
        <v>368</v>
      </c>
      <c r="N26" s="512">
        <v>4755</v>
      </c>
      <c r="O26" s="437">
        <v>532</v>
      </c>
      <c r="P26" s="631">
        <f t="shared" si="8"/>
        <v>10302.5</v>
      </c>
      <c r="Q26" s="632">
        <f t="shared" si="8"/>
        <v>1188</v>
      </c>
      <c r="R26" s="539">
        <f>+Q26/H26</f>
        <v>66</v>
      </c>
      <c r="S26" s="297">
        <f>IF(P26&lt;&gt;0,P26/Q26,"")</f>
        <v>8.672138047138047</v>
      </c>
      <c r="T26" s="28">
        <v>17357</v>
      </c>
      <c r="U26" s="305">
        <f t="shared" si="9"/>
        <v>-0.40643544391311864</v>
      </c>
      <c r="V26" s="297">
        <f t="shared" si="1"/>
        <v>10380.5</v>
      </c>
      <c r="W26" s="218">
        <f t="shared" si="2"/>
        <v>1403</v>
      </c>
      <c r="X26" s="601">
        <v>20683</v>
      </c>
      <c r="Y26" s="602">
        <v>2591</v>
      </c>
      <c r="Z26" s="305">
        <f t="shared" si="3"/>
        <v>0.4585102277113084</v>
      </c>
      <c r="AA26" s="305">
        <f t="shared" si="4"/>
        <v>0.5414897722886917</v>
      </c>
      <c r="AB26" s="218">
        <f t="shared" si="5"/>
        <v>143.94444444444446</v>
      </c>
      <c r="AC26" s="297">
        <f t="shared" si="6"/>
        <v>7.982632188344269</v>
      </c>
      <c r="AD26" s="512">
        <v>177418</v>
      </c>
      <c r="AE26" s="437">
        <v>17719</v>
      </c>
      <c r="AF26" s="309">
        <f>+AD26/AE26</f>
        <v>10.012867543315085</v>
      </c>
      <c r="AG26" s="90">
        <v>16</v>
      </c>
    </row>
    <row r="27" spans="1:33" s="83" customFormat="1" ht="14.25" customHeight="1">
      <c r="A27" s="84">
        <v>17</v>
      </c>
      <c r="B27" s="103"/>
      <c r="C27" s="86"/>
      <c r="D27" s="566" t="s">
        <v>396</v>
      </c>
      <c r="E27" s="646">
        <v>40746</v>
      </c>
      <c r="F27" s="537" t="s">
        <v>21</v>
      </c>
      <c r="G27" s="16">
        <v>23</v>
      </c>
      <c r="H27" s="16">
        <v>23</v>
      </c>
      <c r="I27" s="16">
        <v>3</v>
      </c>
      <c r="J27" s="17">
        <v>1566</v>
      </c>
      <c r="K27" s="423">
        <v>176</v>
      </c>
      <c r="L27" s="17">
        <v>3002</v>
      </c>
      <c r="M27" s="423">
        <v>338</v>
      </c>
      <c r="N27" s="17">
        <v>4746</v>
      </c>
      <c r="O27" s="423">
        <v>534</v>
      </c>
      <c r="P27" s="650">
        <f>J27+L27+N27</f>
        <v>9314</v>
      </c>
      <c r="Q27" s="651">
        <f>K27+M27+O27</f>
        <v>1048</v>
      </c>
      <c r="R27" s="218">
        <f>Q27/H27</f>
        <v>45.56521739130435</v>
      </c>
      <c r="S27" s="297">
        <f>P27/Q27</f>
        <v>8.88740458015267</v>
      </c>
      <c r="T27" s="538">
        <v>16567.5</v>
      </c>
      <c r="U27" s="305">
        <f t="shared" si="9"/>
        <v>-0.4378149992455108</v>
      </c>
      <c r="V27" s="297">
        <f t="shared" si="1"/>
        <v>8383.5</v>
      </c>
      <c r="W27" s="218">
        <f t="shared" si="2"/>
        <v>1060</v>
      </c>
      <c r="X27" s="605">
        <v>17697.5</v>
      </c>
      <c r="Y27" s="606">
        <v>2108</v>
      </c>
      <c r="Z27" s="305">
        <f t="shared" si="3"/>
        <v>0.4971537001897533</v>
      </c>
      <c r="AA27" s="305">
        <f t="shared" si="4"/>
        <v>0.5028462998102466</v>
      </c>
      <c r="AB27" s="218">
        <f t="shared" si="5"/>
        <v>91.65217391304348</v>
      </c>
      <c r="AC27" s="297">
        <f t="shared" si="6"/>
        <v>8.395398481973434</v>
      </c>
      <c r="AD27" s="28">
        <f>47685+27229.5+17697.5</f>
        <v>92612</v>
      </c>
      <c r="AE27" s="23">
        <f>4321+2419+2108</f>
        <v>8848</v>
      </c>
      <c r="AF27" s="298">
        <f>AD27/AE27</f>
        <v>10.466998191681736</v>
      </c>
      <c r="AG27" s="90">
        <v>17</v>
      </c>
    </row>
    <row r="28" spans="1:33" s="83" customFormat="1" ht="14.25" customHeight="1">
      <c r="A28" s="84">
        <v>18</v>
      </c>
      <c r="B28" s="93" t="s">
        <v>85</v>
      </c>
      <c r="C28" s="86"/>
      <c r="D28" s="721">
        <v>40</v>
      </c>
      <c r="E28" s="646">
        <v>40739</v>
      </c>
      <c r="F28" s="537" t="s">
        <v>32</v>
      </c>
      <c r="G28" s="25">
        <v>17</v>
      </c>
      <c r="H28" s="25">
        <v>38</v>
      </c>
      <c r="I28" s="25">
        <v>4</v>
      </c>
      <c r="J28" s="636">
        <v>1585</v>
      </c>
      <c r="K28" s="637">
        <v>207</v>
      </c>
      <c r="L28" s="636">
        <v>2897</v>
      </c>
      <c r="M28" s="637">
        <v>365</v>
      </c>
      <c r="N28" s="636">
        <v>4218</v>
      </c>
      <c r="O28" s="637">
        <v>543</v>
      </c>
      <c r="P28" s="641">
        <f>SUM(J28+L28+N28)</f>
        <v>8700</v>
      </c>
      <c r="Q28" s="642">
        <f>SUM(K28+M28+O28)</f>
        <v>1115</v>
      </c>
      <c r="R28" s="544">
        <f>IF(P28&lt;&gt;0,Q28/H28,"")</f>
        <v>29.342105263157894</v>
      </c>
      <c r="S28" s="297">
        <f>IF(P28&lt;&gt;0,P28/Q28,"")</f>
        <v>7.802690582959642</v>
      </c>
      <c r="T28" s="512">
        <v>24245.5</v>
      </c>
      <c r="U28" s="305">
        <f t="shared" si="9"/>
        <v>-0.6411705264894516</v>
      </c>
      <c r="V28" s="297">
        <f t="shared" si="1"/>
        <v>8446.5</v>
      </c>
      <c r="W28" s="218">
        <f t="shared" si="2"/>
        <v>1232</v>
      </c>
      <c r="X28" s="597">
        <v>17146.5</v>
      </c>
      <c r="Y28" s="598">
        <v>2347</v>
      </c>
      <c r="Z28" s="305">
        <f t="shared" si="3"/>
        <v>0.47507456327226244</v>
      </c>
      <c r="AA28" s="305">
        <f t="shared" si="4"/>
        <v>0.5249254367277375</v>
      </c>
      <c r="AB28" s="218">
        <f t="shared" si="5"/>
        <v>61.76315789473684</v>
      </c>
      <c r="AC28" s="297">
        <f t="shared" si="6"/>
        <v>7.305709416276097</v>
      </c>
      <c r="AD28" s="20">
        <f>100961+78170+39198.5+17146.5</f>
        <v>235476</v>
      </c>
      <c r="AE28" s="21">
        <f>10897+8433+4553+2347</f>
        <v>26230</v>
      </c>
      <c r="AF28" s="298">
        <f>AD28/AE28</f>
        <v>8.977354174609227</v>
      </c>
      <c r="AG28" s="90">
        <v>18</v>
      </c>
    </row>
    <row r="29" spans="1:33" s="83" customFormat="1" ht="14.25" customHeight="1">
      <c r="A29" s="84">
        <v>19</v>
      </c>
      <c r="B29" s="85"/>
      <c r="C29" s="86"/>
      <c r="D29" s="559" t="s">
        <v>406</v>
      </c>
      <c r="E29" s="635">
        <v>40753</v>
      </c>
      <c r="F29" s="540" t="s">
        <v>74</v>
      </c>
      <c r="G29" s="540">
        <v>10</v>
      </c>
      <c r="H29" s="577">
        <v>10</v>
      </c>
      <c r="I29" s="577">
        <v>2</v>
      </c>
      <c r="J29" s="512">
        <v>1745</v>
      </c>
      <c r="K29" s="437">
        <v>212</v>
      </c>
      <c r="L29" s="512">
        <v>2775</v>
      </c>
      <c r="M29" s="437">
        <v>347</v>
      </c>
      <c r="N29" s="512">
        <v>4810</v>
      </c>
      <c r="O29" s="437">
        <v>554</v>
      </c>
      <c r="P29" s="631">
        <f>+J29+L29+N29</f>
        <v>9330</v>
      </c>
      <c r="Q29" s="632">
        <f>+K29+M29+O29</f>
        <v>1113</v>
      </c>
      <c r="R29" s="218">
        <f>IF(P29&lt;&gt;0,Q29/H29,"")</f>
        <v>111.3</v>
      </c>
      <c r="S29" s="297">
        <f>IF(P29&lt;&gt;0,P29/Q29,"")</f>
        <v>8.382749326145552</v>
      </c>
      <c r="T29" s="28">
        <v>20970</v>
      </c>
      <c r="U29" s="305">
        <f t="shared" si="9"/>
        <v>-0.5550786838340487</v>
      </c>
      <c r="V29" s="297">
        <f t="shared" si="1"/>
        <v>5889</v>
      </c>
      <c r="W29" s="218">
        <f t="shared" si="2"/>
        <v>786</v>
      </c>
      <c r="X29" s="595">
        <v>15219</v>
      </c>
      <c r="Y29" s="596">
        <v>1899</v>
      </c>
      <c r="Z29" s="305">
        <f t="shared" si="3"/>
        <v>0.5860979462875198</v>
      </c>
      <c r="AA29" s="305">
        <f t="shared" si="4"/>
        <v>0.41390205371248023</v>
      </c>
      <c r="AB29" s="218">
        <f t="shared" si="5"/>
        <v>189.9</v>
      </c>
      <c r="AC29" s="297">
        <f t="shared" si="6"/>
        <v>8.014218009478673</v>
      </c>
      <c r="AD29" s="22">
        <v>46724</v>
      </c>
      <c r="AE29" s="23">
        <v>5392</v>
      </c>
      <c r="AF29" s="309">
        <f>+AD29/AE29</f>
        <v>8.665430267062314</v>
      </c>
      <c r="AG29" s="90">
        <v>19</v>
      </c>
    </row>
    <row r="30" spans="1:33" s="83" customFormat="1" ht="14.25" customHeight="1" thickBot="1">
      <c r="A30" s="108">
        <v>20</v>
      </c>
      <c r="B30" s="144"/>
      <c r="C30" s="109" t="s">
        <v>84</v>
      </c>
      <c r="D30" s="616" t="s">
        <v>387</v>
      </c>
      <c r="E30" s="722">
        <v>40739</v>
      </c>
      <c r="F30" s="617" t="s">
        <v>64</v>
      </c>
      <c r="G30" s="679">
        <v>15</v>
      </c>
      <c r="H30" s="723">
        <v>14</v>
      </c>
      <c r="I30" s="723">
        <v>4</v>
      </c>
      <c r="J30" s="724">
        <v>1806</v>
      </c>
      <c r="K30" s="725">
        <v>208</v>
      </c>
      <c r="L30" s="724">
        <v>2840.5</v>
      </c>
      <c r="M30" s="725">
        <v>307</v>
      </c>
      <c r="N30" s="724">
        <v>3425</v>
      </c>
      <c r="O30" s="725">
        <v>357</v>
      </c>
      <c r="P30" s="726">
        <f>SUM(J30+L30+N30)</f>
        <v>8071.5</v>
      </c>
      <c r="Q30" s="727">
        <f>SUM(K30+M30+O30)</f>
        <v>872</v>
      </c>
      <c r="R30" s="725">
        <f>Q30/H30</f>
        <v>62.285714285714285</v>
      </c>
      <c r="S30" s="622">
        <f>+P30/Q30</f>
        <v>9.256307339449542</v>
      </c>
      <c r="T30" s="724">
        <v>15785</v>
      </c>
      <c r="U30" s="623">
        <f t="shared" si="9"/>
        <v>-0.48866012036743744</v>
      </c>
      <c r="V30" s="622">
        <f t="shared" si="1"/>
        <v>7024.5</v>
      </c>
      <c r="W30" s="624">
        <f t="shared" si="2"/>
        <v>848</v>
      </c>
      <c r="X30" s="728">
        <v>15096</v>
      </c>
      <c r="Y30" s="729">
        <v>1720</v>
      </c>
      <c r="Z30" s="623">
        <f t="shared" si="3"/>
        <v>0.5069767441860465</v>
      </c>
      <c r="AA30" s="623">
        <f t="shared" si="4"/>
        <v>0.4930232558139535</v>
      </c>
      <c r="AB30" s="624">
        <f t="shared" si="5"/>
        <v>122.85714285714286</v>
      </c>
      <c r="AC30" s="622">
        <f t="shared" si="6"/>
        <v>8.776744186046512</v>
      </c>
      <c r="AD30" s="724">
        <v>84776.5</v>
      </c>
      <c r="AE30" s="725">
        <v>8418</v>
      </c>
      <c r="AF30" s="621">
        <f>+AD30/AE30</f>
        <v>10.070860061772393</v>
      </c>
      <c r="AG30" s="112">
        <v>20</v>
      </c>
    </row>
    <row r="31" spans="1:32" s="83" customFormat="1" ht="6" customHeight="1" thickBot="1">
      <c r="A31" s="113"/>
      <c r="B31" s="114"/>
      <c r="E31" s="115"/>
      <c r="G31" s="114"/>
      <c r="H31" s="114"/>
      <c r="I31" s="114"/>
      <c r="J31" s="116"/>
      <c r="K31" s="117"/>
      <c r="L31" s="116"/>
      <c r="M31" s="117"/>
      <c r="N31" s="116"/>
      <c r="O31" s="117"/>
      <c r="P31" s="118"/>
      <c r="Q31" s="119"/>
      <c r="R31" s="117"/>
      <c r="S31" s="120"/>
      <c r="T31" s="116"/>
      <c r="U31" s="121"/>
      <c r="X31" s="122"/>
      <c r="Y31" s="122"/>
      <c r="AB31" s="123"/>
      <c r="AC31" s="124"/>
      <c r="AD31" s="116"/>
      <c r="AE31" s="125"/>
      <c r="AF31" s="120"/>
    </row>
    <row r="32" spans="1:33" s="126" customFormat="1" ht="12.75">
      <c r="A32" s="755" t="s">
        <v>86</v>
      </c>
      <c r="B32" s="756"/>
      <c r="C32" s="756"/>
      <c r="D32" s="756"/>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7"/>
    </row>
    <row r="33" spans="1:33" s="126" customFormat="1" ht="12.75">
      <c r="A33" s="758"/>
      <c r="B33" s="759"/>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60"/>
    </row>
    <row r="34" spans="1:33" s="126" customFormat="1" ht="12.75">
      <c r="A34" s="758"/>
      <c r="B34" s="759"/>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59"/>
      <c r="AB34" s="759"/>
      <c r="AC34" s="759"/>
      <c r="AD34" s="759"/>
      <c r="AE34" s="759"/>
      <c r="AF34" s="759"/>
      <c r="AG34" s="760"/>
    </row>
    <row r="35" spans="1:33" s="126" customFormat="1" ht="12.75">
      <c r="A35" s="758"/>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60"/>
    </row>
    <row r="36" spans="1:33" s="126" customFormat="1" ht="12.75">
      <c r="A36" s="758"/>
      <c r="B36" s="759"/>
      <c r="C36" s="759"/>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60"/>
    </row>
    <row r="37" spans="1:33" s="126" customFormat="1" ht="13.5" thickBot="1">
      <c r="A37" s="761"/>
      <c r="B37" s="762"/>
      <c r="C37" s="762"/>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762"/>
      <c r="AB37" s="762"/>
      <c r="AC37" s="762"/>
      <c r="AD37" s="762"/>
      <c r="AE37" s="762"/>
      <c r="AF37" s="762"/>
      <c r="AG37" s="763"/>
    </row>
  </sheetData>
  <sheetProtection password="F896" sheet="1" objects="1" scenarios="1"/>
  <mergeCells count="36">
    <mergeCell ref="Z9:AA9"/>
    <mergeCell ref="L7:M7"/>
    <mergeCell ref="X6:Y6"/>
    <mergeCell ref="Z6:AA6"/>
    <mergeCell ref="R9:S9"/>
    <mergeCell ref="T9:U9"/>
    <mergeCell ref="Z7:AA7"/>
    <mergeCell ref="X7:Y7"/>
    <mergeCell ref="A4:E4"/>
    <mergeCell ref="J9:K9"/>
    <mergeCell ref="L9:M9"/>
    <mergeCell ref="N9:O9"/>
    <mergeCell ref="R7:S7"/>
    <mergeCell ref="P9:Q9"/>
    <mergeCell ref="N7:O7"/>
    <mergeCell ref="P7:Q7"/>
    <mergeCell ref="AB7:AC7"/>
    <mergeCell ref="T7:U7"/>
    <mergeCell ref="V7:W7"/>
    <mergeCell ref="AC1:AG1"/>
    <mergeCell ref="A1:I1"/>
    <mergeCell ref="X1:AB1"/>
    <mergeCell ref="A5:E5"/>
    <mergeCell ref="X5:AG5"/>
    <mergeCell ref="A2:I2"/>
    <mergeCell ref="A3:I3"/>
    <mergeCell ref="A32:AG37"/>
    <mergeCell ref="AB6:AC6"/>
    <mergeCell ref="AD6:AG6"/>
    <mergeCell ref="AD7:AE7"/>
    <mergeCell ref="AB9:AC9"/>
    <mergeCell ref="D6:G6"/>
    <mergeCell ref="H6:I6"/>
    <mergeCell ref="J6:U6"/>
    <mergeCell ref="V6:W6"/>
    <mergeCell ref="J7:K7"/>
  </mergeCells>
  <hyperlinks>
    <hyperlink ref="A3" r:id="rId1" display="http://www.antraktsinema.com"/>
  </hyperlinks>
  <printOptions/>
  <pageMargins left="0.75" right="0.75" top="1" bottom="1" header="0.5" footer="0.5"/>
  <pageSetup horizontalDpi="600" verticalDpi="600" orientation="portrait" paperSize="9" r:id="rId3"/>
  <ignoredErrors>
    <ignoredError sqref="AD12:AE29" unlockedFormula="1"/>
    <ignoredError sqref="AF14:AF2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2011-05-24T12:35:07Z</cp:lastPrinted>
  <dcterms:created xsi:type="dcterms:W3CDTF">2006-03-15T09:07:04Z</dcterms:created>
  <dcterms:modified xsi:type="dcterms:W3CDTF">2011-08-14T02:41:44Z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