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2595" windowWidth="15870" windowHeight="9435" tabRatio="804" activeTab="0"/>
  </bookViews>
  <sheets>
    <sheet name="July'29-Aug' 04 '11 (week 30)" sheetId="1" r:id="rId1"/>
    <sheet name="Dec' 31-Aug' 04, 11 Annual" sheetId="2" r:id="rId2"/>
    <sheet name="Exyears Releases of 2011" sheetId="3" r:id="rId3"/>
    <sheet name="(TOP 20)" sheetId="4" r:id="rId4"/>
  </sheets>
  <definedNames>
    <definedName name="_xlnm.Print_Area" localSheetId="0">'July''29-Aug'' 04 ''11 (week 30)'!$A$1:$AG$142</definedName>
  </definedNames>
  <calcPr fullCalcOnLoad="1"/>
</workbook>
</file>

<file path=xl/sharedStrings.xml><?xml version="1.0" encoding="utf-8"?>
<sst xmlns="http://schemas.openxmlformats.org/spreadsheetml/2006/main" count="1912" uniqueCount="422">
  <si>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</si>
  <si>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</si>
  <si>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</si>
  <si>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</si>
  <si>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</si>
  <si>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</si>
  <si>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</si>
  <si>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</si>
  <si>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</si>
  <si>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</si>
  <si>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</si>
  <si>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</si>
  <si>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</si>
  <si>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</si>
  <si>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</si>
  <si>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</si>
  <si>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</si>
  <si>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</si>
  <si>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LIMITLESS</t>
  </si>
  <si>
    <t>PRESS</t>
  </si>
  <si>
    <t>ÇINAR AĞACI</t>
  </si>
  <si>
    <t>MEDYAVİZYON</t>
  </si>
  <si>
    <t>AŞK TESADÜFLERİ SEVER</t>
  </si>
  <si>
    <t>UIP TÜRKİYE</t>
  </si>
  <si>
    <t>EYYVAH EYVAH 2</t>
  </si>
  <si>
    <t>KAYBEDENLER KULÜBÜ</t>
  </si>
  <si>
    <t>72. KOĞUŞ</t>
  </si>
  <si>
    <t>WE ARE WHAT WE ARE</t>
  </si>
  <si>
    <t>RED RIDING HOOD</t>
  </si>
  <si>
    <t>ÖZEN FİLM</t>
  </si>
  <si>
    <t>THE GIRL WHO KICKED THE HORNETS' NEST</t>
  </si>
  <si>
    <t>RIO</t>
  </si>
  <si>
    <t>TİGLON</t>
  </si>
  <si>
    <t>SOURCE CODE</t>
  </si>
  <si>
    <t>LAST NIGHT</t>
  </si>
  <si>
    <t>SCREAM 4</t>
  </si>
  <si>
    <t>WATER FOR ELEPHANTS</t>
  </si>
  <si>
    <t>SUCKER PUNCH</t>
  </si>
  <si>
    <t>WINNIE THE POOH</t>
  </si>
  <si>
    <t>LONDON BOULEVARD</t>
  </si>
  <si>
    <t>BİZİM BÜYÜK ÇARESİZLİĞİMİZ</t>
  </si>
  <si>
    <t>ALPHA AND OMEGA</t>
  </si>
  <si>
    <t>UNKNOWN</t>
  </si>
  <si>
    <t>RABBIT HOLE</t>
  </si>
  <si>
    <t>MONSTERS</t>
  </si>
  <si>
    <t>FRITT WILT 3</t>
  </si>
  <si>
    <t>THE PACK</t>
  </si>
  <si>
    <t>MFP-CINEGROUP</t>
  </si>
  <si>
    <t>ÇOK MU KOMİK?</t>
  </si>
  <si>
    <t>FOUR LIONS</t>
  </si>
  <si>
    <t>KOLPAÇİNO: BOMBA</t>
  </si>
  <si>
    <t>THE PRODIGY</t>
  </si>
  <si>
    <t>INCENDIES</t>
  </si>
  <si>
    <t>NEVER LET ME GO</t>
  </si>
  <si>
    <t>FAST FIVE</t>
  </si>
  <si>
    <t>DEVRİMDEN SONRA</t>
  </si>
  <si>
    <t>HENRY'S CRIME</t>
  </si>
  <si>
    <t>GİŞE MEMURU</t>
  </si>
  <si>
    <t>AĞIR ABİ</t>
  </si>
  <si>
    <t>COPACABANA</t>
  </si>
  <si>
    <t>KÜÇÜK GÜNAHLAR</t>
  </si>
  <si>
    <t>PRIEST</t>
  </si>
  <si>
    <t>HOP</t>
  </si>
  <si>
    <t>VANISHING ON 7TH STREET</t>
  </si>
  <si>
    <t>LITTLE WHITE LIES</t>
  </si>
  <si>
    <t>M3 FILM</t>
  </si>
  <si>
    <t>THE VALDEMAR LEGACY</t>
  </si>
  <si>
    <t>KAR BEYAZ</t>
  </si>
  <si>
    <t>PIRATES OF THE CARIBBEAN: ON STRANGER TIDES</t>
  </si>
  <si>
    <t>TÜRKAN</t>
  </si>
  <si>
    <t>ŞOV BİZINIS</t>
  </si>
  <si>
    <t>BEASTLY</t>
  </si>
  <si>
    <t>MİSAFİR</t>
  </si>
  <si>
    <t>POTICHE</t>
  </si>
  <si>
    <t>PARTIR</t>
  </si>
  <si>
    <t>DUKA FİLM</t>
  </si>
  <si>
    <t>SOMEWHERE</t>
  </si>
  <si>
    <t>KAYIP ÖZGÜRLÜK</t>
  </si>
  <si>
    <t>JAN MEDYA</t>
  </si>
  <si>
    <t>HOP DEDİK: DELİ DUMRUL</t>
  </si>
  <si>
    <t xml:space="preserve">İÇİMDEKİ SESSİZ NEHİR </t>
  </si>
  <si>
    <t>ERÖZ FİLM</t>
  </si>
  <si>
    <t>UMUT SANAT</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</si>
  <si>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</si>
  <si>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</si>
  <si>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</si>
  <si>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</si>
  <si>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</si>
  <si>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</si>
  <si>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</si>
  <si>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</si>
  <si>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</si>
  <si>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</si>
  <si>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</si>
  <si>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</si>
  <si>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</si>
  <si>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</si>
  <si>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</si>
  <si>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</si>
  <si>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</si>
  <si>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</si>
  <si>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</si>
  <si>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</si>
  <si>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</si>
  <si>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</si>
  <si>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</si>
  <si>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</si>
  <si>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</si>
  <si>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</si>
  <si>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</si>
  <si>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</si>
  <si>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</si>
  <si>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</si>
  <si>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</si>
  <si>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</si>
  <si>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</si>
  <si>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</si>
  <si>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</si>
  <si>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</si>
  <si>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</si>
  <si>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</si>
  <si>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</si>
  <si>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</si>
  <si>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</si>
  <si>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</si>
  <si>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</si>
  <si>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</si>
  <si>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</si>
  <si>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</si>
  <si>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GULLIVER'S TRAVELS</t>
  </si>
  <si>
    <t>BIG MOMMAS: LIKE FATHER, LIKE SON</t>
  </si>
  <si>
    <t>WINTER'S BONE</t>
  </si>
  <si>
    <t>KUTSAL DAMACANA: DRACOOLA</t>
  </si>
  <si>
    <t>THE KIDS ARE ALL RIGHT</t>
  </si>
  <si>
    <t>THE NEXT THREE DAYS</t>
  </si>
  <si>
    <t>THE KING'S SPEECH</t>
  </si>
  <si>
    <t>http://www.antraktsinema.com</t>
  </si>
  <si>
    <t>http://www.antraktsinema.com/boxoffice-rapor.php</t>
  </si>
  <si>
    <t>TIGLON</t>
  </si>
  <si>
    <t>AŞKIN İKİNCİ YARISI</t>
  </si>
  <si>
    <t>AV MEVSİMİ</t>
  </si>
  <si>
    <t>CHANTIER FILMS</t>
  </si>
  <si>
    <t>CINE FILM</t>
  </si>
  <si>
    <t>THE CHRONICLES OF NARNIA: THE VOVAYE OF THE DAWN TREADER</t>
  </si>
  <si>
    <t>VAY ARKADAŞ</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</si>
  <si>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</si>
  <si>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</si>
  <si>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</si>
  <si>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</si>
  <si>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</si>
  <si>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</si>
  <si>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</si>
  <si>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</si>
  <si>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</si>
  <si>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</si>
  <si>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</si>
  <si>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</si>
  <si>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</si>
  <si>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</si>
  <si>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</si>
  <si>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</si>
  <si>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</si>
  <si>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</si>
  <si>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</si>
  <si>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</si>
  <si>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</si>
  <si>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</si>
  <si>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</si>
  <si>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</si>
  <si>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</si>
  <si>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</si>
  <si>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</si>
  <si>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</si>
  <si>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</si>
  <si>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</si>
  <si>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</si>
  <si>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</si>
  <si>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</si>
  <si>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</si>
  <si>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</si>
  <si>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HÜR ADAM</t>
  </si>
  <si>
    <t>TRON: LEGACY</t>
  </si>
  <si>
    <t>SANCTUM</t>
  </si>
  <si>
    <t>SEASON OF THE WITCH</t>
  </si>
  <si>
    <t>THE RITE</t>
  </si>
  <si>
    <t>MEGAMIND</t>
  </si>
  <si>
    <t>LOVE&amp;OTHER DRUGS</t>
  </si>
  <si>
    <t>BİR AVUÇ DENİZ</t>
  </si>
  <si>
    <t>BIUTIFUL</t>
  </si>
  <si>
    <t>I AM NUMBER FOUR</t>
  </si>
  <si>
    <t xml:space="preserve">ÇALGI ÇENGİ </t>
  </si>
  <si>
    <t>STEP UP</t>
  </si>
  <si>
    <t>TRUE GRIT</t>
  </si>
  <si>
    <t>SPREAD</t>
  </si>
  <si>
    <t>23</t>
  </si>
  <si>
    <t>19</t>
  </si>
  <si>
    <t xml:space="preserve">KAĞIT </t>
  </si>
  <si>
    <t>ATLIKARINCA</t>
  </si>
  <si>
    <t>SİNYORA ENRICA İLE İTALYAN OLMAK</t>
  </si>
  <si>
    <t>PINA</t>
  </si>
  <si>
    <t>CHERKESS</t>
  </si>
  <si>
    <t>ONAY FİLM</t>
  </si>
  <si>
    <t>I AM LOVE</t>
  </si>
  <si>
    <t>THE EXPERIMENT</t>
  </si>
  <si>
    <t>GET LOW</t>
  </si>
  <si>
    <t>BARNEY'S VERSION</t>
  </si>
  <si>
    <t xml:space="preserve">HAYDE BRE </t>
  </si>
  <si>
    <t>CERTIFIED COPY</t>
  </si>
  <si>
    <t>SECRETARIAT</t>
  </si>
  <si>
    <t>MEŞ</t>
  </si>
  <si>
    <t>NAR FİLM</t>
  </si>
  <si>
    <t>KITES</t>
  </si>
  <si>
    <t>CHERRYBOMB</t>
  </si>
  <si>
    <t>CIRKUS COLUMBIA</t>
  </si>
  <si>
    <t>ZEFİR</t>
  </si>
  <si>
    <t>THE TREE</t>
  </si>
  <si>
    <t>7 AVLU</t>
  </si>
  <si>
    <t>SOMETHING BORROWED</t>
  </si>
  <si>
    <t>HEARTBREAKER</t>
  </si>
  <si>
    <t>THERE BE DRAGONS</t>
  </si>
  <si>
    <t>POINT BLANK</t>
  </si>
  <si>
    <t>TROLL HUNTER</t>
  </si>
  <si>
    <r>
      <t xml:space="preserve">Weeks Adm. - </t>
    </r>
    <r>
      <rPr>
        <b/>
        <sz val="11"/>
        <color indexed="10"/>
        <rFont val="Corbel"/>
        <family val="2"/>
      </rPr>
      <t>Haftalık seyirci</t>
    </r>
  </si>
  <si>
    <t>X-MEN: FIRST CLASS</t>
  </si>
  <si>
    <t>GNOMEO &amp; JULIET</t>
  </si>
  <si>
    <t>THE WARD</t>
  </si>
  <si>
    <t>KALEDEKİ YALNIZLIK</t>
  </si>
  <si>
    <t>KIDNAPPED</t>
  </si>
  <si>
    <t>THE FIRST BEAUTIFUL THING</t>
  </si>
  <si>
    <t>ROOM IN ROME</t>
  </si>
  <si>
    <t>WRECKED</t>
  </si>
  <si>
    <t>GÜNAH KEÇİSİ</t>
  </si>
  <si>
    <t>THE ADJUSTMENT BREAU</t>
  </si>
  <si>
    <t>KUNG FU PANDA 2</t>
  </si>
  <si>
    <t>HANNA</t>
  </si>
  <si>
    <t>WE ARE THE NIGHT</t>
  </si>
  <si>
    <t>ANOTHER YEAR</t>
  </si>
  <si>
    <t>ADALET OYUNU</t>
  </si>
  <si>
    <t>SUPER 8</t>
  </si>
  <si>
    <t>ST TRINIAN'S 2: THE LEGEND OF FRITTON'S GOLD</t>
  </si>
  <si>
    <t>HAPPY THANK YOU MORE PLEASE</t>
  </si>
  <si>
    <t>IRON DOORS</t>
  </si>
  <si>
    <t>ROUTE IRISH</t>
  </si>
  <si>
    <t>ÖFKELİ ÇILGINLIK KARAMSAR ÇİLE</t>
  </si>
  <si>
    <t>HAPPY FEW</t>
  </si>
  <si>
    <t>INSIDIOUS</t>
  </si>
  <si>
    <t>THE EAGLE</t>
  </si>
  <si>
    <t>WE WANT SEX</t>
  </si>
  <si>
    <t>THE WAY BACK</t>
  </si>
  <si>
    <t>BABAM VE OĞLUM</t>
  </si>
  <si>
    <t>YÜREĞİNE SOR</t>
  </si>
  <si>
    <t>EŞREFPAŞALILAR</t>
  </si>
  <si>
    <t>BATTLE: LOS ANGELES</t>
  </si>
  <si>
    <t>CHERRY</t>
  </si>
  <si>
    <t>DRIVE ANGRY</t>
  </si>
  <si>
    <t>THE GREEN HORNET</t>
  </si>
  <si>
    <t>THE HANGOVER PART II</t>
  </si>
  <si>
    <t xml:space="preserve">KİR - QUREJ </t>
  </si>
  <si>
    <t>LINCOLN LAWYER</t>
  </si>
  <si>
    <t>JUST GO WITH IT</t>
  </si>
  <si>
    <t>SENNA</t>
  </si>
  <si>
    <t>RANGO</t>
  </si>
  <si>
    <t>TRANSFORMERS: DARK OF THE MOON</t>
  </si>
  <si>
    <t>JULIA'S EYES</t>
  </si>
  <si>
    <t>SECOND CHANCE</t>
  </si>
  <si>
    <t>ZWART WATER</t>
  </si>
  <si>
    <t>OF GODS AND MEN</t>
  </si>
  <si>
    <t>A SEPARATION</t>
  </si>
  <si>
    <t>J'AI TUE MA MERE</t>
  </si>
  <si>
    <t>ADRENAL FİLM</t>
  </si>
  <si>
    <t>NEW YORK'TA BEŞ MİNARE</t>
  </si>
  <si>
    <t>ÇAKALLARLA DANS</t>
  </si>
  <si>
    <t>(500) DAYS OF SUMMER</t>
  </si>
  <si>
    <t>AFTER.LIFE</t>
  </si>
  <si>
    <t>ALVIN &amp; THE CHIPMUNKS: THE SQUEAKQUEL</t>
  </si>
  <si>
    <t>AN EDUCATION</t>
  </si>
  <si>
    <t>AVATAR</t>
  </si>
  <si>
    <t>AYLA</t>
  </si>
  <si>
    <t>BLACK HEAVEN</t>
  </si>
  <si>
    <t>M3 FİLM</t>
  </si>
  <si>
    <t>BRIGHT STAR</t>
  </si>
  <si>
    <t>CARAMEL</t>
  </si>
  <si>
    <t>CENTURION</t>
  </si>
  <si>
    <t>CHUGYEOGJA</t>
  </si>
  <si>
    <t>COCO AVANT CHANEL</t>
  </si>
  <si>
    <t>COCO CHANEL &amp; IGOR STRAVINSKY</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</si>
  <si>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</si>
  <si>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</si>
  <si>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</si>
  <si>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</si>
  <si>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</si>
  <si>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</si>
  <si>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</si>
  <si>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</si>
  <si>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</si>
  <si>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</si>
  <si>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</si>
  <si>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</si>
  <si>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</si>
  <si>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</si>
  <si>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</si>
  <si>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</si>
  <si>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</si>
  <si>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</si>
  <si>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</si>
  <si>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</si>
  <si>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</si>
  <si>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KNIGHT&amp;DAY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</si>
  <si>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</si>
  <si>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</si>
  <si>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</si>
  <si>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</si>
  <si>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</si>
  <si>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</si>
  <si>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</si>
  <si>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</si>
  <si>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</si>
  <si>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</si>
  <si>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</si>
  <si>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</si>
  <si>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</si>
  <si>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OPEN SEASON 3</t>
  </si>
  <si>
    <t>PARANORMAL ACTIVITY 2</t>
  </si>
  <si>
    <t>PERCY JACKSON &amp; THE OLYMPIANS: THE LIGHTNING THIEF</t>
  </si>
  <si>
    <t>PLANET 51</t>
  </si>
  <si>
    <t>PONYO ON THE CLIFF BY THE SEA</t>
  </si>
  <si>
    <t>R.E.D.</t>
  </si>
  <si>
    <t>RED</t>
  </si>
  <si>
    <t>RESIDENT EVIL: AFTERLIFE</t>
  </si>
  <si>
    <t>RICKY</t>
  </si>
  <si>
    <t>SAMMY'S ADVENTURES</t>
  </si>
  <si>
    <t>SAW 3D</t>
  </si>
  <si>
    <t>SKYLINE</t>
  </si>
  <si>
    <t>STONE</t>
  </si>
  <si>
    <t>SUNSHINE CLEANING</t>
  </si>
  <si>
    <t>TALE 52</t>
  </si>
  <si>
    <t>TANGLED</t>
  </si>
  <si>
    <t>TENGRI: BLUE HEAVENS</t>
  </si>
  <si>
    <t>THE A TEAM</t>
  </si>
  <si>
    <t>THE CHOKE</t>
  </si>
  <si>
    <t>THE DUST OF TIME</t>
  </si>
  <si>
    <t>THE GIRL WHO PLAYED WITH FIRE</t>
  </si>
  <si>
    <t>THE KARATE KID</t>
  </si>
  <si>
    <t>THE LAST EXORCISM</t>
  </si>
  <si>
    <t>THE LAST EXORCİSM</t>
  </si>
  <si>
    <t>THE SECRET OF MOONACRE</t>
  </si>
  <si>
    <t>THE SOCIAL NETWORK</t>
  </si>
  <si>
    <t>THE STONING OF SORAYA M.</t>
  </si>
  <si>
    <t>THE TOURIST</t>
  </si>
  <si>
    <t>THE TOWN</t>
  </si>
  <si>
    <t>THE WAVE</t>
  </si>
  <si>
    <t>TWILIGHT SAGA: NEW MOON</t>
  </si>
  <si>
    <t>UNCLE BOONMEE WHO CAN RECALL HIS PAST LIVES</t>
  </si>
  <si>
    <t>UNSTOPPABLE</t>
  </si>
  <si>
    <t>VAMPIRES SUCK</t>
  </si>
  <si>
    <t>WINX CLUB 3D: MAGICAL ADVENTURE</t>
  </si>
  <si>
    <t>YOU AGAIN</t>
  </si>
  <si>
    <t>YOUNG VICTORIA</t>
  </si>
  <si>
    <t>I SAW THE DEVIL</t>
  </si>
  <si>
    <t>LARRY CROWN</t>
  </si>
  <si>
    <t>HANGOVER II</t>
  </si>
  <si>
    <t>THE RESIDENT</t>
  </si>
  <si>
    <t>CHATROOM</t>
  </si>
  <si>
    <t>BLUE VALENTINE</t>
  </si>
  <si>
    <t>OPEN SEASON 2</t>
  </si>
  <si>
    <t>NEDS</t>
  </si>
  <si>
    <t>ÇOK FİLİM HAREKETLER BUNLAR</t>
  </si>
  <si>
    <t>KOSMOS</t>
  </si>
  <si>
    <t>KUKURİKU: KADIN KRALLIĞI</t>
  </si>
  <si>
    <t>AV MEVSIMI</t>
  </si>
  <si>
    <t>ANIMALS UNITED - KONFERENZ DER TIERRE</t>
  </si>
  <si>
    <t>WE ARE THE NIGHT - WIR SIND DIE NACHT</t>
  </si>
  <si>
    <t>JULIA'S EYES - LOS OJOS DE JULIA</t>
  </si>
  <si>
    <t>IN A BETTER WORLD - HEAVNEN</t>
  </si>
  <si>
    <t>SECOND CHANCE - LA CHANCE DE MA VIE</t>
  </si>
  <si>
    <t>I SAW THE DEVIL - AKMAREUL BOATDA</t>
  </si>
  <si>
    <t>WE ARE WHAT WE ARE - SOMOS LO QUE HAY</t>
  </si>
  <si>
    <t>A SEPARATION - JODAEIYE NADER AZ SIMIN</t>
  </si>
  <si>
    <t>WE WANT SEX - MADE IN DAGENHAM</t>
  </si>
  <si>
    <t>THE MISFORTUNATES - DE HELAASHAID DER DINGEN</t>
  </si>
  <si>
    <t>HEARTBEATS - LES AMOURS IMAGINAIRES</t>
  </si>
  <si>
    <t>THE SILENT ARMY - WIT LICHT</t>
  </si>
  <si>
    <t>EVERYTHING WILL BE FINE - ALTING BLIVER GODT IGEN</t>
  </si>
  <si>
    <t>KURTLAR VADİSİ: FİLİSTİN</t>
  </si>
  <si>
    <r>
      <t>Basic data of movies -</t>
    </r>
    <r>
      <rPr>
        <b/>
        <sz val="11"/>
        <color indexed="10"/>
        <rFont val="Corbel"/>
        <family val="2"/>
      </rPr>
      <t xml:space="preserve"> Filmin genel bilgileri</t>
    </r>
  </si>
  <si>
    <r>
      <t xml:space="preserve">Cumulative data - </t>
    </r>
    <r>
      <rPr>
        <b/>
        <sz val="11"/>
        <color indexed="10"/>
        <rFont val="Corbel"/>
        <family val="2"/>
      </rPr>
      <t>Toplam veriler</t>
    </r>
  </si>
  <si>
    <r>
      <t xml:space="preserve">Weekend admissions and box office data - </t>
    </r>
    <r>
      <rPr>
        <b/>
        <sz val="11"/>
        <color indexed="10"/>
        <rFont val="Corbel"/>
        <family val="2"/>
      </rPr>
      <t>Haftasonu seyirci ve hasılat verileri</t>
    </r>
  </si>
  <si>
    <t>HARRY POTTER AND THE DEATHLY HALLOWS: PART 2</t>
  </si>
  <si>
    <t>THE NAMES OF LOVE</t>
  </si>
  <si>
    <t>LOFT</t>
  </si>
  <si>
    <t>EVEN THE RAIN</t>
  </si>
  <si>
    <t>HOODWINKED VS. EVIL</t>
  </si>
  <si>
    <r>
      <t>TÜRKİYE</t>
    </r>
    <r>
      <rPr>
        <b/>
        <sz val="40"/>
        <rFont val="Calibri"/>
        <family val="2"/>
      </rPr>
      <t xml:space="preserve">'S </t>
    </r>
    <r>
      <rPr>
        <b/>
        <u val="single"/>
        <sz val="40"/>
        <rFont val="Calibri"/>
        <family val="2"/>
      </rPr>
      <t>WEEKLY</t>
    </r>
    <r>
      <rPr>
        <b/>
        <sz val="40"/>
        <rFont val="Calibri"/>
        <family val="2"/>
      </rPr>
      <t xml:space="preserve"> MARKET DATA</t>
    </r>
  </si>
  <si>
    <t>NO STRING ATTACHED</t>
  </si>
  <si>
    <t>TOY STORY 3</t>
  </si>
  <si>
    <r>
      <t>TÜRKİYE</t>
    </r>
    <r>
      <rPr>
        <b/>
        <sz val="28"/>
        <rFont val="Calibri"/>
        <family val="2"/>
      </rPr>
      <t xml:space="preserve">'S </t>
    </r>
    <r>
      <rPr>
        <b/>
        <u val="single"/>
        <sz val="28"/>
        <rFont val="Calibri"/>
        <family val="2"/>
      </rPr>
      <t>WEEKLY</t>
    </r>
    <r>
      <rPr>
        <b/>
        <sz val="28"/>
        <rFont val="Calibri"/>
        <family val="2"/>
      </rPr>
      <t xml:space="preserve"> MARKET DATA</t>
    </r>
  </si>
  <si>
    <t>POINT BLANK - A BOUT PORTANT</t>
  </si>
  <si>
    <t>LOVE, WEDDING, MARRIAGE</t>
  </si>
  <si>
    <t>LET ME IN</t>
  </si>
  <si>
    <t>WIN WIN</t>
  </si>
  <si>
    <t>ESSENTIAL KILLNG</t>
  </si>
  <si>
    <t>ARRIETY</t>
  </si>
  <si>
    <t>TOURIST</t>
  </si>
  <si>
    <t>THOR</t>
  </si>
  <si>
    <t>THE HEDGEHOG</t>
  </si>
  <si>
    <t>31 Aralık 2010 - 04 Ağustos 2011</t>
  </si>
  <si>
    <r>
      <t xml:space="preserve"> Dec' 31, 2010 - August' 04, 2011</t>
    </r>
  </si>
  <si>
    <r>
      <t xml:space="preserve">Week: 31 / </t>
    </r>
    <r>
      <rPr>
        <b/>
        <u val="single"/>
        <sz val="12"/>
        <rFont val="Candara"/>
        <family val="2"/>
      </rPr>
      <t>July' 29 - August' 04, 2011</t>
    </r>
  </si>
  <si>
    <r>
      <t xml:space="preserve">Hafta: 31 / </t>
    </r>
    <r>
      <rPr>
        <b/>
        <u val="single"/>
        <sz val="12"/>
        <color indexed="10"/>
        <rFont val="Candara"/>
        <family val="2"/>
      </rPr>
      <t>29 Temmuz - 04 Ağustos 2011</t>
    </r>
  </si>
  <si>
    <t>NEEDLE</t>
  </si>
  <si>
    <t>SILENCE OF LOVE</t>
  </si>
  <si>
    <t>EXORCISMUS</t>
  </si>
  <si>
    <t>GRIFF THE INVISBLE</t>
  </si>
  <si>
    <t>SOUND OF NOISE</t>
  </si>
  <si>
    <t>MONSTER</t>
  </si>
  <si>
    <t>RECEP İVEDİK</t>
  </si>
  <si>
    <t>HEARTBEATS</t>
  </si>
  <si>
    <t>MEMLEKET MESELESİ</t>
  </si>
  <si>
    <t>SMURFS</t>
  </si>
  <si>
    <r>
      <t>If you move the arrow at the right bottom of the page to the left, you can see more columns and you can switch to other pages on the left bottom to see related tables.</t>
    </r>
    <r>
      <rPr>
        <i/>
        <sz val="6.5"/>
        <color indexed="23"/>
        <rFont val="Courier New"/>
        <family val="3"/>
      </rPr>
      <t xml:space="preserve"> </t>
    </r>
    <r>
      <rPr>
        <i/>
        <sz val="6.5"/>
        <color indexed="10"/>
        <rFont val="Courier New"/>
        <family val="3"/>
      </rPr>
      <t>Sayfanın sağ altındaki oku sola doğru hareket ettirdiğinizde diğer sütunlardaki bilgileri görebilir, gene sayfanın sol altındaki diğer sayfalara geçerek ilgili tabloları inceleyebilirsiniz.</t>
    </r>
  </si>
  <si>
    <r>
      <t xml:space="preserve">Week: 31 / </t>
    </r>
    <r>
      <rPr>
        <b/>
        <u val="single"/>
        <sz val="18"/>
        <rFont val="Candara"/>
        <family val="2"/>
      </rPr>
      <t>July' 29 - August' 04, 2011</t>
    </r>
  </si>
  <si>
    <r>
      <t xml:space="preserve">Hafta: 31 / </t>
    </r>
    <r>
      <rPr>
        <b/>
        <u val="single"/>
        <sz val="18"/>
        <color indexed="10"/>
        <rFont val="Candara"/>
        <family val="2"/>
      </rPr>
      <t>29 Temmuz - 04 Ağustos 2011</t>
    </r>
  </si>
</sst>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quot;Evet&quot;;&quot;Evet&quot;;&quot;Hayır&quot;"/>
    <numFmt numFmtId="208" formatCode="&quot;Doğru&quot;;&quot;Doğru&quot;;&quot;Yanlış&quot;"/>
    <numFmt numFmtId="209" formatCode="&quot;Açık&quot;;&quot;Açık&quot;;&quot;Kapalı&quot;"/>
  </numFmts>
  <fonts count="111">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9"/>
      <name val="Calibri"/>
      <family val="2"/>
    </font>
    <font>
      <b/>
      <i/>
      <sz val="10"/>
      <name val="Calibri"/>
      <family val="2"/>
    </font>
    <font>
      <b/>
      <sz val="20"/>
      <name val="Calibri"/>
      <family val="2"/>
    </font>
    <font>
      <b/>
      <sz val="7"/>
      <name val="Arial"/>
      <family val="2"/>
    </font>
    <font>
      <b/>
      <sz val="8"/>
      <name val="Arial"/>
      <family val="2"/>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i/>
      <sz val="7"/>
      <name val="Courier New"/>
      <family val="3"/>
    </font>
    <font>
      <u val="single"/>
      <sz val="12"/>
      <color indexed="12"/>
      <name val="Corbel"/>
      <family val="2"/>
    </font>
    <font>
      <sz val="12"/>
      <name val="Corbel"/>
      <family val="2"/>
    </font>
    <font>
      <b/>
      <sz val="28"/>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sz val="10"/>
      <name val="Verdana"/>
      <family val="2"/>
    </font>
    <font>
      <b/>
      <sz val="8"/>
      <name val="Calibri"/>
      <family val="2"/>
    </font>
    <font>
      <b/>
      <sz val="8"/>
      <color indexed="9"/>
      <name val="Calibri"/>
      <family val="2"/>
    </font>
    <font>
      <sz val="11"/>
      <color indexed="8"/>
      <name val="Calibri"/>
      <family val="2"/>
    </font>
    <font>
      <sz val="10"/>
      <color indexed="8"/>
      <name val="Calibri"/>
      <family val="2"/>
    </font>
    <font>
      <sz val="14"/>
      <color indexed="9"/>
      <name val="Garamond"/>
      <family val="1"/>
    </font>
    <font>
      <b/>
      <sz val="11"/>
      <color indexed="9"/>
      <name val="Corbel"/>
      <family val="2"/>
    </font>
    <font>
      <sz val="10"/>
      <color indexed="9"/>
      <name val="Corbel"/>
      <family val="2"/>
    </font>
    <font>
      <sz val="10"/>
      <color indexed="9"/>
      <name val="Trebuchet MS"/>
      <family val="2"/>
    </font>
    <font>
      <sz val="10"/>
      <color indexed="9"/>
      <name val="Arial"/>
      <family val="0"/>
    </font>
    <font>
      <sz val="14"/>
      <color indexed="9"/>
      <name val="Arial"/>
      <family val="2"/>
    </font>
    <font>
      <b/>
      <sz val="40"/>
      <color indexed="10"/>
      <name val="Calibri"/>
      <family val="2"/>
    </font>
    <font>
      <b/>
      <u val="single"/>
      <sz val="40"/>
      <name val="Calibri"/>
      <family val="2"/>
    </font>
    <font>
      <b/>
      <sz val="28"/>
      <color indexed="10"/>
      <name val="Calibri"/>
      <family val="2"/>
    </font>
    <font>
      <b/>
      <u val="single"/>
      <sz val="28"/>
      <name val="Calibri"/>
      <family val="2"/>
    </font>
    <font>
      <sz val="8"/>
      <name val="Calibri"/>
      <family val="2"/>
    </font>
    <font>
      <sz val="10"/>
      <name val="Courier New"/>
      <family val="3"/>
    </font>
    <font>
      <b/>
      <sz val="12"/>
      <name val="Candara"/>
      <family val="2"/>
    </font>
    <font>
      <b/>
      <u val="single"/>
      <sz val="12"/>
      <name val="Candara"/>
      <family val="2"/>
    </font>
    <font>
      <sz val="12"/>
      <name val="Candara"/>
      <family val="2"/>
    </font>
    <font>
      <b/>
      <u val="single"/>
      <sz val="12"/>
      <color indexed="10"/>
      <name val="Candara"/>
      <family val="2"/>
    </font>
    <font>
      <i/>
      <sz val="6.5"/>
      <name val="Courier New"/>
      <family val="3"/>
    </font>
    <font>
      <i/>
      <sz val="6.5"/>
      <color indexed="23"/>
      <name val="Courier New"/>
      <family val="3"/>
    </font>
    <font>
      <i/>
      <sz val="6.5"/>
      <color indexed="10"/>
      <name val="Courier New"/>
      <family val="3"/>
    </font>
    <font>
      <sz val="6.5"/>
      <name val="Arial"/>
      <family val="0"/>
    </font>
    <font>
      <b/>
      <sz val="18"/>
      <name val="Candara"/>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44"/>
        <bgColor indexed="64"/>
      </patternFill>
    </fill>
    <fill>
      <patternFill patternType="solid">
        <fgColor indexed="42"/>
        <bgColor indexed="64"/>
      </patternFill>
    </fill>
  </fills>
  <borders count="54">
    <border>
      <left/>
      <right/>
      <top/>
      <bottom/>
      <diagonal/>
    </border>
    <border>
      <left style="thin"/>
      <right style="thin"/>
      <top>
        <color indexed="63"/>
      </top>
      <bottom style="thin"/>
    </border>
    <border>
      <left style="hair"/>
      <right style="hair"/>
      <top style="hair"/>
      <bottom style="hair"/>
    </border>
    <border>
      <left style="hair"/>
      <right style="hair"/>
      <top style="medium"/>
      <bottom style="hair"/>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style="hair"/>
      <top style="medium"/>
      <bottom style="hair"/>
    </border>
    <border>
      <left style="hair"/>
      <right>
        <color indexed="63"/>
      </right>
      <top style="medium"/>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color indexed="63"/>
      </left>
      <right style="thin"/>
      <top style="hair"/>
      <bottom style="hair"/>
    </border>
    <border>
      <left style="medium"/>
      <right>
        <color indexed="63"/>
      </right>
      <top style="hair"/>
      <bottom style="medium"/>
    </border>
    <border>
      <left style="hair"/>
      <right>
        <color indexed="63"/>
      </right>
      <top style="hair"/>
      <bottom style="medium"/>
    </border>
    <border>
      <left style="hair"/>
      <right style="hair"/>
      <top style="hair"/>
      <bottom style="medium"/>
    </border>
    <border>
      <left style="hair"/>
      <right style="medium"/>
      <top style="hair"/>
      <bottom style="medium"/>
    </border>
    <border>
      <left>
        <color indexed="63"/>
      </left>
      <right style="thin"/>
      <top style="hair"/>
      <bottom style="medium"/>
    </border>
    <border>
      <left style="medium"/>
      <right style="hair"/>
      <top style="hair"/>
      <bottom style="medium"/>
    </border>
    <border>
      <left style="hair"/>
      <right style="medium"/>
      <top style="medium"/>
      <bottom style="hair"/>
    </border>
    <border>
      <left style="thin"/>
      <right style="thin"/>
      <top style="thin"/>
      <bottom>
        <color indexed="63"/>
      </bottom>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hair"/>
    </border>
    <border>
      <left>
        <color indexed="63"/>
      </left>
      <right style="medium"/>
      <top>
        <color indexed="63"/>
      </top>
      <bottom style="hair"/>
    </border>
    <border>
      <left>
        <color indexed="63"/>
      </left>
      <right style="medium"/>
      <top style="hair"/>
      <bottom style="mediu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88"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987">
    <xf numFmtId="0" fontId="0" fillId="0" borderId="0" xfId="0" applyAlignment="1">
      <alignment/>
    </xf>
    <xf numFmtId="0" fontId="44" fillId="2" borderId="1" xfId="0" applyFont="1" applyFill="1" applyBorder="1" applyAlignment="1" applyProtection="1">
      <alignment horizontal="center"/>
      <protection/>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right" vertical="center"/>
      <protection locked="0"/>
    </xf>
    <xf numFmtId="0" fontId="39" fillId="0" borderId="2" xfId="0"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locked="0"/>
    </xf>
    <xf numFmtId="3" fontId="56" fillId="0" borderId="2" xfId="15" applyNumberFormat="1" applyFont="1" applyFill="1" applyBorder="1" applyAlignment="1" applyProtection="1">
      <alignment horizontal="right" vertical="center"/>
      <protection locked="0"/>
    </xf>
    <xf numFmtId="4" fontId="56"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0" fontId="39" fillId="0" borderId="2" xfId="0"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49" fontId="39" fillId="0" borderId="2" xfId="0" applyNumberFormat="1" applyFont="1" applyFill="1" applyBorder="1" applyAlignment="1" applyProtection="1">
      <alignment horizontal="left" vertical="center"/>
      <protection locked="0"/>
    </xf>
    <xf numFmtId="0" fontId="39" fillId="0" borderId="2" xfId="0"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0" fontId="39" fillId="0" borderId="2"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4" fontId="39" fillId="0" borderId="2" xfId="0" applyNumberFormat="1" applyFont="1" applyFill="1" applyBorder="1" applyAlignment="1">
      <alignment vertical="center"/>
    </xf>
    <xf numFmtId="3" fontId="39" fillId="0" borderId="2" xfId="0" applyNumberFormat="1" applyFont="1" applyFill="1" applyBorder="1" applyAlignment="1">
      <alignment vertical="center"/>
    </xf>
    <xf numFmtId="0" fontId="39" fillId="0" borderId="2" xfId="0" applyFont="1" applyFill="1" applyBorder="1" applyAlignment="1">
      <alignment horizontal="left" vertical="center"/>
    </xf>
    <xf numFmtId="0" fontId="39" fillId="0" borderId="2" xfId="0" applyFont="1" applyFill="1" applyBorder="1" applyAlignment="1">
      <alignment vertical="center"/>
    </xf>
    <xf numFmtId="190" fontId="39" fillId="0" borderId="2" xfId="0" applyNumberFormat="1" applyFont="1" applyFill="1" applyBorder="1" applyAlignment="1">
      <alignment horizontal="center" vertical="center"/>
    </xf>
    <xf numFmtId="0" fontId="39" fillId="0" borderId="2" xfId="0" applyFont="1" applyFill="1" applyBorder="1" applyAlignment="1">
      <alignment horizontal="right" vertical="center"/>
    </xf>
    <xf numFmtId="4" fontId="39" fillId="0" borderId="2" xfId="15" applyNumberFormat="1" applyFont="1" applyFill="1" applyBorder="1" applyAlignment="1" applyProtection="1">
      <alignment vertical="center"/>
      <protection/>
    </xf>
    <xf numFmtId="4" fontId="39" fillId="0" borderId="2" xfId="15"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3" fontId="39" fillId="0" borderId="2" xfId="15" applyNumberFormat="1" applyFont="1" applyFill="1" applyBorder="1" applyAlignment="1" applyProtection="1">
      <alignment horizontal="right" vertical="center"/>
      <protection/>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17"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4" fontId="39" fillId="0" borderId="2" xfId="17"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xf>
    <xf numFmtId="4" fontId="56" fillId="0" borderId="2" xfId="0" applyNumberFormat="1" applyFont="1" applyFill="1" applyBorder="1" applyAlignment="1">
      <alignment horizontal="right" vertical="center"/>
    </xf>
    <xf numFmtId="3" fontId="56" fillId="0" borderId="2" xfId="0" applyNumberFormat="1" applyFont="1" applyFill="1" applyBorder="1" applyAlignment="1">
      <alignment horizontal="right" vertical="center"/>
    </xf>
    <xf numFmtId="4" fontId="56" fillId="0" borderId="2" xfId="17" applyNumberFormat="1"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xf>
    <xf numFmtId="3" fontId="39" fillId="0" borderId="3" xfId="0" applyNumberFormat="1" applyFont="1" applyFill="1" applyBorder="1" applyAlignment="1">
      <alignment horizontal="right" vertical="center"/>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59" fillId="0" borderId="4" xfId="0" applyFont="1" applyFill="1" applyBorder="1" applyAlignment="1" applyProtection="1">
      <alignment horizontal="center" vertical="center" wrapText="1"/>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67" fillId="2" borderId="5" xfId="0" applyFont="1" applyFill="1" applyBorder="1" applyAlignment="1" applyProtection="1">
      <alignment horizontal="center" vertical="center" wrapText="1"/>
      <protection/>
    </xf>
    <xf numFmtId="0" fontId="49" fillId="2" borderId="6" xfId="0" applyFont="1" applyFill="1" applyBorder="1" applyAlignment="1" applyProtection="1">
      <alignment horizontal="center" vertical="center"/>
      <protection/>
    </xf>
    <xf numFmtId="1" fontId="45" fillId="2" borderId="7" xfId="0" applyNumberFormat="1" applyFont="1" applyFill="1" applyBorder="1" applyAlignment="1" applyProtection="1">
      <alignment horizontal="center" vertical="center" wrapText="1"/>
      <protection/>
    </xf>
    <xf numFmtId="0" fontId="45" fillId="2" borderId="7"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8" xfId="0" applyNumberFormat="1" applyFont="1" applyFill="1" applyBorder="1" applyAlignment="1" applyProtection="1">
      <alignment horizontal="center" vertical="center" wrapText="1"/>
      <protection/>
    </xf>
    <xf numFmtId="0" fontId="44" fillId="2" borderId="8" xfId="0" applyFont="1" applyFill="1" applyBorder="1" applyAlignment="1" applyProtection="1">
      <alignment horizontal="center" vertical="center" wrapText="1"/>
      <protection/>
    </xf>
    <xf numFmtId="43" fontId="44" fillId="2" borderId="8" xfId="15" applyFont="1" applyFill="1" applyBorder="1" applyAlignment="1" applyProtection="1">
      <alignment horizontal="center"/>
      <protection/>
    </xf>
    <xf numFmtId="190" fontId="44" fillId="2" borderId="8" xfId="0" applyNumberFormat="1" applyFont="1" applyFill="1" applyBorder="1" applyAlignment="1" applyProtection="1">
      <alignment horizontal="center"/>
      <protection/>
    </xf>
    <xf numFmtId="0" fontId="44" fillId="2" borderId="8" xfId="0" applyFont="1" applyFill="1" applyBorder="1" applyAlignment="1" applyProtection="1">
      <alignment horizontal="center"/>
      <protection/>
    </xf>
    <xf numFmtId="0" fontId="57" fillId="2" borderId="8" xfId="0" applyFont="1" applyFill="1" applyBorder="1" applyAlignment="1" applyProtection="1">
      <alignment horizontal="center" vertical="center" wrapText="1"/>
      <protection/>
    </xf>
    <xf numFmtId="3" fontId="44" fillId="2" borderId="8" xfId="0" applyNumberFormat="1" applyFont="1" applyFill="1" applyBorder="1" applyAlignment="1" applyProtection="1">
      <alignment horizontal="center" vertical="center" wrapText="1"/>
      <protection/>
    </xf>
    <xf numFmtId="2" fontId="44" fillId="2" borderId="8" xfId="0" applyNumberFormat="1" applyFont="1" applyFill="1" applyBorder="1" applyAlignment="1" applyProtection="1">
      <alignment horizontal="center" vertical="center" wrapText="1"/>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8" xfId="0" applyFont="1" applyFill="1" applyBorder="1" applyAlignment="1" applyProtection="1">
      <alignment horizontal="center"/>
      <protection/>
    </xf>
    <xf numFmtId="43" fontId="46" fillId="2" borderId="8" xfId="15" applyFont="1" applyFill="1" applyBorder="1" applyAlignment="1" applyProtection="1">
      <alignment horizontal="center"/>
      <protection/>
    </xf>
    <xf numFmtId="190" fontId="46" fillId="2" borderId="8" xfId="0" applyNumberFormat="1" applyFont="1" applyFill="1" applyBorder="1" applyAlignment="1" applyProtection="1">
      <alignment horizontal="center"/>
      <protection/>
    </xf>
    <xf numFmtId="0" fontId="46" fillId="2" borderId="8" xfId="0" applyFont="1" applyFill="1" applyBorder="1" applyAlignment="1" applyProtection="1">
      <alignment horizontal="center" vertical="center" wrapText="1"/>
      <protection/>
    </xf>
    <xf numFmtId="0" fontId="58" fillId="2" borderId="8" xfId="0" applyFont="1" applyFill="1" applyBorder="1" applyAlignment="1" applyProtection="1">
      <alignment horizontal="center" vertical="center" wrapText="1"/>
      <protection/>
    </xf>
    <xf numFmtId="3" fontId="46" fillId="2" borderId="8" xfId="0" applyNumberFormat="1" applyFont="1" applyFill="1" applyBorder="1" applyAlignment="1" applyProtection="1">
      <alignment horizontal="center" vertical="center" wrapText="1"/>
      <protection/>
    </xf>
    <xf numFmtId="2" fontId="46" fillId="2" borderId="8" xfId="0" applyNumberFormat="1" applyFont="1" applyFill="1" applyBorder="1" applyAlignment="1" applyProtection="1">
      <alignment horizontal="center" vertical="center" wrapText="1"/>
      <protection/>
    </xf>
    <xf numFmtId="0" fontId="48" fillId="3" borderId="9" xfId="0" applyFont="1" applyFill="1" applyBorder="1" applyAlignment="1" applyProtection="1">
      <alignment vertical="center"/>
      <protection/>
    </xf>
    <xf numFmtId="0" fontId="51" fillId="4" borderId="10" xfId="0" applyFont="1" applyFill="1" applyBorder="1" applyAlignment="1" applyProtection="1">
      <alignment horizontal="center" vertical="center"/>
      <protection/>
    </xf>
    <xf numFmtId="0" fontId="50" fillId="2" borderId="11" xfId="0" applyFont="1" applyFill="1" applyBorder="1" applyAlignment="1" applyProtection="1">
      <alignment horizontal="left" vertical="center"/>
      <protection/>
    </xf>
    <xf numFmtId="0" fontId="48" fillId="3" borderId="12"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13" xfId="0" applyFont="1" applyFill="1" applyBorder="1" applyAlignment="1" applyProtection="1">
      <alignment vertical="center"/>
      <protection/>
    </xf>
    <xf numFmtId="0" fontId="50" fillId="2" borderId="14" xfId="0" applyNumberFormat="1" applyFont="1" applyFill="1" applyBorder="1" applyAlignment="1" applyProtection="1">
      <alignment horizontal="right" vertical="center"/>
      <protection/>
    </xf>
    <xf numFmtId="0" fontId="50" fillId="2" borderId="15" xfId="0" applyFont="1" applyFill="1" applyBorder="1" applyAlignment="1" applyProtection="1">
      <alignment horizontal="left" vertical="center"/>
      <protection/>
    </xf>
    <xf numFmtId="3"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3" fontId="39" fillId="0" borderId="2" xfId="32" applyNumberFormat="1" applyFont="1" applyFill="1" applyBorder="1" applyAlignment="1" applyProtection="1">
      <alignment horizontal="right" vertical="center"/>
      <protection/>
    </xf>
    <xf numFmtId="4" fontId="39" fillId="0" borderId="16" xfId="32" applyNumberFormat="1" applyFont="1" applyFill="1" applyBorder="1" applyAlignment="1" applyProtection="1">
      <alignment horizontal="right" vertical="center"/>
      <protection/>
    </xf>
    <xf numFmtId="0" fontId="48" fillId="3" borderId="17" xfId="0" applyFont="1" applyFill="1" applyBorder="1" applyAlignment="1" applyProtection="1">
      <alignment vertical="center"/>
      <protection/>
    </xf>
    <xf numFmtId="0" fontId="50" fillId="2" borderId="14" xfId="0" applyFont="1" applyFill="1" applyBorder="1" applyAlignment="1" applyProtection="1">
      <alignment horizontal="right" vertical="center"/>
      <protection/>
    </xf>
    <xf numFmtId="4" fontId="39" fillId="0" borderId="16" xfId="0" applyNumberFormat="1" applyFont="1" applyFill="1" applyBorder="1" applyAlignment="1" applyProtection="1">
      <alignment horizontal="right" vertical="center"/>
      <protection/>
    </xf>
    <xf numFmtId="0" fontId="51" fillId="4" borderId="14" xfId="0" applyFont="1" applyFill="1" applyBorder="1" applyAlignment="1" applyProtection="1">
      <alignment horizontal="center" vertical="center"/>
      <protection/>
    </xf>
    <xf numFmtId="0" fontId="51" fillId="5" borderId="15" xfId="0" applyFont="1" applyFill="1" applyBorder="1" applyAlignment="1" applyProtection="1">
      <alignment horizontal="center" vertical="center"/>
      <protection/>
    </xf>
    <xf numFmtId="204" fontId="50" fillId="2" borderId="14" xfId="0"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4" fontId="39" fillId="0" borderId="2" xfId="18"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0" fontId="50" fillId="2" borderId="14" xfId="0" applyFont="1" applyFill="1" applyBorder="1" applyAlignment="1" applyProtection="1">
      <alignment horizontal="right" vertical="center"/>
      <protection/>
    </xf>
    <xf numFmtId="0" fontId="51" fillId="4" borderId="14" xfId="0" applyFont="1" applyFill="1" applyBorder="1" applyAlignment="1" applyProtection="1">
      <alignment horizontal="center" vertical="center"/>
      <protection/>
    </xf>
    <xf numFmtId="3" fontId="39" fillId="0" borderId="2" xfId="0" applyNumberFormat="1" applyFont="1" applyFill="1" applyBorder="1" applyAlignment="1" applyProtection="1">
      <alignment horizontal="right" vertical="center"/>
      <protection/>
    </xf>
    <xf numFmtId="204" fontId="50" fillId="2" borderId="14" xfId="0" applyNumberFormat="1" applyFont="1" applyFill="1" applyBorder="1" applyAlignment="1" applyProtection="1">
      <alignment horizontal="right" vertical="center"/>
      <protection/>
    </xf>
    <xf numFmtId="190" fontId="39" fillId="0" borderId="2" xfId="0" applyNumberFormat="1" applyFont="1" applyFill="1" applyBorder="1" applyAlignment="1" applyProtection="1">
      <alignment horizontal="center" vertical="center"/>
      <protection/>
    </xf>
    <xf numFmtId="0" fontId="39" fillId="0" borderId="2" xfId="0" applyFont="1" applyFill="1" applyBorder="1" applyAlignment="1" applyProtection="1">
      <alignment horizontal="left" vertical="center"/>
      <protection/>
    </xf>
    <xf numFmtId="0" fontId="39" fillId="0" borderId="2" xfId="0" applyFont="1" applyFill="1" applyBorder="1" applyAlignment="1" applyProtection="1">
      <alignment horizontal="right" vertical="center"/>
      <protection/>
    </xf>
    <xf numFmtId="0" fontId="50" fillId="2" borderId="14" xfId="0" applyFont="1" applyFill="1" applyBorder="1" applyAlignment="1" applyProtection="1">
      <alignment horizontal="right" vertical="center"/>
      <protection/>
    </xf>
    <xf numFmtId="0" fontId="39" fillId="0" borderId="2" xfId="0" applyNumberFormat="1" applyFont="1" applyFill="1" applyBorder="1" applyAlignment="1" applyProtection="1">
      <alignment horizontal="left" vertical="center"/>
      <protection/>
    </xf>
    <xf numFmtId="49" fontId="39" fillId="0" borderId="2" xfId="0" applyNumberFormat="1" applyFont="1" applyFill="1" applyBorder="1" applyAlignment="1" applyProtection="1">
      <alignment horizontal="left" vertical="center"/>
      <protection/>
    </xf>
    <xf numFmtId="0" fontId="39" fillId="0" borderId="2" xfId="0" applyNumberFormat="1" applyFont="1" applyFill="1" applyBorder="1" applyAlignment="1" applyProtection="1">
      <alignment horizontal="right" vertical="center"/>
      <protection/>
    </xf>
    <xf numFmtId="0" fontId="50" fillId="2" borderId="14" xfId="0" applyFont="1" applyFill="1" applyBorder="1" applyAlignment="1" applyProtection="1">
      <alignment horizontal="right" vertical="center"/>
      <protection/>
    </xf>
    <xf numFmtId="4" fontId="39" fillId="0" borderId="16" xfId="15" applyNumberFormat="1" applyFont="1" applyFill="1" applyBorder="1" applyAlignment="1" applyProtection="1">
      <alignment horizontal="right" vertical="center"/>
      <protection/>
    </xf>
    <xf numFmtId="4" fontId="39" fillId="0" borderId="16" xfId="32" applyNumberFormat="1" applyFont="1" applyFill="1" applyBorder="1" applyAlignment="1" applyProtection="1">
      <alignment horizontal="right" vertical="center"/>
      <protection/>
    </xf>
    <xf numFmtId="3" fontId="39" fillId="0" borderId="2" xfId="0" applyNumberFormat="1" applyFont="1" applyFill="1" applyBorder="1" applyAlignment="1" applyProtection="1">
      <alignment horizontal="right" vertical="center"/>
      <protection/>
    </xf>
    <xf numFmtId="4" fontId="39" fillId="0" borderId="16" xfId="0" applyNumberFormat="1" applyFont="1" applyFill="1" applyBorder="1" applyAlignment="1" applyProtection="1">
      <alignment horizontal="right" vertical="center"/>
      <protection/>
    </xf>
    <xf numFmtId="0" fontId="48" fillId="3" borderId="18" xfId="0" applyFont="1" applyFill="1" applyBorder="1" applyAlignment="1" applyProtection="1">
      <alignment vertical="center"/>
      <protection/>
    </xf>
    <xf numFmtId="0" fontId="51" fillId="5" borderId="19" xfId="0" applyFont="1" applyFill="1" applyBorder="1" applyAlignment="1" applyProtection="1">
      <alignment horizontal="center" vertical="center"/>
      <protection/>
    </xf>
    <xf numFmtId="0" fontId="39" fillId="0" borderId="20" xfId="0" applyFont="1" applyFill="1" applyBorder="1" applyAlignment="1" applyProtection="1">
      <alignment horizontal="left" vertical="center"/>
      <protection/>
    </xf>
    <xf numFmtId="190" fontId="39" fillId="0" borderId="20" xfId="0" applyNumberFormat="1" applyFont="1" applyFill="1" applyBorder="1" applyAlignment="1" applyProtection="1">
      <alignment horizontal="center" vertical="center"/>
      <protection/>
    </xf>
    <xf numFmtId="0" fontId="39" fillId="0" borderId="20" xfId="0" applyFont="1" applyFill="1" applyBorder="1" applyAlignment="1" applyProtection="1">
      <alignment horizontal="right" vertical="center"/>
      <protection/>
    </xf>
    <xf numFmtId="4" fontId="39" fillId="0" borderId="20" xfId="18" applyNumberFormat="1" applyFont="1" applyFill="1" applyBorder="1" applyAlignment="1" applyProtection="1">
      <alignment horizontal="right" vertical="center"/>
      <protection/>
    </xf>
    <xf numFmtId="3" fontId="39" fillId="0" borderId="20" xfId="18" applyNumberFormat="1" applyFont="1" applyFill="1" applyBorder="1" applyAlignment="1" applyProtection="1">
      <alignment horizontal="right" vertical="center"/>
      <protection/>
    </xf>
    <xf numFmtId="4" fontId="39" fillId="0" borderId="20" xfId="15" applyNumberFormat="1" applyFont="1" applyFill="1" applyBorder="1" applyAlignment="1" applyProtection="1">
      <alignment horizontal="right" vertical="center"/>
      <protection/>
    </xf>
    <xf numFmtId="3" fontId="39" fillId="0" borderId="20" xfId="15" applyNumberFormat="1" applyFont="1" applyFill="1" applyBorder="1" applyAlignment="1" applyProtection="1">
      <alignment horizontal="right" vertical="center"/>
      <protection/>
    </xf>
    <xf numFmtId="3" fontId="39" fillId="0" borderId="20" xfId="32" applyNumberFormat="1" applyFont="1" applyFill="1" applyBorder="1" applyAlignment="1" applyProtection="1">
      <alignment horizontal="right" vertical="center"/>
      <protection/>
    </xf>
    <xf numFmtId="4" fontId="39" fillId="0" borderId="20" xfId="32" applyNumberFormat="1" applyFont="1" applyFill="1" applyBorder="1" applyAlignment="1" applyProtection="1">
      <alignment horizontal="right" vertical="center"/>
      <protection/>
    </xf>
    <xf numFmtId="4" fontId="39" fillId="0" borderId="20" xfId="32" applyNumberFormat="1" applyFont="1" applyFill="1" applyBorder="1" applyAlignment="1" applyProtection="1">
      <alignment horizontal="right" vertical="center"/>
      <protection/>
    </xf>
    <xf numFmtId="3" fontId="39" fillId="0" borderId="20" xfId="32" applyNumberFormat="1" applyFont="1" applyFill="1" applyBorder="1" applyAlignment="1" applyProtection="1">
      <alignment horizontal="right" vertical="center"/>
      <protection/>
    </xf>
    <xf numFmtId="4" fontId="39" fillId="0" borderId="20" xfId="18" applyNumberFormat="1" applyFont="1" applyFill="1" applyBorder="1" applyAlignment="1" applyProtection="1">
      <alignment horizontal="right" vertical="center"/>
      <protection/>
    </xf>
    <xf numFmtId="3" fontId="39" fillId="0" borderId="20" xfId="18" applyNumberFormat="1" applyFont="1" applyFill="1" applyBorder="1" applyAlignment="1" applyProtection="1">
      <alignment horizontal="right" vertical="center"/>
      <protection/>
    </xf>
    <xf numFmtId="4" fontId="39" fillId="0" borderId="21" xfId="0" applyNumberFormat="1" applyFont="1" applyFill="1" applyBorder="1" applyAlignment="1" applyProtection="1">
      <alignment horizontal="right" vertical="center"/>
      <protection/>
    </xf>
    <xf numFmtId="0" fontId="48" fillId="3" borderId="22"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32" applyNumberFormat="1" applyFont="1" applyFill="1" applyBorder="1" applyAlignment="1" applyProtection="1">
      <alignment horizontal="right" vertical="center"/>
      <protection/>
    </xf>
    <xf numFmtId="0" fontId="37" fillId="2" borderId="0" xfId="0" applyFont="1" applyFill="1" applyBorder="1" applyAlignment="1" applyProtection="1">
      <alignment horizontal="left" vertical="center"/>
      <protection/>
    </xf>
    <xf numFmtId="3" fontId="36" fillId="2" borderId="0" xfId="0" applyNumberFormat="1" applyFont="1" applyFill="1" applyBorder="1" applyAlignment="1" applyProtection="1">
      <alignment horizontal="left" vertical="center"/>
      <protection/>
    </xf>
    <xf numFmtId="2"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0" fontId="0"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3" fontId="6" fillId="2" borderId="0" xfId="0" applyNumberFormat="1" applyFont="1" applyFill="1" applyBorder="1" applyAlignment="1" applyProtection="1">
      <alignment vertical="center"/>
      <protection/>
    </xf>
    <xf numFmtId="2" fontId="6" fillId="2" borderId="0" xfId="0" applyNumberFormat="1" applyFont="1" applyFill="1" applyBorder="1" applyAlignment="1" applyProtection="1">
      <alignment vertical="center"/>
      <protection/>
    </xf>
    <xf numFmtId="204" fontId="50" fillId="2" borderId="23" xfId="0" applyNumberFormat="1" applyFont="1" applyFill="1" applyBorder="1" applyAlignment="1" applyProtection="1">
      <alignment horizontal="right" vertical="center"/>
      <protection/>
    </xf>
    <xf numFmtId="0" fontId="59" fillId="2" borderId="0" xfId="0" applyFont="1" applyFill="1" applyBorder="1" applyAlignment="1" applyProtection="1">
      <alignment horizontal="center" vertical="center" wrapText="1"/>
      <protection/>
    </xf>
    <xf numFmtId="4" fontId="62" fillId="2" borderId="0" xfId="0" applyNumberFormat="1" applyFont="1" applyFill="1" applyBorder="1" applyAlignment="1" applyProtection="1">
      <alignment horizontal="center" vertical="center"/>
      <protection/>
    </xf>
    <xf numFmtId="3" fontId="62" fillId="2" borderId="0" xfId="0" applyNumberFormat="1" applyFont="1" applyFill="1" applyBorder="1" applyAlignment="1" applyProtection="1">
      <alignment horizontal="center" vertical="center"/>
      <protection/>
    </xf>
    <xf numFmtId="0" fontId="62" fillId="2" borderId="0" xfId="0" applyFont="1" applyFill="1" applyBorder="1" applyAlignment="1" applyProtection="1">
      <alignment horizontal="center" vertical="center"/>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0" fontId="65" fillId="2" borderId="0" xfId="0" applyFont="1" applyFill="1" applyBorder="1" applyAlignment="1" applyProtection="1">
      <alignment horizontal="center" vertical="center" wrapText="1"/>
      <protection/>
    </xf>
    <xf numFmtId="0" fontId="64" fillId="2" borderId="0" xfId="0"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wrapText="1"/>
      <protection/>
    </xf>
    <xf numFmtId="0" fontId="66" fillId="2" borderId="0" xfId="0" applyFont="1" applyFill="1" applyBorder="1" applyAlignment="1" applyProtection="1">
      <alignment horizontal="center" vertical="center" wrapText="1"/>
      <protection/>
    </xf>
    <xf numFmtId="3" fontId="39" fillId="0" borderId="3" xfId="18" applyNumberFormat="1" applyFont="1" applyFill="1" applyBorder="1" applyAlignment="1" applyProtection="1">
      <alignment horizontal="right" vertical="center"/>
      <protection/>
    </xf>
    <xf numFmtId="2" fontId="39" fillId="0" borderId="3" xfId="18" applyNumberFormat="1" applyFont="1" applyFill="1" applyBorder="1" applyAlignment="1" applyProtection="1">
      <alignment horizontal="right" vertical="center"/>
      <protection/>
    </xf>
    <xf numFmtId="2" fontId="39" fillId="0" borderId="24" xfId="18" applyNumberFormat="1" applyFont="1" applyFill="1" applyBorder="1" applyAlignment="1" applyProtection="1">
      <alignment horizontal="right" vertical="center"/>
      <protection/>
    </xf>
    <xf numFmtId="0" fontId="39" fillId="0" borderId="14" xfId="0" applyFont="1" applyFill="1" applyBorder="1" applyAlignment="1">
      <alignment horizontal="left" vertical="center"/>
    </xf>
    <xf numFmtId="0" fontId="39" fillId="0" borderId="2" xfId="0" applyFont="1" applyFill="1" applyBorder="1" applyAlignment="1">
      <alignment horizontal="right" vertical="center"/>
    </xf>
    <xf numFmtId="4" fontId="56" fillId="0" borderId="2" xfId="0" applyNumberFormat="1" applyFont="1" applyFill="1" applyBorder="1" applyAlignment="1">
      <alignment horizontal="right" vertical="center"/>
    </xf>
    <xf numFmtId="3" fontId="56"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2" fontId="39" fillId="0" borderId="16" xfId="18" applyNumberFormat="1" applyFont="1" applyFill="1" applyBorder="1" applyAlignment="1" applyProtection="1">
      <alignment horizontal="right" vertical="center"/>
      <protection/>
    </xf>
    <xf numFmtId="0" fontId="39" fillId="0" borderId="14" xfId="0" applyFont="1" applyFill="1" applyBorder="1" applyAlignment="1">
      <alignment vertical="center"/>
    </xf>
    <xf numFmtId="0" fontId="39" fillId="0" borderId="2" xfId="0" applyNumberFormat="1" applyFont="1" applyFill="1" applyBorder="1" applyAlignment="1">
      <alignment horizontal="left" vertical="center"/>
    </xf>
    <xf numFmtId="2" fontId="39" fillId="0" borderId="2" xfId="18" applyNumberFormat="1" applyFont="1" applyFill="1" applyBorder="1" applyAlignment="1" applyProtection="1">
      <alignment vertical="center"/>
      <protection/>
    </xf>
    <xf numFmtId="0" fontId="39" fillId="0" borderId="14" xfId="0" applyFont="1" applyFill="1" applyBorder="1" applyAlignment="1">
      <alignment horizontal="left" vertical="center"/>
    </xf>
    <xf numFmtId="0" fontId="39" fillId="0" borderId="2" xfId="0" applyNumberFormat="1" applyFont="1" applyFill="1" applyBorder="1" applyAlignment="1">
      <alignment horizontal="right" vertical="center"/>
    </xf>
    <xf numFmtId="3" fontId="39" fillId="0" borderId="2" xfId="18" applyNumberFormat="1" applyFont="1" applyFill="1" applyBorder="1" applyAlignment="1" applyProtection="1">
      <alignment vertical="center"/>
      <protection/>
    </xf>
    <xf numFmtId="2" fontId="39" fillId="0" borderId="2" xfId="17" applyNumberFormat="1" applyFont="1" applyFill="1" applyBorder="1" applyAlignment="1" applyProtection="1">
      <alignment horizontal="right" vertical="center"/>
      <protection/>
    </xf>
    <xf numFmtId="0" fontId="39" fillId="0" borderId="14"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0" fontId="39" fillId="0" borderId="2" xfId="0" applyFont="1" applyFill="1" applyBorder="1" applyAlignment="1">
      <alignment horizontal="right"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4" fontId="39" fillId="0" borderId="2" xfId="18" applyNumberFormat="1" applyFont="1" applyFill="1" applyBorder="1" applyAlignment="1" applyProtection="1">
      <alignment horizontal="right" vertical="center" shrinkToFit="1"/>
      <protection locked="0"/>
    </xf>
    <xf numFmtId="3" fontId="39" fillId="0" borderId="2" xfId="18" applyNumberFormat="1" applyFont="1" applyFill="1" applyBorder="1" applyAlignment="1" applyProtection="1">
      <alignment horizontal="right" vertical="center" shrinkToFit="1"/>
      <protection locked="0"/>
    </xf>
    <xf numFmtId="2" fontId="39" fillId="0" borderId="16" xfId="18" applyNumberFormat="1" applyFont="1" applyFill="1" applyBorder="1" applyAlignment="1" applyProtection="1">
      <alignment horizontal="right" vertical="center" shrinkToFit="1"/>
      <protection/>
    </xf>
    <xf numFmtId="0" fontId="39" fillId="0" borderId="14" xfId="0" applyNumberFormat="1" applyFont="1" applyFill="1" applyBorder="1" applyAlignment="1">
      <alignment horizontal="left" vertical="center"/>
    </xf>
    <xf numFmtId="193" fontId="39" fillId="0" borderId="2" xfId="18" applyNumberFormat="1" applyFont="1" applyFill="1" applyBorder="1" applyAlignment="1" applyProtection="1">
      <alignment horizontal="right" vertical="center"/>
      <protection/>
    </xf>
    <xf numFmtId="0" fontId="39" fillId="0" borderId="14" xfId="0" applyNumberFormat="1" applyFont="1" applyFill="1" applyBorder="1" applyAlignment="1">
      <alignment horizontal="left" vertical="center"/>
    </xf>
    <xf numFmtId="0" fontId="39" fillId="0" borderId="2" xfId="0" applyNumberFormat="1" applyFont="1" applyFill="1" applyBorder="1" applyAlignment="1">
      <alignment horizontal="left" vertical="center"/>
    </xf>
    <xf numFmtId="0" fontId="39"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2" fontId="39" fillId="0" borderId="16" xfId="18"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shrinkToFit="1"/>
    </xf>
    <xf numFmtId="0" fontId="39" fillId="0" borderId="14" xfId="0" applyFont="1" applyFill="1" applyBorder="1" applyAlignment="1" applyProtection="1">
      <alignment horizontal="left" vertical="center"/>
      <protection locked="0"/>
    </xf>
    <xf numFmtId="2" fontId="39" fillId="0" borderId="16" xfId="17" applyNumberFormat="1" applyFont="1" applyFill="1" applyBorder="1" applyAlignment="1" applyProtection="1">
      <alignment horizontal="right" vertical="center"/>
      <protection/>
    </xf>
    <xf numFmtId="0" fontId="39" fillId="0" borderId="14" xfId="0" applyFont="1" applyFill="1" applyBorder="1" applyAlignment="1" applyProtection="1">
      <alignment vertical="center"/>
      <protection locked="0"/>
    </xf>
    <xf numFmtId="2" fontId="39" fillId="0" borderId="2" xfId="17" applyNumberFormat="1" applyFont="1" applyFill="1" applyBorder="1" applyAlignment="1" applyProtection="1">
      <alignment vertical="center"/>
      <protection/>
    </xf>
    <xf numFmtId="4" fontId="39" fillId="0" borderId="2" xfId="17" applyNumberFormat="1" applyFont="1" applyFill="1" applyBorder="1" applyAlignment="1" applyProtection="1">
      <alignment vertical="center"/>
      <protection locked="0"/>
    </xf>
    <xf numFmtId="0" fontId="39" fillId="0" borderId="14" xfId="0" applyNumberFormat="1" applyFont="1" applyFill="1" applyBorder="1" applyAlignment="1" applyProtection="1">
      <alignment horizontal="left" vertical="center"/>
      <protection locked="0"/>
    </xf>
    <xf numFmtId="3" fontId="39" fillId="0" borderId="2" xfId="17" applyNumberFormat="1" applyFont="1" applyFill="1" applyBorder="1" applyAlignment="1" applyProtection="1">
      <alignment vertical="center"/>
      <protection/>
    </xf>
    <xf numFmtId="193" fontId="39" fillId="0" borderId="2" xfId="17" applyNumberFormat="1" applyFont="1" applyFill="1" applyBorder="1" applyAlignment="1" applyProtection="1">
      <alignment horizontal="right" vertical="center"/>
      <protection/>
    </xf>
    <xf numFmtId="2" fontId="39" fillId="0" borderId="2" xfId="17"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xf>
    <xf numFmtId="2" fontId="39" fillId="0" borderId="2" xfId="32" applyNumberFormat="1" applyFont="1" applyFill="1" applyBorder="1" applyAlignment="1" applyProtection="1">
      <alignment horizontal="right" vertical="center"/>
      <protection/>
    </xf>
    <xf numFmtId="2" fontId="39" fillId="0" borderId="16" xfId="32"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2" fontId="39" fillId="0" borderId="2" xfId="32" applyNumberFormat="1" applyFont="1" applyFill="1" applyBorder="1" applyAlignment="1" applyProtection="1">
      <alignment horizontal="right" vertical="center"/>
      <protection/>
    </xf>
    <xf numFmtId="0" fontId="39" fillId="0" borderId="2" xfId="0" applyNumberFormat="1" applyFont="1" applyFill="1" applyBorder="1" applyAlignment="1">
      <alignment horizontal="right" vertical="center"/>
    </xf>
    <xf numFmtId="0" fontId="39" fillId="0" borderId="14" xfId="0"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4" fontId="39" fillId="0" borderId="2" xfId="22" applyNumberFormat="1" applyFont="1" applyFill="1" applyBorder="1" applyAlignment="1" applyProtection="1">
      <alignment horizontal="right" vertical="center"/>
      <protection/>
    </xf>
    <xf numFmtId="3" fontId="39" fillId="0" borderId="2" xfId="22" applyNumberFormat="1" applyFont="1" applyFill="1" applyBorder="1" applyAlignment="1" applyProtection="1">
      <alignment horizontal="right" vertical="center"/>
      <protection/>
    </xf>
    <xf numFmtId="2" fontId="39" fillId="0" borderId="16" xfId="0"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4" fontId="56" fillId="0" borderId="2" xfId="19" applyNumberFormat="1" applyFont="1" applyFill="1" applyBorder="1" applyAlignment="1" applyProtection="1">
      <alignment horizontal="right" vertical="center"/>
      <protection locked="0"/>
    </xf>
    <xf numFmtId="3" fontId="56" fillId="0" borderId="2" xfId="19" applyNumberFormat="1" applyFont="1" applyFill="1" applyBorder="1" applyAlignment="1" applyProtection="1">
      <alignment horizontal="right" vertical="center"/>
      <protection locked="0"/>
    </xf>
    <xf numFmtId="3" fontId="39" fillId="0" borderId="2" xfId="19" applyNumberFormat="1" applyFont="1" applyFill="1" applyBorder="1" applyAlignment="1" applyProtection="1">
      <alignment horizontal="right" vertical="center"/>
      <protection/>
    </xf>
    <xf numFmtId="2" fontId="39" fillId="0" borderId="2" xfId="19" applyNumberFormat="1" applyFont="1" applyFill="1" applyBorder="1" applyAlignment="1" applyProtection="1">
      <alignment horizontal="right" vertical="center"/>
      <protection/>
    </xf>
    <xf numFmtId="4" fontId="39" fillId="0" borderId="2" xfId="19" applyNumberFormat="1" applyFont="1" applyFill="1" applyBorder="1" applyAlignment="1" applyProtection="1">
      <alignment horizontal="right" vertical="center"/>
      <protection locked="0"/>
    </xf>
    <xf numFmtId="3" fontId="39" fillId="0" borderId="2" xfId="19" applyNumberFormat="1" applyFont="1" applyFill="1" applyBorder="1" applyAlignment="1" applyProtection="1">
      <alignment horizontal="right" vertical="center"/>
      <protection locked="0"/>
    </xf>
    <xf numFmtId="2" fontId="39" fillId="0" borderId="16" xfId="19" applyNumberFormat="1" applyFont="1" applyFill="1" applyBorder="1" applyAlignment="1" applyProtection="1">
      <alignment horizontal="right" vertical="center"/>
      <protection/>
    </xf>
    <xf numFmtId="0" fontId="39" fillId="0" borderId="14" xfId="0" applyNumberFormat="1" applyFont="1" applyFill="1" applyBorder="1" applyAlignment="1" applyProtection="1">
      <alignment vertical="center"/>
      <protection locked="0"/>
    </xf>
    <xf numFmtId="0" fontId="39" fillId="0" borderId="14" xfId="27" applyFont="1" applyFill="1" applyBorder="1" applyAlignment="1">
      <alignment horizontal="left" vertical="center"/>
      <protection/>
    </xf>
    <xf numFmtId="190" fontId="39" fillId="0" borderId="2" xfId="27" applyNumberFormat="1" applyFont="1" applyFill="1" applyBorder="1" applyAlignment="1">
      <alignment horizontal="center" vertical="center"/>
      <protection/>
    </xf>
    <xf numFmtId="0" fontId="39" fillId="0" borderId="2" xfId="27" applyFont="1" applyFill="1" applyBorder="1" applyAlignment="1">
      <alignment horizontal="left" vertical="center"/>
      <protection/>
    </xf>
    <xf numFmtId="0" fontId="39" fillId="0" borderId="2" xfId="27" applyFont="1" applyFill="1" applyBorder="1" applyAlignment="1">
      <alignment horizontal="right" vertical="center"/>
      <protection/>
    </xf>
    <xf numFmtId="4" fontId="39" fillId="0" borderId="2" xfId="27" applyNumberFormat="1" applyFont="1" applyFill="1" applyBorder="1" applyAlignment="1">
      <alignment horizontal="right" vertical="center"/>
      <protection/>
    </xf>
    <xf numFmtId="3" fontId="39" fillId="0" borderId="2" xfId="27" applyNumberFormat="1" applyFont="1" applyFill="1" applyBorder="1" applyAlignment="1">
      <alignment horizontal="right" vertical="center"/>
      <protection/>
    </xf>
    <xf numFmtId="2" fontId="39" fillId="0" borderId="2" xfId="0" applyNumberFormat="1" applyFont="1" applyFill="1" applyBorder="1" applyAlignment="1">
      <alignment horizontal="right" vertical="center"/>
    </xf>
    <xf numFmtId="2" fontId="39" fillId="0" borderId="16" xfId="0" applyNumberFormat="1" applyFont="1" applyFill="1" applyBorder="1" applyAlignment="1">
      <alignment horizontal="right" vertical="center"/>
    </xf>
    <xf numFmtId="2" fontId="39" fillId="0" borderId="2" xfId="19" applyNumberFormat="1" applyFont="1" applyFill="1" applyBorder="1" applyAlignment="1" applyProtection="1">
      <alignment vertical="center"/>
      <protection/>
    </xf>
    <xf numFmtId="14" fontId="39" fillId="0" borderId="2" xfId="0" applyNumberFormat="1"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190" fontId="39" fillId="0" borderId="2" xfId="27" applyNumberFormat="1" applyFont="1" applyFill="1" applyBorder="1" applyAlignment="1" applyProtection="1">
      <alignment horizontal="center" vertical="center"/>
      <protection locked="0"/>
    </xf>
    <xf numFmtId="0" fontId="39" fillId="0" borderId="14" xfId="0" applyFont="1" applyFill="1" applyBorder="1" applyAlignment="1" applyProtection="1">
      <alignment horizontal="left" vertical="center" shrinkToFit="1"/>
      <protection locked="0"/>
    </xf>
    <xf numFmtId="3" fontId="39" fillId="0" borderId="2" xfId="32" applyNumberFormat="1" applyFont="1" applyFill="1" applyBorder="1" applyAlignment="1" applyProtection="1">
      <alignment vertical="center"/>
      <protection/>
    </xf>
    <xf numFmtId="193" fontId="39" fillId="0" borderId="2" xfId="0" applyNumberFormat="1" applyFont="1" applyFill="1" applyBorder="1" applyAlignment="1" applyProtection="1">
      <alignment horizontal="right" vertical="center"/>
      <protection/>
    </xf>
    <xf numFmtId="2" fontId="39" fillId="0" borderId="2" xfId="0" applyNumberFormat="1" applyFont="1" applyFill="1" applyBorder="1" applyAlignment="1">
      <alignment vertical="center"/>
    </xf>
    <xf numFmtId="4" fontId="39" fillId="0" borderId="2" xfId="0" applyNumberFormat="1" applyFont="1" applyFill="1" applyBorder="1" applyAlignment="1">
      <alignment horizontal="right"/>
    </xf>
    <xf numFmtId="3" fontId="39" fillId="0" borderId="2" xfId="0" applyNumberFormat="1" applyFont="1" applyFill="1" applyBorder="1" applyAlignment="1">
      <alignment horizontal="right"/>
    </xf>
    <xf numFmtId="190" fontId="39" fillId="0" borderId="2" xfId="0" applyNumberFormat="1" applyFont="1" applyFill="1" applyBorder="1" applyAlignment="1">
      <alignment horizontal="center" vertical="center"/>
    </xf>
    <xf numFmtId="14"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0" fontId="39" fillId="2" borderId="14" xfId="0" applyFont="1" applyFill="1" applyBorder="1" applyAlignment="1">
      <alignment horizontal="left"/>
    </xf>
    <xf numFmtId="190" fontId="39" fillId="2" borderId="2" xfId="0" applyNumberFormat="1" applyFont="1" applyFill="1" applyBorder="1" applyAlignment="1">
      <alignment horizontal="center" wrapText="1"/>
    </xf>
    <xf numFmtId="14" fontId="39" fillId="2" borderId="2" xfId="0" applyNumberFormat="1" applyFont="1" applyFill="1" applyBorder="1" applyAlignment="1">
      <alignment horizontal="left"/>
    </xf>
    <xf numFmtId="0" fontId="39" fillId="2" borderId="2" xfId="0" applyFont="1" applyFill="1" applyBorder="1" applyAlignment="1">
      <alignment horizontal="right"/>
    </xf>
    <xf numFmtId="3" fontId="39" fillId="2" borderId="2" xfId="0" applyNumberFormat="1" applyFont="1" applyFill="1" applyBorder="1" applyAlignment="1">
      <alignment horizontal="right"/>
    </xf>
    <xf numFmtId="2" fontId="39" fillId="2" borderId="2" xfId="0" applyNumberFormat="1" applyFont="1" applyFill="1" applyBorder="1" applyAlignment="1">
      <alignment horizontal="right"/>
    </xf>
    <xf numFmtId="4" fontId="39" fillId="2" borderId="2" xfId="0" applyNumberFormat="1" applyFont="1" applyFill="1" applyBorder="1" applyAlignment="1">
      <alignment horizontal="right"/>
    </xf>
    <xf numFmtId="3" fontId="39" fillId="2" borderId="2" xfId="0" applyNumberFormat="1" applyFont="1" applyFill="1" applyBorder="1" applyAlignment="1">
      <alignment horizontal="right"/>
    </xf>
    <xf numFmtId="2" fontId="39" fillId="2" borderId="16" xfId="0" applyNumberFormat="1" applyFont="1" applyFill="1" applyBorder="1" applyAlignment="1">
      <alignment horizontal="right"/>
    </xf>
    <xf numFmtId="204" fontId="39" fillId="0" borderId="14" xfId="0" applyNumberFormat="1" applyFont="1" applyFill="1" applyBorder="1" applyAlignment="1">
      <alignment horizontal="left" vertical="center"/>
    </xf>
    <xf numFmtId="0" fontId="39" fillId="0" borderId="14" xfId="0" applyFont="1" applyFill="1" applyBorder="1" applyAlignment="1">
      <alignment horizontal="left" vertical="center"/>
    </xf>
    <xf numFmtId="0" fontId="39" fillId="0" borderId="2" xfId="0" applyFont="1" applyFill="1" applyBorder="1" applyAlignment="1">
      <alignment horizontal="left" vertical="center"/>
    </xf>
    <xf numFmtId="0" fontId="39" fillId="0" borderId="14" xfId="0" applyFont="1" applyFill="1" applyBorder="1" applyAlignment="1">
      <alignment vertical="center"/>
    </xf>
    <xf numFmtId="2" fontId="39" fillId="0" borderId="2" xfId="18" applyNumberFormat="1" applyFont="1" applyFill="1" applyBorder="1" applyAlignment="1" applyProtection="1">
      <alignment vertical="center"/>
      <protection/>
    </xf>
    <xf numFmtId="4" fontId="39" fillId="0" borderId="2" xfId="19" applyNumberFormat="1" applyFont="1" applyFill="1" applyBorder="1" applyAlignment="1" applyProtection="1">
      <alignment vertical="center"/>
      <protection locked="0"/>
    </xf>
    <xf numFmtId="3" fontId="39" fillId="0" borderId="2" xfId="19" applyNumberFormat="1" applyFont="1" applyFill="1" applyBorder="1" applyAlignment="1" applyProtection="1">
      <alignment vertical="center"/>
      <protection/>
    </xf>
    <xf numFmtId="3" fontId="39" fillId="0" borderId="2" xfId="19" applyNumberFormat="1" applyFont="1" applyFill="1" applyBorder="1" applyAlignment="1" applyProtection="1">
      <alignment vertical="center"/>
      <protection locked="0"/>
    </xf>
    <xf numFmtId="0" fontId="39" fillId="0" borderId="14"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right" vertical="center"/>
      <protection locked="0"/>
    </xf>
    <xf numFmtId="190" fontId="39" fillId="0" borderId="2" xfId="0" applyNumberFormat="1" applyFont="1" applyBorder="1" applyAlignment="1" applyProtection="1">
      <alignment horizontal="center" vertical="center"/>
      <protection locked="0"/>
    </xf>
    <xf numFmtId="0" fontId="39" fillId="0" borderId="2" xfId="0" applyFont="1" applyBorder="1" applyAlignment="1" applyProtection="1">
      <alignment horizontal="left" vertical="center"/>
      <protection locked="0"/>
    </xf>
    <xf numFmtId="0" fontId="39" fillId="0" borderId="2" xfId="0" applyFont="1" applyBorder="1" applyAlignment="1" applyProtection="1">
      <alignment horizontal="right" vertical="center"/>
      <protection locked="0"/>
    </xf>
    <xf numFmtId="3" fontId="39" fillId="0" borderId="2" xfId="32" applyNumberFormat="1" applyFont="1" applyBorder="1" applyAlignment="1" applyProtection="1">
      <alignment horizontal="right" vertical="center"/>
      <protection/>
    </xf>
    <xf numFmtId="2" fontId="39" fillId="0" borderId="2" xfId="32" applyNumberFormat="1" applyFont="1" applyBorder="1" applyAlignment="1" applyProtection="1">
      <alignment horizontal="right" vertical="center"/>
      <protection/>
    </xf>
    <xf numFmtId="2" fontId="39" fillId="0" borderId="16" xfId="32" applyNumberFormat="1" applyFont="1" applyBorder="1" applyAlignment="1" applyProtection="1">
      <alignment horizontal="right" vertical="center"/>
      <protection/>
    </xf>
    <xf numFmtId="2" fontId="39" fillId="0" borderId="16" xfId="17" applyNumberFormat="1" applyFont="1" applyFill="1" applyBorder="1" applyAlignment="1" applyProtection="1">
      <alignment horizontal="right" vertical="center"/>
      <protection/>
    </xf>
    <xf numFmtId="2" fontId="39" fillId="0" borderId="16" xfId="32" applyNumberFormat="1" applyFont="1" applyFill="1" applyBorder="1" applyAlignment="1" applyProtection="1">
      <alignment horizontal="right" vertical="center"/>
      <protection/>
    </xf>
    <xf numFmtId="2" fontId="39" fillId="0" borderId="2" xfId="0" applyNumberFormat="1" applyFont="1" applyFill="1" applyBorder="1" applyAlignment="1" applyProtection="1">
      <alignment horizontal="right" vertical="center"/>
      <protection/>
    </xf>
    <xf numFmtId="2" fontId="39" fillId="0" borderId="16" xfId="0" applyNumberFormat="1" applyFont="1" applyFill="1" applyBorder="1" applyAlignment="1" applyProtection="1">
      <alignment horizontal="right" vertical="center"/>
      <protection/>
    </xf>
    <xf numFmtId="2" fontId="39" fillId="0" borderId="2" xfId="0" applyNumberFormat="1" applyFont="1" applyFill="1" applyBorder="1" applyAlignment="1">
      <alignment horizontal="right"/>
    </xf>
    <xf numFmtId="2" fontId="39" fillId="0" borderId="16" xfId="0" applyNumberFormat="1" applyFont="1" applyFill="1" applyBorder="1" applyAlignment="1">
      <alignment horizontal="right"/>
    </xf>
    <xf numFmtId="3" fontId="39" fillId="0" borderId="2" xfId="32" applyNumberFormat="1" applyFont="1" applyFill="1" applyBorder="1" applyAlignment="1" applyProtection="1">
      <alignment vertical="center"/>
      <protection/>
    </xf>
    <xf numFmtId="2" fontId="39" fillId="0" borderId="16" xfId="0" applyNumberFormat="1" applyFont="1" applyFill="1" applyBorder="1" applyAlignment="1">
      <alignment horizontal="right" vertical="center"/>
    </xf>
    <xf numFmtId="0" fontId="39" fillId="0" borderId="10" xfId="0" applyFont="1" applyFill="1" applyBorder="1" applyAlignment="1">
      <alignment horizontal="left" vertical="center"/>
    </xf>
    <xf numFmtId="0" fontId="39" fillId="0" borderId="14" xfId="0" applyFont="1" applyFill="1" applyBorder="1" applyAlignment="1" applyProtection="1">
      <alignment horizontal="left" vertical="center"/>
      <protection/>
    </xf>
    <xf numFmtId="190" fontId="39" fillId="0" borderId="3" xfId="0" applyNumberFormat="1" applyFont="1" applyFill="1" applyBorder="1" applyAlignment="1">
      <alignment horizontal="center" vertical="center"/>
    </xf>
    <xf numFmtId="0" fontId="39" fillId="0" borderId="3" xfId="0" applyFont="1" applyFill="1" applyBorder="1" applyAlignment="1">
      <alignment horizontal="left" vertical="center"/>
    </xf>
    <xf numFmtId="0" fontId="39" fillId="0" borderId="3" xfId="0" applyFont="1" applyFill="1" applyBorder="1" applyAlignment="1">
      <alignment horizontal="right" vertical="center"/>
    </xf>
    <xf numFmtId="4" fontId="39" fillId="0" borderId="3" xfId="0" applyNumberFormat="1" applyFont="1" applyFill="1" applyBorder="1" applyAlignment="1">
      <alignment horizontal="right" vertical="center"/>
    </xf>
    <xf numFmtId="43" fontId="46" fillId="2" borderId="25" xfId="15" applyFont="1" applyFill="1" applyBorder="1" applyAlignment="1" applyProtection="1">
      <alignment horizontal="center"/>
      <protection/>
    </xf>
    <xf numFmtId="190" fontId="46" fillId="2" borderId="25" xfId="0" applyNumberFormat="1" applyFont="1" applyFill="1" applyBorder="1" applyAlignment="1" applyProtection="1">
      <alignment horizontal="center"/>
      <protection/>
    </xf>
    <xf numFmtId="0" fontId="46" fillId="2" borderId="25" xfId="0" applyFont="1" applyFill="1" applyBorder="1" applyAlignment="1" applyProtection="1">
      <alignment horizontal="center"/>
      <protection/>
    </xf>
    <xf numFmtId="0" fontId="58" fillId="2" borderId="25" xfId="0" applyFont="1" applyFill="1" applyBorder="1" applyAlignment="1" applyProtection="1">
      <alignment horizontal="center" vertical="center" wrapText="1"/>
      <protection/>
    </xf>
    <xf numFmtId="3" fontId="46" fillId="2" borderId="25" xfId="0" applyNumberFormat="1" applyFont="1" applyFill="1" applyBorder="1" applyAlignment="1" applyProtection="1">
      <alignment horizontal="center" vertical="center" wrapText="1"/>
      <protection/>
    </xf>
    <xf numFmtId="2" fontId="46" fillId="2" borderId="25" xfId="0" applyNumberFormat="1" applyFont="1" applyFill="1" applyBorder="1" applyAlignment="1" applyProtection="1">
      <alignment horizontal="center" vertical="center" wrapText="1"/>
      <protection/>
    </xf>
    <xf numFmtId="0" fontId="46" fillId="2" borderId="25" xfId="0" applyFont="1" applyFill="1" applyBorder="1" applyAlignment="1" applyProtection="1">
      <alignment horizontal="center" vertical="center" wrapText="1"/>
      <protection/>
    </xf>
    <xf numFmtId="3" fontId="56" fillId="0" borderId="2" xfId="28" applyNumberFormat="1" applyFont="1" applyFill="1" applyBorder="1" applyAlignment="1">
      <alignment horizontal="right" vertical="center"/>
      <protection/>
    </xf>
    <xf numFmtId="4" fontId="56" fillId="0" borderId="2" xfId="28" applyNumberFormat="1" applyFont="1" applyFill="1" applyBorder="1" applyAlignment="1" applyProtection="1">
      <alignment horizontal="right" vertical="center"/>
      <protection locked="0"/>
    </xf>
    <xf numFmtId="3" fontId="56" fillId="0" borderId="2" xfId="28" applyNumberFormat="1" applyFont="1" applyFill="1" applyBorder="1" applyAlignment="1" applyProtection="1">
      <alignment horizontal="right" vertical="center"/>
      <protection locked="0"/>
    </xf>
    <xf numFmtId="4" fontId="56" fillId="0" borderId="2" xfId="28" applyNumberFormat="1" applyFont="1" applyFill="1" applyBorder="1" applyAlignment="1">
      <alignment horizontal="right" vertical="center"/>
      <protection/>
    </xf>
    <xf numFmtId="3" fontId="56" fillId="0" borderId="2" xfId="28" applyNumberFormat="1" applyFont="1" applyFill="1" applyBorder="1" applyAlignment="1">
      <alignment horizontal="right" vertical="center"/>
      <protection/>
    </xf>
    <xf numFmtId="4" fontId="56" fillId="0" borderId="2" xfId="28" applyNumberFormat="1" applyFont="1" applyFill="1" applyBorder="1" applyAlignment="1">
      <alignment horizontal="right" vertical="center"/>
      <protection/>
    </xf>
    <xf numFmtId="2" fontId="39" fillId="0" borderId="16" xfId="32" applyNumberFormat="1" applyFont="1" applyFill="1" applyBorder="1" applyAlignment="1" applyProtection="1">
      <alignment vertical="center"/>
      <protection/>
    </xf>
    <xf numFmtId="2" fontId="39" fillId="0" borderId="16" xfId="17" applyNumberFormat="1" applyFont="1" applyFill="1" applyBorder="1" applyAlignment="1" applyProtection="1">
      <alignment vertical="center"/>
      <protection/>
    </xf>
    <xf numFmtId="2" fontId="39" fillId="0" borderId="16" xfId="0" applyNumberFormat="1" applyFont="1" applyFill="1" applyBorder="1" applyAlignment="1">
      <alignment vertical="center"/>
    </xf>
    <xf numFmtId="4" fontId="63" fillId="2" borderId="26" xfId="0" applyNumberFormat="1" applyFont="1" applyFill="1" applyBorder="1" applyAlignment="1" applyProtection="1">
      <alignment horizontal="center" vertical="center"/>
      <protection/>
    </xf>
    <xf numFmtId="3" fontId="63" fillId="2" borderId="27" xfId="0" applyNumberFormat="1" applyFont="1" applyFill="1" applyBorder="1" applyAlignment="1" applyProtection="1">
      <alignment horizontal="center" vertical="center"/>
      <protection/>
    </xf>
    <xf numFmtId="4" fontId="63" fillId="2" borderId="27" xfId="0" applyNumberFormat="1" applyFont="1" applyFill="1" applyBorder="1" applyAlignment="1" applyProtection="1">
      <alignment horizontal="center" vertical="center" wrapText="1"/>
      <protection/>
    </xf>
    <xf numFmtId="4" fontId="63" fillId="2" borderId="27" xfId="0" applyNumberFormat="1" applyFont="1" applyFill="1" applyBorder="1" applyAlignment="1" applyProtection="1">
      <alignment horizontal="center" vertical="center"/>
      <protection/>
    </xf>
    <xf numFmtId="3" fontId="63" fillId="2" borderId="4" xfId="0" applyNumberFormat="1" applyFont="1" applyFill="1" applyBorder="1" applyAlignment="1" applyProtection="1">
      <alignment horizontal="center" vertical="center" wrapText="1"/>
      <protection/>
    </xf>
    <xf numFmtId="0" fontId="51" fillId="0" borderId="20" xfId="0" applyFont="1" applyFill="1" applyBorder="1" applyAlignment="1" applyProtection="1">
      <alignment horizontal="center" vertical="center"/>
      <protection/>
    </xf>
    <xf numFmtId="3" fontId="39" fillId="2" borderId="0" xfId="0" applyNumberFormat="1"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49" fillId="2" borderId="6" xfId="0" applyNumberFormat="1" applyFont="1" applyFill="1" applyBorder="1" applyAlignment="1" applyProtection="1">
      <alignment horizontal="center" vertic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59" fillId="0" borderId="27" xfId="0" applyNumberFormat="1" applyFont="1" applyFill="1" applyBorder="1" applyAlignment="1" applyProtection="1">
      <alignment horizontal="center" vertical="center" wrapText="1"/>
      <protection/>
    </xf>
    <xf numFmtId="3" fontId="0" fillId="2" borderId="0" xfId="0" applyNumberFormat="1" applyFont="1" applyFill="1" applyBorder="1" applyAlignment="1" applyProtection="1">
      <alignment vertical="center"/>
      <protection/>
    </xf>
    <xf numFmtId="3" fontId="66" fillId="2" borderId="8" xfId="0" applyNumberFormat="1" applyFont="1" applyFill="1" applyBorder="1" applyAlignment="1" applyProtection="1">
      <alignment horizontal="center" vertical="center" wrapText="1"/>
      <protection/>
    </xf>
    <xf numFmtId="4" fontId="39" fillId="2" borderId="0" xfId="0" applyNumberFormat="1" applyFont="1" applyFill="1" applyBorder="1" applyAlignment="1" applyProtection="1">
      <alignment horizontal="center"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49" fillId="2" borderId="6" xfId="0" applyNumberFormat="1" applyFont="1" applyFill="1" applyBorder="1" applyAlignment="1" applyProtection="1">
      <alignment horizontal="center" vertical="center"/>
      <protection/>
    </xf>
    <xf numFmtId="4" fontId="36" fillId="2" borderId="0" xfId="0" applyNumberFormat="1" applyFont="1" applyFill="1" applyBorder="1" applyAlignment="1" applyProtection="1">
      <alignment horizontal="left" vertical="center"/>
      <protection/>
    </xf>
    <xf numFmtId="4" fontId="59" fillId="0" borderId="26" xfId="0" applyNumberFormat="1" applyFont="1" applyFill="1" applyBorder="1" applyAlignment="1" applyProtection="1">
      <alignment horizontal="center" vertical="center" wrapText="1"/>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59" fillId="0" borderId="27" xfId="0" applyNumberFormat="1" applyFont="1" applyFill="1" applyBorder="1" applyAlignment="1" applyProtection="1">
      <alignment horizontal="center" vertical="center" wrapText="1"/>
      <protection/>
    </xf>
    <xf numFmtId="4" fontId="6" fillId="2" borderId="0" xfId="0" applyNumberFormat="1" applyFont="1" applyFill="1" applyBorder="1" applyAlignment="1" applyProtection="1">
      <alignment vertical="center"/>
      <protection/>
    </xf>
    <xf numFmtId="4" fontId="39" fillId="0" borderId="2" xfId="0" applyNumberFormat="1" applyFont="1" applyFill="1" applyBorder="1" applyAlignment="1">
      <alignment horizontal="right" wrapText="1"/>
    </xf>
    <xf numFmtId="4" fontId="39" fillId="0" borderId="2" xfId="32" applyNumberFormat="1" applyFont="1" applyFill="1" applyBorder="1" applyAlignment="1" applyProtection="1">
      <alignment vertical="center"/>
      <protection/>
    </xf>
    <xf numFmtId="4" fontId="39" fillId="0" borderId="2" xfId="32" applyNumberFormat="1" applyFont="1" applyFill="1" applyBorder="1" applyAlignment="1" applyProtection="1">
      <alignment vertical="center"/>
      <protection/>
    </xf>
    <xf numFmtId="4" fontId="39" fillId="0" borderId="16" xfId="0" applyNumberFormat="1" applyFont="1" applyFill="1" applyBorder="1" applyAlignment="1" applyProtection="1">
      <alignment vertical="center"/>
      <protection/>
    </xf>
    <xf numFmtId="3" fontId="39" fillId="0" borderId="2" xfId="17" applyNumberFormat="1" applyFont="1" applyFill="1" applyBorder="1" applyAlignment="1" applyProtection="1">
      <alignment vertical="center"/>
      <protection locked="0"/>
    </xf>
    <xf numFmtId="192" fontId="39" fillId="2" borderId="0" xfId="0" applyNumberFormat="1" applyFont="1" applyFill="1" applyBorder="1" applyAlignment="1" applyProtection="1">
      <alignment horizontal="center" vertical="center"/>
      <protection/>
    </xf>
    <xf numFmtId="192" fontId="40" fillId="2" borderId="0" xfId="0" applyNumberFormat="1" applyFont="1" applyFill="1" applyBorder="1" applyAlignment="1" applyProtection="1">
      <alignment horizontal="center" vertical="center"/>
      <protection/>
    </xf>
    <xf numFmtId="192" fontId="41" fillId="2" borderId="0" xfId="0" applyNumberFormat="1" applyFont="1" applyFill="1" applyBorder="1" applyAlignment="1" applyProtection="1">
      <alignment horizontal="center" vertical="center"/>
      <protection/>
    </xf>
    <xf numFmtId="192" fontId="49" fillId="2" borderId="0" xfId="0" applyNumberFormat="1" applyFont="1" applyFill="1" applyBorder="1" applyAlignment="1" applyProtection="1">
      <alignment horizontal="center" vertical="center"/>
      <protection/>
    </xf>
    <xf numFmtId="192" fontId="49" fillId="2" borderId="6" xfId="0" applyNumberFormat="1" applyFont="1" applyFill="1" applyBorder="1" applyAlignment="1" applyProtection="1">
      <alignment horizontal="center" vertical="center"/>
      <protection/>
    </xf>
    <xf numFmtId="192" fontId="39" fillId="0" borderId="2" xfId="32" applyNumberFormat="1" applyFont="1" applyFill="1" applyBorder="1" applyAlignment="1" applyProtection="1">
      <alignment vertical="center"/>
      <protection/>
    </xf>
    <xf numFmtId="192" fontId="39" fillId="0" borderId="20" xfId="32" applyNumberFormat="1" applyFont="1" applyFill="1" applyBorder="1" applyAlignment="1" applyProtection="1">
      <alignment horizontal="right" vertical="center"/>
      <protection/>
    </xf>
    <xf numFmtId="192" fontId="59" fillId="0" borderId="27" xfId="0" applyNumberFormat="1" applyFont="1" applyFill="1" applyBorder="1" applyAlignment="1" applyProtection="1">
      <alignment horizontal="center" vertical="center" wrapText="1"/>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4" fontId="39" fillId="0" borderId="16" xfId="32" applyNumberFormat="1" applyFont="1" applyFill="1" applyBorder="1" applyAlignment="1" applyProtection="1">
      <alignment vertical="center"/>
      <protection/>
    </xf>
    <xf numFmtId="0" fontId="39" fillId="0" borderId="2" xfId="0" applyFont="1" applyFill="1" applyBorder="1" applyAlignment="1">
      <alignment horizontal="left"/>
    </xf>
    <xf numFmtId="190" fontId="39" fillId="0" borderId="2" xfId="0" applyNumberFormat="1" applyFont="1" applyFill="1" applyBorder="1" applyAlignment="1">
      <alignment horizontal="center"/>
    </xf>
    <xf numFmtId="3" fontId="56" fillId="0" borderId="2" xfId="0" applyNumberFormat="1" applyFont="1" applyFill="1" applyBorder="1" applyAlignment="1">
      <alignment vertical="center"/>
    </xf>
    <xf numFmtId="4" fontId="56" fillId="0" borderId="2" xfId="17" applyNumberFormat="1" applyFont="1" applyFill="1" applyBorder="1" applyAlignment="1" applyProtection="1">
      <alignment vertical="center"/>
      <protection locked="0"/>
    </xf>
    <xf numFmtId="3" fontId="56" fillId="0" borderId="2" xfId="17"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3" fontId="56" fillId="0" borderId="2" xfId="15" applyNumberFormat="1"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xf>
    <xf numFmtId="4" fontId="56" fillId="0" borderId="2" xfId="0" applyNumberFormat="1" applyFont="1" applyFill="1" applyBorder="1" applyAlignment="1" applyProtection="1">
      <alignment vertical="center"/>
      <protection/>
    </xf>
    <xf numFmtId="2" fontId="39" fillId="0" borderId="16" xfId="0" applyNumberFormat="1" applyFont="1" applyFill="1" applyBorder="1" applyAlignment="1">
      <alignment horizontal="right" vertical="center"/>
    </xf>
    <xf numFmtId="4" fontId="63" fillId="2" borderId="28" xfId="0" applyNumberFormat="1" applyFont="1" applyFill="1" applyBorder="1" applyAlignment="1" applyProtection="1">
      <alignment horizontal="center" vertical="center"/>
      <protection/>
    </xf>
    <xf numFmtId="3" fontId="59" fillId="0" borderId="29" xfId="0" applyNumberFormat="1" applyFont="1" applyFill="1" applyBorder="1" applyAlignment="1" applyProtection="1">
      <alignment horizontal="center" vertical="center" wrapText="1"/>
      <protection/>
    </xf>
    <xf numFmtId="3" fontId="63" fillId="2" borderId="29" xfId="0" applyNumberFormat="1" applyFont="1" applyFill="1" applyBorder="1" applyAlignment="1" applyProtection="1">
      <alignment horizontal="center" vertical="center" wrapText="1"/>
      <protection/>
    </xf>
    <xf numFmtId="0" fontId="67" fillId="2" borderId="30" xfId="0" applyFont="1" applyFill="1" applyBorder="1" applyAlignment="1" applyProtection="1">
      <alignment horizontal="center" vertical="center" wrapText="1"/>
      <protection/>
    </xf>
    <xf numFmtId="0" fontId="67" fillId="2" borderId="8" xfId="0" applyFont="1" applyFill="1" applyBorder="1" applyAlignment="1" applyProtection="1">
      <alignment horizontal="center" vertical="center" wrapText="1"/>
      <protection/>
    </xf>
    <xf numFmtId="0" fontId="85" fillId="6" borderId="2" xfId="0" applyFont="1" applyFill="1" applyBorder="1" applyAlignment="1">
      <alignment horizontal="right" vertical="center" shrinkToFit="1"/>
    </xf>
    <xf numFmtId="0" fontId="48" fillId="3" borderId="15" xfId="0" applyFont="1" applyFill="1" applyBorder="1" applyAlignment="1" applyProtection="1">
      <alignment vertical="center"/>
      <protection/>
    </xf>
    <xf numFmtId="0" fontId="48" fillId="3" borderId="31" xfId="0" applyFont="1" applyFill="1" applyBorder="1" applyAlignment="1" applyProtection="1">
      <alignment vertical="center"/>
      <protection/>
    </xf>
    <xf numFmtId="4" fontId="56" fillId="7" borderId="2" xfId="18"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horizontal="right" vertical="center"/>
      <protection locked="0"/>
    </xf>
    <xf numFmtId="4" fontId="56" fillId="0" borderId="2" xfId="0" applyNumberFormat="1" applyFont="1" applyFill="1" applyBorder="1" applyAlignment="1">
      <alignment horizontal="right"/>
    </xf>
    <xf numFmtId="3" fontId="56" fillId="0" borderId="2" xfId="0" applyNumberFormat="1" applyFont="1" applyFill="1" applyBorder="1" applyAlignment="1">
      <alignment horizontal="right"/>
    </xf>
    <xf numFmtId="0" fontId="85" fillId="0" borderId="2" xfId="0" applyNumberFormat="1" applyFont="1" applyFill="1" applyBorder="1" applyAlignment="1" applyProtection="1">
      <alignment horizontal="right" vertical="center"/>
      <protection locked="0"/>
    </xf>
    <xf numFmtId="3" fontId="56" fillId="0" borderId="2" xfId="0" applyNumberFormat="1" applyFont="1" applyFill="1" applyBorder="1" applyAlignment="1">
      <alignment horizontal="right" vertical="center"/>
    </xf>
    <xf numFmtId="4" fontId="56" fillId="0" borderId="2" xfId="0" applyNumberFormat="1" applyFont="1" applyFill="1" applyBorder="1" applyAlignment="1">
      <alignment horizontal="right"/>
    </xf>
    <xf numFmtId="4" fontId="56" fillId="0" borderId="2" xfId="0" applyNumberFormat="1" applyFont="1" applyFill="1" applyBorder="1" applyAlignment="1">
      <alignment horizontal="right" wrapText="1"/>
    </xf>
    <xf numFmtId="3" fontId="56" fillId="0" borderId="2" xfId="0" applyNumberFormat="1" applyFont="1" applyFill="1" applyBorder="1" applyAlignment="1">
      <alignment horizontal="right"/>
    </xf>
    <xf numFmtId="0" fontId="85" fillId="0" borderId="2" xfId="0" applyNumberFormat="1" applyFont="1" applyFill="1" applyBorder="1" applyAlignment="1" applyProtection="1">
      <alignment horizontal="right" vertical="center"/>
      <protection locked="0"/>
    </xf>
    <xf numFmtId="1" fontId="45" fillId="3" borderId="32" xfId="0" applyNumberFormat="1" applyFont="1" applyFill="1" applyBorder="1" applyAlignment="1" applyProtection="1">
      <alignment horizontal="center" vertical="center" wrapText="1"/>
      <protection/>
    </xf>
    <xf numFmtId="0" fontId="45" fillId="3" borderId="33" xfId="0" applyFont="1" applyFill="1" applyBorder="1" applyAlignment="1" applyProtection="1">
      <alignment horizontal="center" vertical="center" wrapText="1"/>
      <protection/>
    </xf>
    <xf numFmtId="1" fontId="44" fillId="3" borderId="34" xfId="0" applyNumberFormat="1"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protection/>
    </xf>
    <xf numFmtId="190" fontId="44" fillId="3" borderId="1" xfId="0" applyNumberFormat="1" applyFont="1" applyFill="1" applyBorder="1" applyAlignment="1" applyProtection="1">
      <alignment horizontal="center"/>
      <protection/>
    </xf>
    <xf numFmtId="4" fontId="44" fillId="3" borderId="1" xfId="0" applyNumberFormat="1" applyFont="1" applyFill="1" applyBorder="1" applyAlignment="1" applyProtection="1">
      <alignment horizontal="center" vertical="center" wrapText="1"/>
      <protection/>
    </xf>
    <xf numFmtId="0" fontId="44" fillId="3" borderId="35" xfId="0" applyFont="1" applyFill="1" applyBorder="1" applyAlignment="1" applyProtection="1">
      <alignment horizontal="center" vertical="center" wrapText="1"/>
      <protection/>
    </xf>
    <xf numFmtId="1" fontId="44" fillId="3" borderId="30" xfId="0" applyNumberFormat="1" applyFont="1" applyFill="1" applyBorder="1" applyAlignment="1" applyProtection="1">
      <alignment horizontal="center" vertical="center" wrapText="1"/>
      <protection/>
    </xf>
    <xf numFmtId="0" fontId="44" fillId="3" borderId="8" xfId="0" applyFont="1" applyFill="1" applyBorder="1" applyAlignment="1" applyProtection="1">
      <alignment horizontal="center" vertical="center" wrapText="1"/>
      <protection/>
    </xf>
    <xf numFmtId="43" fontId="44" fillId="3" borderId="8" xfId="15" applyFont="1" applyFill="1" applyBorder="1" applyAlignment="1" applyProtection="1">
      <alignment horizontal="center"/>
      <protection/>
    </xf>
    <xf numFmtId="190" fontId="44" fillId="3" borderId="8" xfId="0" applyNumberFormat="1" applyFont="1" applyFill="1" applyBorder="1" applyAlignment="1" applyProtection="1">
      <alignment horizontal="center"/>
      <protection/>
    </xf>
    <xf numFmtId="0" fontId="44" fillId="3" borderId="8" xfId="0" applyFont="1" applyFill="1" applyBorder="1" applyAlignment="1" applyProtection="1">
      <alignment horizontal="center"/>
      <protection/>
    </xf>
    <xf numFmtId="4" fontId="44" fillId="3" borderId="8" xfId="0" applyNumberFormat="1" applyFont="1" applyFill="1" applyBorder="1" applyAlignment="1" applyProtection="1">
      <alignment horizontal="center" vertical="center" wrapText="1"/>
      <protection/>
    </xf>
    <xf numFmtId="3" fontId="44" fillId="3" borderId="8" xfId="0" applyNumberFormat="1" applyFont="1" applyFill="1" applyBorder="1" applyAlignment="1" applyProtection="1">
      <alignment horizontal="center" vertical="center" wrapText="1"/>
      <protection/>
    </xf>
    <xf numFmtId="192" fontId="44" fillId="3" borderId="8" xfId="0" applyNumberFormat="1" applyFont="1" applyFill="1" applyBorder="1" applyAlignment="1" applyProtection="1">
      <alignment horizontal="center" vertical="center" wrapText="1"/>
      <protection/>
    </xf>
    <xf numFmtId="4" fontId="57" fillId="3" borderId="8" xfId="0" applyNumberFormat="1" applyFont="1" applyFill="1" applyBorder="1" applyAlignment="1" applyProtection="1">
      <alignment horizontal="center" vertical="center" wrapText="1"/>
      <protection/>
    </xf>
    <xf numFmtId="3" fontId="57" fillId="3" borderId="8" xfId="0" applyNumberFormat="1" applyFont="1" applyFill="1" applyBorder="1" applyAlignment="1" applyProtection="1">
      <alignment horizontal="center" vertical="center" wrapText="1"/>
      <protection/>
    </xf>
    <xf numFmtId="0" fontId="44" fillId="3" borderId="5" xfId="0" applyFont="1" applyFill="1" applyBorder="1" applyAlignment="1" applyProtection="1">
      <alignment horizontal="center" vertical="center" wrapText="1"/>
      <protection/>
    </xf>
    <xf numFmtId="0" fontId="46" fillId="3" borderId="34" xfId="0" applyFont="1" applyFill="1" applyBorder="1" applyAlignment="1" applyProtection="1">
      <alignment horizontal="center"/>
      <protection/>
    </xf>
    <xf numFmtId="0" fontId="46" fillId="3" borderId="1" xfId="0" applyFont="1" applyFill="1" applyBorder="1" applyAlignment="1" applyProtection="1">
      <alignment horizontal="center"/>
      <protection/>
    </xf>
    <xf numFmtId="190" fontId="46"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protection/>
    </xf>
    <xf numFmtId="3" fontId="46" fillId="3" borderId="1" xfId="0" applyNumberFormat="1" applyFont="1" applyFill="1" applyBorder="1" applyAlignment="1" applyProtection="1">
      <alignment horizontal="center"/>
      <protection/>
    </xf>
    <xf numFmtId="4" fontId="58" fillId="3" borderId="1" xfId="0" applyNumberFormat="1" applyFont="1" applyFill="1" applyBorder="1" applyAlignment="1" applyProtection="1">
      <alignment horizontal="center"/>
      <protection/>
    </xf>
    <xf numFmtId="3" fontId="58"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vertical="center" wrapText="1"/>
      <protection/>
    </xf>
    <xf numFmtId="0" fontId="46" fillId="3" borderId="35" xfId="0" applyFont="1" applyFill="1" applyBorder="1" applyAlignment="1" applyProtection="1">
      <alignment horizontal="center" vertical="center" wrapText="1"/>
      <protection/>
    </xf>
    <xf numFmtId="0" fontId="46" fillId="3" borderId="30" xfId="0" applyFont="1" applyFill="1" applyBorder="1" applyAlignment="1" applyProtection="1">
      <alignment horizontal="center"/>
      <protection/>
    </xf>
    <xf numFmtId="0" fontId="46" fillId="3" borderId="5" xfId="0" applyFont="1" applyFill="1" applyBorder="1" applyAlignment="1" applyProtection="1">
      <alignment horizontal="center"/>
      <protection/>
    </xf>
    <xf numFmtId="43" fontId="46" fillId="3" borderId="25" xfId="15" applyFont="1" applyFill="1" applyBorder="1" applyAlignment="1" applyProtection="1">
      <alignment horizontal="center"/>
      <protection/>
    </xf>
    <xf numFmtId="0" fontId="46" fillId="3" borderId="25" xfId="0" applyFont="1" applyFill="1" applyBorder="1" applyAlignment="1" applyProtection="1">
      <alignment horizontal="center"/>
      <protection/>
    </xf>
    <xf numFmtId="190" fontId="46" fillId="3" borderId="25" xfId="0" applyNumberFormat="1" applyFont="1" applyFill="1" applyBorder="1" applyAlignment="1" applyProtection="1">
      <alignment horizontal="center"/>
      <protection/>
    </xf>
    <xf numFmtId="4" fontId="46" fillId="3" borderId="25" xfId="0" applyNumberFormat="1" applyFont="1" applyFill="1" applyBorder="1" applyAlignment="1" applyProtection="1">
      <alignment horizontal="center" vertical="center" wrapText="1"/>
      <protection/>
    </xf>
    <xf numFmtId="3" fontId="46" fillId="3" borderId="25" xfId="0" applyNumberFormat="1" applyFont="1" applyFill="1" applyBorder="1" applyAlignment="1" applyProtection="1">
      <alignment horizontal="center" vertical="center" wrapText="1"/>
      <protection/>
    </xf>
    <xf numFmtId="192" fontId="46" fillId="3" borderId="25" xfId="0" applyNumberFormat="1" applyFont="1" applyFill="1" applyBorder="1" applyAlignment="1" applyProtection="1">
      <alignment horizontal="center" vertical="center" wrapText="1"/>
      <protection/>
    </xf>
    <xf numFmtId="4" fontId="58" fillId="3" borderId="25" xfId="0" applyNumberFormat="1" applyFont="1" applyFill="1" applyBorder="1" applyAlignment="1" applyProtection="1">
      <alignment horizontal="center" vertical="center" wrapText="1"/>
      <protection/>
    </xf>
    <xf numFmtId="3" fontId="58" fillId="3" borderId="25" xfId="0" applyNumberFormat="1" applyFont="1" applyFill="1" applyBorder="1" applyAlignment="1" applyProtection="1">
      <alignment horizontal="center" vertical="center" wrapText="1"/>
      <protection/>
    </xf>
    <xf numFmtId="4" fontId="39" fillId="0" borderId="2" xfId="22" applyNumberFormat="1" applyFont="1" applyFill="1" applyBorder="1" applyAlignment="1" applyProtection="1">
      <alignment horizontal="right" vertical="center" wrapText="1"/>
      <protection/>
    </xf>
    <xf numFmtId="3" fontId="39" fillId="0" borderId="2" xfId="22" applyNumberFormat="1" applyFont="1" applyFill="1" applyBorder="1" applyAlignment="1" applyProtection="1">
      <alignment horizontal="right" vertical="center" wrapText="1"/>
      <protection/>
    </xf>
    <xf numFmtId="4" fontId="56" fillId="0" borderId="2" xfId="22" applyNumberFormat="1" applyFont="1" applyFill="1" applyBorder="1" applyAlignment="1" applyProtection="1">
      <alignment horizontal="right" vertical="center" wrapText="1"/>
      <protection/>
    </xf>
    <xf numFmtId="3" fontId="56" fillId="0" borderId="2" xfId="22" applyNumberFormat="1" applyFont="1" applyFill="1" applyBorder="1" applyAlignment="1" applyProtection="1">
      <alignment horizontal="right" vertical="center" wrapText="1"/>
      <protection/>
    </xf>
    <xf numFmtId="190" fontId="39" fillId="0" borderId="2" xfId="0" applyNumberFormat="1" applyFont="1" applyFill="1" applyBorder="1" applyAlignment="1" applyProtection="1">
      <alignment horizontal="left" vertical="center"/>
      <protection/>
    </xf>
    <xf numFmtId="4" fontId="56" fillId="7" borderId="2" xfId="17"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4" fontId="56" fillId="7" borderId="2" xfId="22" applyNumberFormat="1" applyFont="1" applyFill="1" applyBorder="1" applyAlignment="1" applyProtection="1">
      <alignment horizontal="right" vertical="center" wrapText="1"/>
      <protection/>
    </xf>
    <xf numFmtId="3" fontId="56" fillId="7" borderId="2" xfId="22" applyNumberFormat="1" applyFont="1" applyFill="1" applyBorder="1" applyAlignment="1" applyProtection="1">
      <alignment horizontal="right" vertical="center" wrapText="1"/>
      <protection/>
    </xf>
    <xf numFmtId="3" fontId="56" fillId="0" borderId="2" xfId="0" applyNumberFormat="1" applyFont="1" applyFill="1" applyBorder="1" applyAlignment="1" applyProtection="1">
      <alignment vertical="center"/>
      <protection/>
    </xf>
    <xf numFmtId="0" fontId="85" fillId="0" borderId="2" xfId="0" applyFont="1" applyBorder="1" applyAlignment="1" applyProtection="1">
      <alignment horizontal="right" vertical="center"/>
      <protection locked="0"/>
    </xf>
    <xf numFmtId="0" fontId="39" fillId="0" borderId="14" xfId="0" applyFont="1" applyFill="1" applyBorder="1" applyAlignment="1" applyProtection="1">
      <alignment vertical="center" shrinkToFit="1"/>
      <protection locked="0"/>
    </xf>
    <xf numFmtId="4" fontId="56" fillId="0" borderId="2" xfId="17" applyNumberFormat="1" applyFont="1" applyFill="1" applyBorder="1" applyAlignment="1" applyProtection="1">
      <alignment horizontal="right" vertical="center"/>
      <protection/>
    </xf>
    <xf numFmtId="3" fontId="56" fillId="0" borderId="2" xfId="0" applyNumberFormat="1" applyFont="1" applyFill="1" applyBorder="1" applyAlignment="1">
      <alignment horizontal="right" wrapText="1"/>
    </xf>
    <xf numFmtId="3" fontId="39" fillId="0" borderId="2" xfId="18" applyNumberFormat="1" applyFont="1" applyFill="1" applyBorder="1" applyAlignment="1" applyProtection="1">
      <alignment horizontal="right" vertical="center" shrinkToFit="1"/>
      <protection locked="0"/>
    </xf>
    <xf numFmtId="3" fontId="39" fillId="0" borderId="2" xfId="0" applyNumberFormat="1" applyFont="1" applyFill="1" applyBorder="1" applyAlignment="1">
      <alignment horizontal="right"/>
    </xf>
    <xf numFmtId="4" fontId="39" fillId="0" borderId="2" xfId="18" applyNumberFormat="1" applyFont="1" applyFill="1" applyBorder="1" applyAlignment="1" applyProtection="1">
      <alignment horizontal="right" vertical="center" shrinkToFit="1"/>
      <protection locked="0"/>
    </xf>
    <xf numFmtId="0" fontId="39" fillId="0" borderId="2" xfId="25" applyNumberFormat="1" applyFont="1" applyFill="1" applyBorder="1" applyAlignment="1">
      <alignment horizontal="left" vertical="center"/>
      <protection/>
    </xf>
    <xf numFmtId="3" fontId="39" fillId="0" borderId="2" xfId="18" applyNumberFormat="1" applyFont="1" applyFill="1" applyBorder="1" applyAlignment="1" applyProtection="1">
      <alignment vertical="center"/>
      <protection/>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0" fontId="39" fillId="0" borderId="2" xfId="0" applyFont="1" applyFill="1" applyBorder="1" applyAlignment="1">
      <alignment horizontal="left" vertical="center" shrinkToFit="1"/>
    </xf>
    <xf numFmtId="190" fontId="39" fillId="0" borderId="2" xfId="28" applyNumberFormat="1" applyFont="1" applyFill="1" applyBorder="1" applyAlignment="1">
      <alignment horizontal="center" vertical="center"/>
      <protection/>
    </xf>
    <xf numFmtId="0" fontId="39" fillId="0" borderId="2" xfId="28" applyFont="1" applyFill="1" applyBorder="1" applyAlignment="1">
      <alignment horizontal="left" vertical="center"/>
      <protection/>
    </xf>
    <xf numFmtId="0" fontId="39" fillId="0" borderId="2" xfId="28" applyFont="1" applyFill="1" applyBorder="1" applyAlignment="1">
      <alignment horizontal="right" vertical="center"/>
      <protection/>
    </xf>
    <xf numFmtId="0" fontId="39" fillId="6" borderId="14" xfId="0" applyFont="1" applyFill="1" applyBorder="1" applyAlignment="1">
      <alignment horizontal="left" vertical="center"/>
    </xf>
    <xf numFmtId="0" fontId="39" fillId="0" borderId="14" xfId="0" applyNumberFormat="1" applyFont="1" applyFill="1" applyBorder="1" applyAlignment="1">
      <alignment horizontal="left" vertical="center"/>
    </xf>
    <xf numFmtId="190" fontId="39" fillId="0" borderId="2" xfId="0" applyNumberFormat="1" applyFont="1" applyFill="1" applyBorder="1" applyAlignment="1">
      <alignment horizontal="center" vertical="center"/>
    </xf>
    <xf numFmtId="0"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2" fontId="39" fillId="0" borderId="16" xfId="0" applyNumberFormat="1" applyFont="1" applyFill="1" applyBorder="1" applyAlignment="1">
      <alignment horizontal="right" vertical="center"/>
    </xf>
    <xf numFmtId="0" fontId="39" fillId="0" borderId="2" xfId="0" applyFont="1" applyFill="1" applyBorder="1" applyAlignment="1">
      <alignment horizontal="left" vertical="center"/>
    </xf>
    <xf numFmtId="0" fontId="39" fillId="0" borderId="14" xfId="0" applyFont="1" applyFill="1" applyBorder="1" applyAlignment="1">
      <alignment horizontal="left"/>
    </xf>
    <xf numFmtId="190" fontId="39" fillId="0" borderId="2" xfId="0" applyNumberFormat="1" applyFont="1" applyFill="1" applyBorder="1" applyAlignment="1">
      <alignment horizontal="center"/>
    </xf>
    <xf numFmtId="2" fontId="39" fillId="0" borderId="2" xfId="0" applyNumberFormat="1" applyFont="1" applyFill="1" applyBorder="1" applyAlignment="1" applyProtection="1">
      <alignment horizontal="right" vertical="center"/>
      <protection/>
    </xf>
    <xf numFmtId="190" fontId="39" fillId="0" borderId="2" xfId="0" applyNumberFormat="1" applyFont="1" applyFill="1" applyBorder="1" applyAlignment="1">
      <alignment horizontal="center" wrapText="1"/>
    </xf>
    <xf numFmtId="14" fontId="39" fillId="0" borderId="2" xfId="0" applyNumberFormat="1" applyFont="1" applyFill="1" applyBorder="1" applyAlignment="1">
      <alignment horizontal="left"/>
    </xf>
    <xf numFmtId="2" fontId="39" fillId="0" borderId="2" xfId="0" applyNumberFormat="1" applyFont="1" applyFill="1" applyBorder="1" applyAlignment="1">
      <alignment horizontal="right"/>
    </xf>
    <xf numFmtId="2" fontId="39" fillId="0" borderId="16" xfId="0" applyNumberFormat="1" applyFont="1" applyFill="1" applyBorder="1" applyAlignment="1">
      <alignment horizontal="right"/>
    </xf>
    <xf numFmtId="0" fontId="39" fillId="0" borderId="14" xfId="25" applyNumberFormat="1" applyFont="1" applyFill="1" applyBorder="1" applyAlignment="1">
      <alignment horizontal="left" vertical="center"/>
      <protection/>
    </xf>
    <xf numFmtId="190" fontId="39" fillId="0" borderId="2" xfId="25" applyNumberFormat="1" applyFont="1" applyFill="1" applyBorder="1" applyAlignment="1">
      <alignment horizontal="center" vertical="center"/>
      <protection/>
    </xf>
    <xf numFmtId="0" fontId="39" fillId="0" borderId="2" xfId="25" applyNumberFormat="1" applyFont="1" applyFill="1" applyBorder="1" applyAlignment="1">
      <alignment horizontal="right" vertical="center"/>
      <protection/>
    </xf>
    <xf numFmtId="0" fontId="39" fillId="0" borderId="14" xfId="25" applyFont="1" applyFill="1" applyBorder="1" applyAlignment="1">
      <alignment horizontal="left" vertical="center" shrinkToFit="1"/>
      <protection/>
    </xf>
    <xf numFmtId="190" fontId="39" fillId="0" borderId="2" xfId="25" applyNumberFormat="1" applyFont="1" applyFill="1" applyBorder="1" applyAlignment="1">
      <alignment horizontal="center" vertical="center" shrinkToFit="1"/>
      <protection/>
    </xf>
    <xf numFmtId="0" fontId="39" fillId="0" borderId="2" xfId="25" applyFont="1" applyFill="1" applyBorder="1" applyAlignment="1">
      <alignment horizontal="right" vertical="center" shrinkToFit="1"/>
      <protection/>
    </xf>
    <xf numFmtId="0" fontId="39" fillId="0" borderId="14" xfId="25" applyFont="1" applyFill="1" applyBorder="1" applyAlignment="1">
      <alignment horizontal="left" vertical="center"/>
      <protection/>
    </xf>
    <xf numFmtId="0" fontId="39" fillId="0" borderId="2" xfId="25" applyFont="1" applyFill="1" applyBorder="1" applyAlignment="1">
      <alignment horizontal="right" vertical="center"/>
      <protection/>
    </xf>
    <xf numFmtId="0" fontId="39" fillId="0" borderId="14" xfId="25" applyFont="1" applyFill="1" applyBorder="1" applyAlignment="1">
      <alignment vertical="center"/>
      <protection/>
    </xf>
    <xf numFmtId="0" fontId="39" fillId="0" borderId="14" xfId="27" applyFont="1" applyFill="1" applyBorder="1" applyAlignment="1" applyProtection="1">
      <alignment horizontal="left" vertical="center"/>
      <protection locked="0"/>
    </xf>
    <xf numFmtId="0" fontId="39" fillId="0" borderId="2" xfId="27" applyFont="1" applyFill="1" applyBorder="1" applyAlignment="1" applyProtection="1">
      <alignment horizontal="left" vertical="center"/>
      <protection locked="0"/>
    </xf>
    <xf numFmtId="0" fontId="39" fillId="0" borderId="2" xfId="27" applyFont="1" applyFill="1" applyBorder="1" applyAlignment="1" applyProtection="1">
      <alignment horizontal="right" vertical="center"/>
      <protection locked="0"/>
    </xf>
    <xf numFmtId="2" fontId="39" fillId="0" borderId="2" xfId="15" applyNumberFormat="1" applyFont="1" applyFill="1" applyBorder="1" applyAlignment="1" applyProtection="1">
      <alignment horizontal="right" vertical="center"/>
      <protection/>
    </xf>
    <xf numFmtId="2" fontId="39" fillId="0" borderId="16" xfId="15" applyNumberFormat="1" applyFont="1" applyFill="1" applyBorder="1" applyAlignment="1" applyProtection="1">
      <alignment horizontal="right" vertical="center"/>
      <protection/>
    </xf>
    <xf numFmtId="204" fontId="39" fillId="6" borderId="14" xfId="0" applyNumberFormat="1" applyFont="1" applyFill="1" applyBorder="1" applyAlignment="1">
      <alignment horizontal="left" vertical="center" shrinkToFit="1"/>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left" vertical="center" shrinkToFit="1"/>
    </xf>
    <xf numFmtId="0" fontId="39" fillId="6" borderId="2" xfId="0" applyFont="1" applyFill="1" applyBorder="1" applyAlignment="1">
      <alignment horizontal="right" vertical="center" shrinkToFit="1"/>
    </xf>
    <xf numFmtId="0" fontId="39" fillId="0" borderId="2" xfId="25" applyFont="1" applyFill="1" applyBorder="1" applyAlignment="1">
      <alignment horizontal="left" vertical="center"/>
      <protection/>
    </xf>
    <xf numFmtId="4" fontId="39" fillId="0" borderId="16" xfId="0" applyNumberFormat="1" applyFont="1" applyFill="1" applyBorder="1" applyAlignment="1" applyProtection="1">
      <alignment vertical="center"/>
      <protection/>
    </xf>
    <xf numFmtId="0" fontId="39" fillId="0" borderId="14" xfId="0" applyNumberFormat="1" applyFont="1" applyFill="1" applyBorder="1" applyAlignment="1" applyProtection="1">
      <alignment horizontal="left" vertical="center"/>
      <protection/>
    </xf>
    <xf numFmtId="3" fontId="39" fillId="0" borderId="2" xfId="15" applyNumberFormat="1" applyFont="1" applyFill="1" applyBorder="1" applyAlignment="1" applyProtection="1">
      <alignment vertical="center"/>
      <protection locked="0"/>
    </xf>
    <xf numFmtId="0" fontId="39" fillId="0" borderId="14"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190" fontId="39" fillId="0" borderId="2" xfId="22" applyNumberFormat="1" applyFont="1" applyFill="1" applyBorder="1" applyAlignment="1">
      <alignment horizontal="center" vertical="center"/>
      <protection/>
    </xf>
    <xf numFmtId="0" fontId="39" fillId="0" borderId="2" xfId="22" applyFont="1" applyFill="1" applyBorder="1" applyAlignment="1">
      <alignment horizontal="right" vertical="center"/>
      <protection/>
    </xf>
    <xf numFmtId="0" fontId="39" fillId="0" borderId="14" xfId="22" applyNumberFormat="1" applyFont="1" applyFill="1" applyBorder="1" applyAlignment="1">
      <alignment horizontal="left" vertical="center"/>
      <protection/>
    </xf>
    <xf numFmtId="0" fontId="39" fillId="0" borderId="2" xfId="22" applyNumberFormat="1" applyFont="1" applyFill="1" applyBorder="1" applyAlignment="1">
      <alignment horizontal="right" vertical="center"/>
      <protection/>
    </xf>
    <xf numFmtId="0" fontId="39" fillId="0" borderId="2" xfId="22" applyNumberFormat="1" applyFont="1" applyFill="1" applyBorder="1" applyAlignment="1">
      <alignment horizontal="left" vertical="center"/>
      <protection/>
    </xf>
    <xf numFmtId="2" fontId="39" fillId="0" borderId="2" xfId="22" applyNumberFormat="1" applyFont="1" applyFill="1" applyBorder="1" applyAlignment="1" applyProtection="1">
      <alignment horizontal="right" vertical="center"/>
      <protection/>
    </xf>
    <xf numFmtId="2" fontId="39" fillId="0" borderId="16" xfId="22" applyNumberFormat="1" applyFont="1" applyFill="1" applyBorder="1" applyAlignment="1" applyProtection="1">
      <alignment horizontal="right" vertical="center"/>
      <protection/>
    </xf>
    <xf numFmtId="0" fontId="39" fillId="0" borderId="14" xfId="22" applyFont="1" applyBorder="1" applyAlignment="1">
      <alignment horizontal="left"/>
      <protection/>
    </xf>
    <xf numFmtId="190" fontId="39" fillId="0" borderId="2" xfId="22" applyNumberFormat="1" applyFont="1" applyBorder="1" applyAlignment="1">
      <alignment horizontal="center"/>
      <protection/>
    </xf>
    <xf numFmtId="0" fontId="39" fillId="0" borderId="2" xfId="22" applyFont="1" applyBorder="1" applyAlignment="1">
      <alignment horizontal="right"/>
      <protection/>
    </xf>
    <xf numFmtId="0" fontId="85" fillId="0" borderId="2" xfId="0" applyFont="1" applyBorder="1" applyAlignment="1">
      <alignment horizontal="right"/>
    </xf>
    <xf numFmtId="0" fontId="39" fillId="0" borderId="14" xfId="22" applyFont="1" applyFill="1" applyBorder="1" applyAlignment="1">
      <alignment vertical="center"/>
      <protection/>
    </xf>
    <xf numFmtId="0" fontId="39" fillId="0" borderId="2" xfId="22" applyFont="1" applyFill="1" applyBorder="1" applyAlignment="1">
      <alignment horizontal="left" vertical="center"/>
      <protection/>
    </xf>
    <xf numFmtId="3" fontId="39" fillId="0" borderId="2" xfId="0" applyNumberFormat="1" applyFont="1" applyFill="1" applyBorder="1" applyAlignment="1">
      <alignment vertical="center"/>
    </xf>
    <xf numFmtId="2" fontId="39" fillId="0" borderId="2" xfId="0" applyNumberFormat="1" applyFont="1" applyFill="1" applyBorder="1" applyAlignment="1">
      <alignment horizontal="right"/>
    </xf>
    <xf numFmtId="0" fontId="39" fillId="0" borderId="14" xfId="23" applyFont="1" applyFill="1" applyBorder="1" applyAlignment="1">
      <alignment horizontal="left" vertical="center" shrinkToFit="1"/>
      <protection/>
    </xf>
    <xf numFmtId="190" fontId="39" fillId="0" borderId="2" xfId="23" applyNumberFormat="1" applyFont="1" applyFill="1" applyBorder="1" applyAlignment="1">
      <alignment horizontal="center" vertical="center"/>
      <protection/>
    </xf>
    <xf numFmtId="0" fontId="39" fillId="0" borderId="2" xfId="23" applyFont="1" applyFill="1" applyBorder="1" applyAlignment="1">
      <alignment horizontal="right" vertical="center"/>
      <protection/>
    </xf>
    <xf numFmtId="0" fontId="39" fillId="0" borderId="14" xfId="23" applyFont="1" applyFill="1" applyBorder="1" applyAlignment="1">
      <alignment horizontal="left" vertical="center"/>
      <protection/>
    </xf>
    <xf numFmtId="0" fontId="39" fillId="6" borderId="2" xfId="0" applyFont="1" applyFill="1" applyBorder="1" applyAlignment="1">
      <alignment horizontal="left" vertical="center"/>
    </xf>
    <xf numFmtId="4" fontId="56" fillId="7" borderId="2" xfId="18" applyNumberFormat="1" applyFont="1" applyFill="1" applyBorder="1" applyAlignment="1" applyProtection="1">
      <alignment horizontal="right" vertical="center"/>
      <protection/>
    </xf>
    <xf numFmtId="3" fontId="56" fillId="7" borderId="2" xfId="18" applyNumberFormat="1" applyFont="1" applyFill="1" applyBorder="1" applyAlignment="1" applyProtection="1">
      <alignment horizontal="right" vertical="center"/>
      <protection/>
    </xf>
    <xf numFmtId="0" fontId="39" fillId="0" borderId="14" xfId="28" applyFont="1" applyFill="1" applyBorder="1" applyAlignment="1">
      <alignment horizontal="left" vertical="center"/>
      <protection/>
    </xf>
    <xf numFmtId="204" fontId="39" fillId="0" borderId="14" xfId="0" applyNumberFormat="1" applyFont="1" applyFill="1" applyBorder="1" applyAlignment="1" applyProtection="1">
      <alignment horizontal="left" vertical="center"/>
      <protection/>
    </xf>
    <xf numFmtId="0" fontId="39" fillId="0" borderId="14" xfId="25" applyFont="1" applyFill="1" applyBorder="1" applyAlignment="1" applyProtection="1">
      <alignment horizontal="left" vertical="center"/>
      <protection/>
    </xf>
    <xf numFmtId="190" fontId="39" fillId="0" borderId="2" xfId="25" applyNumberFormat="1" applyFont="1" applyFill="1" applyBorder="1" applyAlignment="1" applyProtection="1">
      <alignment horizontal="center" vertical="center"/>
      <protection/>
    </xf>
    <xf numFmtId="0" fontId="39" fillId="0" borderId="2" xfId="25" applyFont="1" applyFill="1" applyBorder="1" applyAlignment="1" applyProtection="1">
      <alignment horizontal="right" vertical="center"/>
      <protection/>
    </xf>
    <xf numFmtId="0" fontId="39" fillId="0" borderId="14" xfId="0" applyFont="1" applyFill="1" applyBorder="1" applyAlignment="1" applyProtection="1">
      <alignment vertical="center"/>
      <protection locked="0"/>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left" vertical="center"/>
      <protection locked="0"/>
    </xf>
    <xf numFmtId="3" fontId="39" fillId="0" borderId="2" xfId="17" applyNumberFormat="1" applyFont="1" applyFill="1" applyBorder="1" applyAlignment="1" applyProtection="1">
      <alignment horizontal="right" vertical="center"/>
      <protection/>
    </xf>
    <xf numFmtId="4" fontId="39" fillId="0" borderId="2" xfId="17" applyNumberFormat="1" applyFont="1" applyFill="1" applyBorder="1" applyAlignment="1" applyProtection="1">
      <alignment horizontal="right" vertical="center"/>
      <protection locked="0"/>
    </xf>
    <xf numFmtId="0" fontId="39" fillId="0" borderId="14" xfId="29" applyFont="1" applyFill="1" applyBorder="1" applyAlignment="1">
      <alignment horizontal="left" vertical="center"/>
      <protection/>
    </xf>
    <xf numFmtId="190" fontId="39" fillId="0" borderId="2" xfId="29" applyNumberFormat="1" applyFont="1" applyFill="1" applyBorder="1" applyAlignment="1">
      <alignment horizontal="center" vertical="center"/>
      <protection/>
    </xf>
    <xf numFmtId="14" fontId="39" fillId="0" borderId="2" xfId="29" applyNumberFormat="1" applyFont="1" applyFill="1" applyBorder="1" applyAlignment="1">
      <alignment horizontal="left" vertical="center"/>
      <protection/>
    </xf>
    <xf numFmtId="0" fontId="39" fillId="0" borderId="2" xfId="29" applyFont="1" applyFill="1" applyBorder="1" applyAlignment="1">
      <alignment horizontal="right" vertical="center"/>
      <protection/>
    </xf>
    <xf numFmtId="4" fontId="39" fillId="0" borderId="2" xfId="29" applyNumberFormat="1" applyFont="1" applyFill="1" applyBorder="1" applyAlignment="1">
      <alignment horizontal="right" vertical="center"/>
      <protection/>
    </xf>
    <xf numFmtId="3" fontId="39" fillId="0" borderId="2" xfId="29" applyNumberFormat="1" applyFont="1" applyFill="1" applyBorder="1" applyAlignment="1">
      <alignment horizontal="right" vertical="center"/>
      <protection/>
    </xf>
    <xf numFmtId="2" fontId="39" fillId="0" borderId="16" xfId="29" applyNumberFormat="1" applyFont="1" applyFill="1" applyBorder="1" applyAlignment="1">
      <alignment horizontal="right" vertical="center"/>
      <protection/>
    </xf>
    <xf numFmtId="0" fontId="39" fillId="0" borderId="14" xfId="0" applyFont="1" applyFill="1" applyBorder="1" applyAlignment="1" applyProtection="1">
      <alignment horizontal="left" vertical="center"/>
      <protection/>
    </xf>
    <xf numFmtId="193" fontId="39" fillId="0" borderId="2" xfId="0" applyNumberFormat="1" applyFont="1" applyFill="1" applyBorder="1" applyAlignment="1">
      <alignment horizontal="right" vertical="center"/>
    </xf>
    <xf numFmtId="0" fontId="39" fillId="2" borderId="14" xfId="0" applyFont="1" applyFill="1" applyBorder="1" applyAlignment="1">
      <alignment horizontal="left" vertical="center"/>
    </xf>
    <xf numFmtId="4" fontId="56" fillId="7" borderId="2" xfId="0" applyNumberFormat="1" applyFont="1" applyFill="1" applyBorder="1" applyAlignment="1" applyProtection="1">
      <alignment horizontal="right" vertical="center"/>
      <protection/>
    </xf>
    <xf numFmtId="3" fontId="56" fillId="7" borderId="2" xfId="0" applyNumberFormat="1" applyFont="1" applyFill="1" applyBorder="1" applyAlignment="1" applyProtection="1">
      <alignment horizontal="right" vertical="center"/>
      <protection/>
    </xf>
    <xf numFmtId="4" fontId="39" fillId="0" borderId="2" xfId="0" applyNumberFormat="1" applyFont="1" applyFill="1" applyBorder="1" applyAlignment="1" applyProtection="1">
      <alignment horizontal="right" vertical="center"/>
      <protection/>
    </xf>
    <xf numFmtId="3" fontId="39" fillId="0" borderId="2" xfId="0" applyNumberFormat="1" applyFont="1" applyFill="1" applyBorder="1" applyAlignment="1" applyProtection="1">
      <alignment horizontal="right" vertical="center"/>
      <protection/>
    </xf>
    <xf numFmtId="0" fontId="89" fillId="0" borderId="2" xfId="0" applyNumberFormat="1" applyFont="1" applyFill="1" applyBorder="1" applyAlignment="1">
      <alignment horizontal="right" vertical="center"/>
    </xf>
    <xf numFmtId="204" fontId="39" fillId="0" borderId="14" xfId="0" applyNumberFormat="1" applyFont="1" applyFill="1" applyBorder="1" applyAlignment="1">
      <alignment horizontal="left" vertical="center" shrinkToFit="1"/>
    </xf>
    <xf numFmtId="0" fontId="39" fillId="0" borderId="2" xfId="0" applyFont="1" applyFill="1" applyBorder="1" applyAlignment="1" applyProtection="1">
      <alignment horizontal="left" vertical="center"/>
      <protection/>
    </xf>
    <xf numFmtId="0" fontId="39" fillId="0" borderId="14" xfId="0" applyNumberFormat="1"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0" fontId="39" fillId="0" borderId="14"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49" fontId="39" fillId="0" borderId="2" xfId="0" applyNumberFormat="1" applyFont="1" applyFill="1" applyBorder="1" applyAlignment="1" applyProtection="1">
      <alignment horizontal="left" vertical="center"/>
      <protection locked="0"/>
    </xf>
    <xf numFmtId="0" fontId="39" fillId="0" borderId="14" xfId="0" applyNumberFormat="1" applyFont="1" applyFill="1" applyBorder="1" applyAlignment="1" applyProtection="1">
      <alignment horizontal="left" vertical="center"/>
      <protection/>
    </xf>
    <xf numFmtId="190" fontId="39" fillId="0" borderId="2" xfId="0" applyNumberFormat="1" applyFont="1" applyFill="1" applyBorder="1" applyAlignment="1" applyProtection="1">
      <alignment horizontal="center" vertical="center"/>
      <protection/>
    </xf>
    <xf numFmtId="49" fontId="39" fillId="0" borderId="2" xfId="0" applyNumberFormat="1" applyFont="1" applyFill="1" applyBorder="1" applyAlignment="1" applyProtection="1">
      <alignment horizontal="left" vertical="center"/>
      <protection/>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locked="0"/>
    </xf>
    <xf numFmtId="0" fontId="39" fillId="0" borderId="14" xfId="0" applyFont="1" applyFill="1" applyBorder="1" applyAlignment="1" applyProtection="1">
      <alignment horizontal="left" vertical="center"/>
      <protection locked="0"/>
    </xf>
    <xf numFmtId="2" fontId="39" fillId="0" borderId="2" xfId="0" applyNumberFormat="1" applyFont="1" applyFill="1" applyBorder="1" applyAlignment="1">
      <alignment vertical="center"/>
    </xf>
    <xf numFmtId="193" fontId="39" fillId="0" borderId="2" xfId="17"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xf>
    <xf numFmtId="2" fontId="39" fillId="0" borderId="2" xfId="15" applyNumberFormat="1" applyFont="1" applyFill="1" applyBorder="1" applyAlignment="1" applyProtection="1">
      <alignment vertical="center"/>
      <protection/>
    </xf>
    <xf numFmtId="2" fontId="39" fillId="0" borderId="16" xfId="15" applyNumberFormat="1" applyFont="1" applyFill="1" applyBorder="1" applyAlignment="1" applyProtection="1">
      <alignment horizontal="right" vertical="center"/>
      <protection/>
    </xf>
    <xf numFmtId="2" fontId="39" fillId="0" borderId="16" xfId="18" applyNumberFormat="1" applyFont="1" applyFill="1" applyBorder="1" applyAlignment="1" applyProtection="1">
      <alignment horizontal="right" vertical="center" shrinkToFit="1"/>
      <protection/>
    </xf>
    <xf numFmtId="193"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vertical="center"/>
    </xf>
    <xf numFmtId="0" fontId="39" fillId="0" borderId="23" xfId="0" applyNumberFormat="1" applyFont="1" applyFill="1" applyBorder="1" applyAlignment="1" applyProtection="1">
      <alignment horizontal="left" vertical="center"/>
      <protection locked="0"/>
    </xf>
    <xf numFmtId="190" fontId="39" fillId="0" borderId="20" xfId="0" applyNumberFormat="1" applyFont="1" applyFill="1" applyBorder="1" applyAlignment="1" applyProtection="1">
      <alignment horizontal="center" vertical="center"/>
      <protection locked="0"/>
    </xf>
    <xf numFmtId="49" fontId="39" fillId="0" borderId="20" xfId="0" applyNumberFormat="1" applyFont="1" applyFill="1" applyBorder="1" applyAlignment="1" applyProtection="1">
      <alignment horizontal="left" vertical="center"/>
      <protection locked="0"/>
    </xf>
    <xf numFmtId="0" fontId="39" fillId="0" borderId="20" xfId="0" applyNumberFormat="1" applyFont="1" applyFill="1" applyBorder="1" applyAlignment="1" applyProtection="1">
      <alignment horizontal="right" vertical="center"/>
      <protection locked="0"/>
    </xf>
    <xf numFmtId="2" fontId="39" fillId="0" borderId="20" xfId="32" applyNumberFormat="1" applyFont="1" applyFill="1" applyBorder="1" applyAlignment="1" applyProtection="1">
      <alignment horizontal="right" vertical="center"/>
      <protection/>
    </xf>
    <xf numFmtId="4" fontId="39" fillId="0" borderId="20" xfId="15" applyNumberFormat="1" applyFont="1" applyFill="1" applyBorder="1" applyAlignment="1" applyProtection="1">
      <alignment horizontal="right" vertical="center"/>
      <protection locked="0"/>
    </xf>
    <xf numFmtId="3" fontId="39" fillId="0" borderId="20" xfId="15" applyNumberFormat="1" applyFont="1" applyFill="1" applyBorder="1" applyAlignment="1" applyProtection="1">
      <alignment horizontal="right" vertical="center"/>
      <protection locked="0"/>
    </xf>
    <xf numFmtId="2" fontId="39" fillId="0" borderId="21" xfId="32" applyNumberFormat="1" applyFont="1" applyFill="1" applyBorder="1" applyAlignment="1" applyProtection="1">
      <alignment horizontal="right" vertical="center"/>
      <protection/>
    </xf>
    <xf numFmtId="0" fontId="39" fillId="0" borderId="2" xfId="0" applyFont="1" applyFill="1" applyBorder="1" applyAlignment="1">
      <alignment horizontal="left" vertical="center" shrinkToFit="1"/>
    </xf>
    <xf numFmtId="204" fontId="39" fillId="0" borderId="14" xfId="0" applyNumberFormat="1" applyFont="1" applyFill="1" applyBorder="1" applyAlignment="1">
      <alignment horizontal="left" vertical="center"/>
    </xf>
    <xf numFmtId="204" fontId="39" fillId="0" borderId="14" xfId="0" applyNumberFormat="1" applyFont="1" applyFill="1" applyBorder="1" applyAlignment="1">
      <alignment horizontal="left" vertical="center" shrinkToFit="1"/>
    </xf>
    <xf numFmtId="190" fontId="39" fillId="0" borderId="2" xfId="25" applyNumberFormat="1" applyFont="1" applyFill="1" applyBorder="1" applyAlignment="1">
      <alignment horizontal="center" vertical="center"/>
      <protection/>
    </xf>
    <xf numFmtId="4" fontId="56" fillId="7" borderId="2" xfId="15" applyNumberFormat="1" applyFont="1" applyFill="1" applyBorder="1" applyAlignment="1" applyProtection="1">
      <alignment horizontal="righ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wrapText="1"/>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3" fontId="56" fillId="7" borderId="2" xfId="18"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3" fontId="56" fillId="7" borderId="2" xfId="0" applyNumberFormat="1" applyFont="1" applyFill="1" applyBorder="1" applyAlignment="1">
      <alignment horizontal="right"/>
    </xf>
    <xf numFmtId="4" fontId="56" fillId="7" borderId="2" xfId="18" applyNumberFormat="1" applyFont="1" applyFill="1" applyBorder="1" applyAlignment="1" applyProtection="1">
      <alignment horizontal="right" vertical="center"/>
      <protection locked="0"/>
    </xf>
    <xf numFmtId="4" fontId="56" fillId="7" borderId="2" xfId="18" applyNumberFormat="1" applyFont="1" applyFill="1" applyBorder="1" applyAlignment="1" applyProtection="1">
      <alignment horizontal="right" vertical="center" shrinkToFit="1"/>
      <protection locked="0"/>
    </xf>
    <xf numFmtId="3" fontId="56" fillId="7" borderId="2" xfId="18" applyNumberFormat="1" applyFont="1" applyFill="1" applyBorder="1" applyAlignment="1" applyProtection="1">
      <alignment horizontal="right" vertical="center" shrinkToFit="1"/>
      <protection locked="0"/>
    </xf>
    <xf numFmtId="4" fontId="56" fillId="7" borderId="2" xfId="18" applyNumberFormat="1" applyFont="1" applyFill="1" applyBorder="1" applyAlignment="1" applyProtection="1">
      <alignment horizontal="right" vertical="center" shrinkToFit="1"/>
      <protection locked="0"/>
    </xf>
    <xf numFmtId="4" fontId="56" fillId="0" borderId="2" xfId="22" applyNumberFormat="1" applyFont="1" applyFill="1" applyBorder="1" applyAlignment="1" applyProtection="1">
      <alignment horizontal="right" vertical="center"/>
      <protection/>
    </xf>
    <xf numFmtId="3" fontId="56" fillId="0" borderId="2" xfId="22" applyNumberFormat="1" applyFont="1" applyFill="1" applyBorder="1" applyAlignment="1" applyProtection="1">
      <alignment horizontal="right" vertical="center"/>
      <protection/>
    </xf>
    <xf numFmtId="4" fontId="56" fillId="7" borderId="3" xfId="0" applyNumberFormat="1" applyFont="1" applyFill="1" applyBorder="1" applyAlignment="1">
      <alignment horizontal="right" vertical="center"/>
    </xf>
    <xf numFmtId="3" fontId="56" fillId="7" borderId="3" xfId="0" applyNumberFormat="1" applyFont="1" applyFill="1" applyBorder="1" applyAlignment="1">
      <alignment horizontal="right" vertical="center"/>
    </xf>
    <xf numFmtId="4" fontId="56" fillId="7" borderId="2" xfId="18" applyNumberFormat="1" applyFont="1" applyFill="1" applyBorder="1" applyAlignment="1" applyProtection="1">
      <alignment vertical="center"/>
      <protection locked="0"/>
    </xf>
    <xf numFmtId="4"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horizontal="right" vertical="center" shrinkToFit="1"/>
      <protection locked="0"/>
    </xf>
    <xf numFmtId="4" fontId="56" fillId="7" borderId="2" xfId="17" applyNumberFormat="1" applyFont="1" applyFill="1" applyBorder="1" applyAlignment="1" applyProtection="1">
      <alignment vertical="center"/>
      <protection locked="0"/>
    </xf>
    <xf numFmtId="3" fontId="56" fillId="7" borderId="2" xfId="17" applyNumberFormat="1" applyFont="1" applyFill="1" applyBorder="1" applyAlignment="1" applyProtection="1">
      <alignment vertical="center"/>
      <protection locked="0"/>
    </xf>
    <xf numFmtId="4" fontId="56" fillId="7" borderId="2" xfId="15" applyNumberFormat="1" applyFont="1" applyFill="1" applyBorder="1" applyAlignment="1" applyProtection="1">
      <alignmen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4" fontId="56" fillId="7" borderId="2" xfId="22" applyNumberFormat="1" applyFont="1" applyFill="1" applyBorder="1" applyAlignment="1" applyProtection="1">
      <alignment horizontal="right" vertical="center"/>
      <protection/>
    </xf>
    <xf numFmtId="3" fontId="56" fillId="7" borderId="2" xfId="22" applyNumberFormat="1" applyFont="1" applyFill="1" applyBorder="1" applyAlignment="1" applyProtection="1">
      <alignment horizontal="right" vertical="center"/>
      <protection/>
    </xf>
    <xf numFmtId="4" fontId="56" fillId="7" borderId="2" xfId="19" applyNumberFormat="1" applyFont="1" applyFill="1" applyBorder="1" applyAlignment="1" applyProtection="1">
      <alignment vertical="center"/>
      <protection locked="0"/>
    </xf>
    <xf numFmtId="3" fontId="56" fillId="7" borderId="2" xfId="19" applyNumberFormat="1" applyFont="1" applyFill="1" applyBorder="1" applyAlignment="1" applyProtection="1">
      <alignment horizontal="right" vertical="center"/>
      <protection locked="0"/>
    </xf>
    <xf numFmtId="4" fontId="56" fillId="7" borderId="2" xfId="19"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vertical="center"/>
      <protection locked="0"/>
    </xf>
    <xf numFmtId="4" fontId="56" fillId="7" borderId="2" xfId="27" applyNumberFormat="1" applyFont="1" applyFill="1" applyBorder="1" applyAlignment="1">
      <alignment horizontal="right" vertical="center"/>
      <protection/>
    </xf>
    <xf numFmtId="3" fontId="56" fillId="7" borderId="2" xfId="27" applyNumberFormat="1" applyFont="1" applyFill="1" applyBorder="1" applyAlignment="1">
      <alignment horizontal="right" vertical="center"/>
      <protection/>
    </xf>
    <xf numFmtId="4" fontId="56" fillId="7" borderId="2" xfId="0" applyNumberFormat="1" applyFont="1" applyFill="1" applyBorder="1" applyAlignment="1">
      <alignment vertical="center"/>
    </xf>
    <xf numFmtId="3" fontId="56" fillId="7" borderId="2" xfId="15" applyNumberFormat="1" applyFont="1" applyFill="1" applyBorder="1" applyAlignment="1" applyProtection="1">
      <alignment vertical="center"/>
      <protection/>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vertical="center"/>
      <protection locked="0"/>
    </xf>
    <xf numFmtId="4" fontId="56" fillId="7" borderId="2" xfId="0" applyNumberFormat="1" applyFont="1" applyFill="1" applyBorder="1" applyAlignment="1">
      <alignment vertical="center"/>
    </xf>
    <xf numFmtId="3" fontId="56" fillId="7" borderId="2" xfId="0" applyNumberFormat="1" applyFont="1" applyFill="1" applyBorder="1" applyAlignment="1">
      <alignment horizontal="right" vertical="center"/>
    </xf>
    <xf numFmtId="3" fontId="56" fillId="7" borderId="2" xfId="0" applyNumberFormat="1" applyFont="1" applyFill="1" applyBorder="1" applyAlignment="1">
      <alignment vertical="center"/>
    </xf>
    <xf numFmtId="3" fontId="56" fillId="7" borderId="2" xfId="19" applyNumberFormat="1" applyFont="1" applyFill="1" applyBorder="1" applyAlignment="1" applyProtection="1">
      <alignment vertical="center"/>
      <protection locked="0"/>
    </xf>
    <xf numFmtId="4" fontId="56" fillId="7" borderId="2" xfId="29" applyNumberFormat="1" applyFont="1" applyFill="1" applyBorder="1" applyAlignment="1">
      <alignment horizontal="right" vertical="center"/>
      <protection/>
    </xf>
    <xf numFmtId="3" fontId="56" fillId="7" borderId="2" xfId="29" applyNumberFormat="1" applyFont="1" applyFill="1" applyBorder="1" applyAlignment="1">
      <alignment horizontal="right" vertical="center"/>
      <protection/>
    </xf>
    <xf numFmtId="4" fontId="56" fillId="7" borderId="2" xfId="17"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horizontal="right" vertical="center"/>
      <protection locked="0"/>
    </xf>
    <xf numFmtId="3" fontId="56" fillId="7" borderId="2" xfId="15" applyNumberFormat="1" applyFont="1" applyFill="1" applyBorder="1" applyAlignment="1" applyProtection="1">
      <alignment vertical="center"/>
      <protection locked="0"/>
    </xf>
    <xf numFmtId="4" fontId="56" fillId="7" borderId="2" xfId="0" applyNumberFormat="1" applyFont="1" applyFill="1" applyBorder="1" applyAlignment="1">
      <alignment horizontal="right"/>
    </xf>
    <xf numFmtId="4" fontId="56" fillId="7" borderId="20" xfId="15" applyNumberFormat="1" applyFont="1" applyFill="1" applyBorder="1" applyAlignment="1" applyProtection="1">
      <alignment horizontal="right" vertical="center"/>
      <protection locked="0"/>
    </xf>
    <xf numFmtId="3" fontId="56" fillId="7" borderId="20" xfId="15" applyNumberFormat="1" applyFont="1" applyFill="1" applyBorder="1" applyAlignment="1" applyProtection="1">
      <alignment horizontal="right" vertical="center"/>
      <protection locked="0"/>
    </xf>
    <xf numFmtId="0" fontId="39" fillId="0" borderId="2" xfId="0" applyFont="1" applyFill="1" applyBorder="1" applyAlignment="1">
      <alignment horizontal="right" vertical="top"/>
    </xf>
    <xf numFmtId="4" fontId="39" fillId="7" borderId="2" xfId="17" applyNumberFormat="1" applyFont="1" applyFill="1" applyBorder="1" applyAlignment="1" applyProtection="1">
      <alignment horizontal="right" vertical="center"/>
      <protection locked="0"/>
    </xf>
    <xf numFmtId="0" fontId="39" fillId="0" borderId="2" xfId="0" applyFont="1" applyFill="1" applyBorder="1" applyAlignment="1">
      <alignment vertical="center"/>
    </xf>
    <xf numFmtId="204" fontId="39" fillId="6" borderId="14" xfId="0" applyNumberFormat="1" applyFont="1" applyFill="1" applyBorder="1" applyAlignment="1">
      <alignment horizontal="left" vertical="center" shrinkToFit="1"/>
    </xf>
    <xf numFmtId="0" fontId="39" fillId="0" borderId="14" xfId="22" applyFont="1" applyFill="1" applyBorder="1" applyAlignment="1">
      <alignment horizontal="left" vertical="center"/>
      <protection/>
    </xf>
    <xf numFmtId="0" fontId="39" fillId="0" borderId="14" xfId="25" applyNumberFormat="1" applyFont="1" applyFill="1" applyBorder="1" applyAlignment="1">
      <alignment horizontal="left" vertical="center"/>
      <protection/>
    </xf>
    <xf numFmtId="204" fontId="39" fillId="0" borderId="14" xfId="0" applyNumberFormat="1" applyFont="1" applyFill="1" applyBorder="1" applyAlignment="1">
      <alignment vertical="center"/>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left" vertical="center" shrinkToFit="1"/>
    </xf>
    <xf numFmtId="0" fontId="39" fillId="6" borderId="2" xfId="0" applyFont="1" applyFill="1" applyBorder="1" applyAlignment="1">
      <alignment horizontal="right" vertical="center" shrinkToFit="1"/>
    </xf>
    <xf numFmtId="0" fontId="39" fillId="0" borderId="2" xfId="22" applyFont="1" applyFill="1" applyBorder="1" applyAlignment="1">
      <alignment horizontal="right" vertical="center"/>
      <protection/>
    </xf>
    <xf numFmtId="0" fontId="85" fillId="6" borderId="2" xfId="0" applyFont="1" applyFill="1" applyBorder="1" applyAlignment="1">
      <alignment horizontal="right" vertical="center" shrinkToFit="1"/>
    </xf>
    <xf numFmtId="0" fontId="90" fillId="2" borderId="0" xfId="0" applyFont="1" applyFill="1" applyBorder="1" applyAlignment="1" applyProtection="1">
      <alignment horizontal="center" vertical="center" wrapText="1"/>
      <protection/>
    </xf>
    <xf numFmtId="0" fontId="91"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protection/>
    </xf>
    <xf numFmtId="0" fontId="93" fillId="2" borderId="0" xfId="0" applyFont="1" applyFill="1" applyBorder="1" applyAlignment="1" applyProtection="1">
      <alignment horizontal="left" vertical="center"/>
      <protection/>
    </xf>
    <xf numFmtId="0" fontId="94" fillId="2" borderId="0" xfId="0" applyFont="1" applyFill="1" applyAlignment="1" applyProtection="1">
      <alignment vertical="center"/>
      <protection/>
    </xf>
    <xf numFmtId="0" fontId="95" fillId="2" borderId="0" xfId="0" applyFont="1" applyFill="1" applyBorder="1" applyAlignment="1" applyProtection="1">
      <alignment vertical="center"/>
      <protection/>
    </xf>
    <xf numFmtId="0" fontId="39" fillId="0" borderId="2" xfId="0" applyNumberFormat="1" applyFont="1" applyFill="1" applyBorder="1" applyAlignment="1" applyProtection="1">
      <alignment horizontal="right" vertical="center"/>
      <protection/>
    </xf>
    <xf numFmtId="0" fontId="39" fillId="0" borderId="2" xfId="0" applyFont="1" applyFill="1" applyBorder="1" applyAlignment="1">
      <alignment horizontal="left"/>
    </xf>
    <xf numFmtId="0" fontId="39" fillId="0" borderId="2" xfId="0" applyFont="1" applyFill="1" applyBorder="1" applyAlignment="1" applyProtection="1">
      <alignment vertical="center"/>
      <protection locked="0"/>
    </xf>
    <xf numFmtId="0" fontId="39" fillId="0" borderId="2" xfId="0" applyFont="1" applyFill="1" applyBorder="1" applyAlignment="1" applyProtection="1">
      <alignment horizontal="left" vertical="center"/>
      <protection/>
    </xf>
    <xf numFmtId="190" fontId="39" fillId="0" borderId="2" xfId="0" applyNumberFormat="1" applyFont="1" applyFill="1" applyBorder="1" applyAlignment="1">
      <alignment horizontal="center"/>
    </xf>
    <xf numFmtId="0" fontId="39" fillId="0" borderId="2" xfId="0" applyFont="1" applyFill="1" applyBorder="1" applyAlignment="1" applyProtection="1">
      <alignment horizontal="right" vertical="center"/>
      <protection/>
    </xf>
    <xf numFmtId="4" fontId="56" fillId="7" borderId="2" xfId="0" applyNumberFormat="1" applyFont="1" applyFill="1" applyBorder="1" applyAlignment="1">
      <alignment vertical="center"/>
    </xf>
    <xf numFmtId="3" fontId="56" fillId="7" borderId="2" xfId="0" applyNumberFormat="1" applyFont="1" applyFill="1" applyBorder="1" applyAlignment="1">
      <alignment horizontal="right"/>
    </xf>
    <xf numFmtId="2" fontId="39" fillId="0" borderId="2" xfId="0" applyNumberFormat="1" applyFont="1" applyFill="1" applyBorder="1" applyAlignment="1">
      <alignment vertical="center"/>
    </xf>
    <xf numFmtId="4" fontId="39" fillId="0" borderId="2" xfId="0" applyNumberFormat="1" applyFont="1" applyFill="1" applyBorder="1" applyAlignment="1">
      <alignment vertical="center"/>
    </xf>
    <xf numFmtId="0" fontId="39" fillId="0" borderId="14" xfId="26" applyFont="1" applyFill="1" applyBorder="1" applyAlignment="1" applyProtection="1">
      <alignment horizontal="left" vertical="center"/>
      <protection/>
    </xf>
    <xf numFmtId="0" fontId="39" fillId="0" borderId="14" xfId="0" applyFont="1" applyFill="1" applyBorder="1" applyAlignment="1" applyProtection="1">
      <alignment horizontal="left" vertical="center"/>
      <protection/>
    </xf>
    <xf numFmtId="0" fontId="39" fillId="0" borderId="14" xfId="22" applyFont="1" applyFill="1" applyBorder="1" applyAlignment="1">
      <alignment horizontal="left" vertical="center"/>
      <protection/>
    </xf>
    <xf numFmtId="204" fontId="39" fillId="0" borderId="14" xfId="0" applyNumberFormat="1" applyFont="1" applyFill="1" applyBorder="1" applyAlignment="1" applyProtection="1">
      <alignment horizontal="left" vertical="center"/>
      <protection/>
    </xf>
    <xf numFmtId="0" fontId="39" fillId="0" borderId="2" xfId="28" applyFont="1" applyFill="1" applyBorder="1" applyAlignment="1" applyProtection="1">
      <alignment horizontal="left" vertical="center"/>
      <protection locked="0"/>
    </xf>
    <xf numFmtId="190" fontId="39" fillId="0" borderId="2" xfId="28" applyNumberFormat="1" applyFont="1" applyFill="1" applyBorder="1" applyAlignment="1" applyProtection="1">
      <alignment horizontal="center" vertical="center"/>
      <protection locked="0"/>
    </xf>
    <xf numFmtId="0" fontId="39" fillId="0" borderId="2" xfId="28"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xf>
    <xf numFmtId="190" fontId="39" fillId="0" borderId="2" xfId="22" applyNumberFormat="1" applyFont="1" applyFill="1" applyBorder="1" applyAlignment="1">
      <alignment horizontal="center" vertical="center" shrinkToFit="1"/>
      <protection/>
    </xf>
    <xf numFmtId="190" fontId="39" fillId="0" borderId="2" xfId="28" applyNumberFormat="1" applyFont="1" applyFill="1" applyBorder="1" applyAlignment="1">
      <alignment horizontal="center" wrapText="1"/>
      <protection/>
    </xf>
    <xf numFmtId="14" fontId="39" fillId="0" borderId="2" xfId="28" applyNumberFormat="1" applyFont="1" applyFill="1" applyBorder="1" applyAlignment="1">
      <alignment horizontal="left"/>
      <protection/>
    </xf>
    <xf numFmtId="0" fontId="39" fillId="0" borderId="2" xfId="28" applyFont="1" applyFill="1" applyBorder="1" applyAlignment="1">
      <alignment horizontal="right"/>
      <protection/>
    </xf>
    <xf numFmtId="190" fontId="39" fillId="0" borderId="2" xfId="0" applyNumberFormat="1" applyFont="1" applyFill="1" applyBorder="1" applyAlignment="1" applyProtection="1">
      <alignment horizontal="center" vertical="center"/>
      <protection/>
    </xf>
    <xf numFmtId="49" fontId="39" fillId="0" borderId="2" xfId="0" applyNumberFormat="1" applyFont="1" applyFill="1" applyBorder="1" applyAlignment="1" applyProtection="1">
      <alignment horizontal="right" vertical="center"/>
      <protection locked="0"/>
    </xf>
    <xf numFmtId="190" fontId="39" fillId="0" borderId="2" xfId="0" applyNumberFormat="1" applyFont="1" applyFill="1" applyBorder="1" applyAlignment="1" applyProtection="1">
      <alignment horizontal="center" vertical="center"/>
      <protection/>
    </xf>
    <xf numFmtId="49" fontId="39" fillId="0" borderId="2" xfId="28" applyNumberFormat="1" applyFont="1" applyFill="1" applyBorder="1" applyAlignment="1" applyProtection="1">
      <alignment horizontal="left" vertical="center"/>
      <protection locked="0"/>
    </xf>
    <xf numFmtId="0" fontId="39" fillId="0" borderId="2" xfId="28" applyNumberFormat="1" applyFont="1" applyFill="1" applyBorder="1" applyAlignment="1" applyProtection="1">
      <alignment horizontal="right" vertical="center"/>
      <protection locked="0"/>
    </xf>
    <xf numFmtId="190" fontId="39" fillId="0" borderId="2" xfId="0" applyNumberFormat="1" applyFont="1" applyFill="1" applyBorder="1" applyAlignment="1">
      <alignment horizontal="center"/>
    </xf>
    <xf numFmtId="194" fontId="39" fillId="0" borderId="2" xfId="0" applyNumberFormat="1" applyFont="1" applyFill="1" applyBorder="1" applyAlignment="1">
      <alignment horizontal="center"/>
    </xf>
    <xf numFmtId="0" fontId="39" fillId="0" borderId="2" xfId="28" applyNumberFormat="1" applyFont="1" applyFill="1" applyBorder="1" applyAlignment="1">
      <alignment horizontal="left" vertical="center"/>
      <protection/>
    </xf>
    <xf numFmtId="0" fontId="39" fillId="0" borderId="2" xfId="28" applyNumberFormat="1" applyFont="1" applyFill="1" applyBorder="1" applyAlignment="1">
      <alignment horizontal="left" vertical="center"/>
      <protection/>
    </xf>
    <xf numFmtId="0" fontId="39" fillId="0" borderId="2" xfId="28" applyNumberFormat="1" applyFont="1" applyFill="1" applyBorder="1" applyAlignment="1">
      <alignment horizontal="right" vertical="center"/>
      <protection/>
    </xf>
    <xf numFmtId="0" fontId="39" fillId="0" borderId="2" xfId="28" applyNumberFormat="1" applyFont="1" applyFill="1" applyBorder="1" applyAlignment="1">
      <alignment horizontal="right" vertical="center"/>
      <protection/>
    </xf>
    <xf numFmtId="4" fontId="56" fillId="0" borderId="2" xfId="15" applyNumberFormat="1" applyFont="1" applyFill="1" applyBorder="1" applyAlignment="1" applyProtection="1">
      <alignment horizontal="right" vertical="center"/>
      <protection locked="0"/>
    </xf>
    <xf numFmtId="4" fontId="56" fillId="0" borderId="2" xfId="0" applyNumberFormat="1" applyFont="1" applyFill="1" applyBorder="1" applyAlignment="1">
      <alignment vertical="center"/>
    </xf>
    <xf numFmtId="3" fontId="56" fillId="0" borderId="2" xfId="0" applyNumberFormat="1" applyFont="1" applyFill="1" applyBorder="1" applyAlignment="1">
      <alignment vertical="center"/>
    </xf>
    <xf numFmtId="0" fontId="48" fillId="3" borderId="36" xfId="0" applyFont="1" applyFill="1" applyBorder="1" applyAlignment="1" applyProtection="1">
      <alignment vertical="center"/>
      <protection/>
    </xf>
    <xf numFmtId="3" fontId="56" fillId="0" borderId="2" xfId="0" applyNumberFormat="1" applyFont="1" applyFill="1" applyBorder="1" applyAlignment="1">
      <alignment horizontal="right"/>
    </xf>
    <xf numFmtId="0" fontId="39" fillId="0" borderId="3" xfId="0" applyFont="1" applyFill="1" applyBorder="1" applyAlignment="1" applyProtection="1">
      <alignment vertical="center"/>
      <protection/>
    </xf>
    <xf numFmtId="0" fontId="39" fillId="0" borderId="3" xfId="0" applyFont="1" applyFill="1" applyBorder="1" applyAlignment="1" applyProtection="1">
      <alignment vertical="center"/>
      <protection locked="0"/>
    </xf>
    <xf numFmtId="0" fontId="39" fillId="0" borderId="3" xfId="0" applyFont="1" applyFill="1" applyBorder="1" applyAlignment="1" applyProtection="1">
      <alignment vertical="center"/>
      <protection locked="0"/>
    </xf>
    <xf numFmtId="4" fontId="39" fillId="0" borderId="3" xfId="15" applyNumberFormat="1" applyFont="1" applyFill="1" applyBorder="1" applyAlignment="1" applyProtection="1">
      <alignment vertical="center"/>
      <protection locked="0"/>
    </xf>
    <xf numFmtId="3" fontId="39" fillId="0" borderId="3" xfId="15" applyNumberFormat="1" applyFont="1" applyFill="1" applyBorder="1" applyAlignment="1" applyProtection="1">
      <alignment vertical="center"/>
      <protection locked="0"/>
    </xf>
    <xf numFmtId="3" fontId="39" fillId="0" borderId="3" xfId="32" applyNumberFormat="1" applyFont="1" applyFill="1" applyBorder="1" applyAlignment="1" applyProtection="1">
      <alignment vertical="center"/>
      <protection/>
    </xf>
    <xf numFmtId="4" fontId="39" fillId="0" borderId="3" xfId="32" applyNumberFormat="1" applyFont="1" applyFill="1" applyBorder="1" applyAlignment="1" applyProtection="1">
      <alignment vertical="center"/>
      <protection/>
    </xf>
    <xf numFmtId="4" fontId="39" fillId="0" borderId="3" xfId="15" applyNumberFormat="1" applyFont="1" applyFill="1" applyBorder="1" applyAlignment="1" applyProtection="1">
      <alignment vertical="center"/>
      <protection/>
    </xf>
    <xf numFmtId="192" fontId="39" fillId="0" borderId="3" xfId="32" applyNumberFormat="1" applyFont="1" applyFill="1" applyBorder="1" applyAlignment="1" applyProtection="1">
      <alignment vertical="center"/>
      <protection/>
    </xf>
    <xf numFmtId="0" fontId="39" fillId="0" borderId="2" xfId="0" applyFont="1" applyFill="1" applyBorder="1" applyAlignment="1" applyProtection="1">
      <alignment vertical="center"/>
      <protection/>
    </xf>
    <xf numFmtId="4" fontId="39" fillId="0" borderId="2" xfId="15" applyNumberFormat="1" applyFont="1" applyFill="1" applyBorder="1" applyAlignment="1">
      <alignment vertical="center"/>
    </xf>
    <xf numFmtId="3" fontId="39" fillId="0" borderId="2" xfId="15" applyNumberFormat="1" applyFont="1" applyFill="1" applyBorder="1" applyAlignment="1">
      <alignment vertical="center"/>
    </xf>
    <xf numFmtId="0" fontId="39" fillId="0" borderId="2" xfId="0" applyFont="1" applyFill="1" applyBorder="1" applyAlignment="1">
      <alignment vertical="center" wrapText="1"/>
    </xf>
    <xf numFmtId="0" fontId="39" fillId="0" borderId="2" xfId="0" applyFont="1" applyFill="1" applyBorder="1" applyAlignment="1" applyProtection="1">
      <alignment vertical="center"/>
      <protection/>
    </xf>
    <xf numFmtId="4" fontId="39" fillId="0" borderId="2" xfId="15"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49" fontId="39"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locked="0"/>
    </xf>
    <xf numFmtId="204" fontId="39" fillId="0" borderId="2" xfId="0" applyNumberFormat="1" applyFont="1" applyFill="1" applyBorder="1" applyAlignment="1" applyProtection="1">
      <alignment vertical="center"/>
      <protection/>
    </xf>
    <xf numFmtId="0" fontId="39" fillId="0" borderId="2" xfId="0" applyFont="1" applyFill="1" applyBorder="1" applyAlignment="1">
      <alignment vertical="center" shrinkToFit="1"/>
    </xf>
    <xf numFmtId="3" fontId="39" fillId="0" borderId="2" xfId="18" applyNumberFormat="1" applyFont="1" applyFill="1" applyBorder="1" applyAlignment="1">
      <alignment vertical="center" shrinkToFit="1"/>
    </xf>
    <xf numFmtId="49" fontId="39" fillId="0" borderId="2" xfId="0" applyNumberFormat="1" applyFont="1" applyFill="1" applyBorder="1" applyAlignment="1">
      <alignment vertical="center" shrinkToFit="1"/>
    </xf>
    <xf numFmtId="3" fontId="39" fillId="0" borderId="2" xfId="33" applyNumberFormat="1" applyFont="1" applyFill="1" applyBorder="1" applyAlignment="1" applyProtection="1">
      <alignment vertical="center"/>
      <protection/>
    </xf>
    <xf numFmtId="0" fontId="39" fillId="0" borderId="2" xfId="0" applyFont="1" applyFill="1" applyBorder="1" applyAlignment="1" applyProtection="1">
      <alignment vertical="center"/>
      <protection/>
    </xf>
    <xf numFmtId="0" fontId="39" fillId="0" borderId="2" xfId="26" applyFont="1" applyFill="1" applyBorder="1" applyAlignment="1" applyProtection="1">
      <alignment vertical="center"/>
      <protection/>
    </xf>
    <xf numFmtId="204" fontId="39" fillId="0" borderId="2" xfId="0" applyNumberFormat="1" applyFont="1" applyFill="1" applyBorder="1" applyAlignment="1" applyProtection="1">
      <alignment vertical="center"/>
      <protection/>
    </xf>
    <xf numFmtId="204" fontId="39" fillId="0" borderId="2" xfId="0" applyNumberFormat="1" applyFont="1" applyFill="1" applyBorder="1" applyAlignment="1">
      <alignment vertical="center" shrinkToFit="1"/>
    </xf>
    <xf numFmtId="0" fontId="39" fillId="0" borderId="2" xfId="0" applyNumberFormat="1" applyFont="1" applyFill="1" applyBorder="1" applyAlignment="1" applyProtection="1">
      <alignment vertical="center"/>
      <protection/>
    </xf>
    <xf numFmtId="0" fontId="39" fillId="0" borderId="2" xfId="0" applyFont="1" applyFill="1" applyBorder="1" applyAlignment="1">
      <alignment vertical="center"/>
    </xf>
    <xf numFmtId="0" fontId="39" fillId="0" borderId="2" xfId="0" applyFont="1" applyFill="1" applyBorder="1" applyAlignment="1" applyProtection="1">
      <alignment vertical="center"/>
      <protection/>
    </xf>
    <xf numFmtId="49" fontId="39" fillId="0" borderId="2" xfId="0" applyNumberFormat="1" applyFont="1" applyFill="1" applyBorder="1" applyAlignment="1">
      <alignment vertical="center" shrinkToFit="1"/>
    </xf>
    <xf numFmtId="4" fontId="39" fillId="0" borderId="2" xfId="18" applyNumberFormat="1" applyFont="1" applyFill="1" applyBorder="1" applyAlignment="1" applyProtection="1">
      <alignment vertical="center"/>
      <protection/>
    </xf>
    <xf numFmtId="3" fontId="39" fillId="0" borderId="2" xfId="0" applyNumberFormat="1" applyFont="1" applyFill="1" applyBorder="1" applyAlignment="1">
      <alignment vertical="center"/>
    </xf>
    <xf numFmtId="4" fontId="39" fillId="0" borderId="2" xfId="18" applyNumberFormat="1" applyFont="1" applyFill="1" applyBorder="1" applyAlignment="1" applyProtection="1">
      <alignment vertical="center"/>
      <protection/>
    </xf>
    <xf numFmtId="3" fontId="39" fillId="0" borderId="2" xfId="33" applyNumberFormat="1" applyFont="1" applyFill="1" applyBorder="1" applyAlignment="1" applyProtection="1">
      <alignment vertical="center"/>
      <protection/>
    </xf>
    <xf numFmtId="4" fontId="39" fillId="0" borderId="2" xfId="0" applyNumberFormat="1" applyFont="1" applyFill="1" applyBorder="1" applyAlignment="1">
      <alignment vertical="center"/>
    </xf>
    <xf numFmtId="49" fontId="39" fillId="0" borderId="2" xfId="0" applyNumberFormat="1" applyFont="1" applyFill="1" applyBorder="1" applyAlignment="1" applyProtection="1">
      <alignment vertical="center"/>
      <protection/>
    </xf>
    <xf numFmtId="3" fontId="39" fillId="0" borderId="2" xfId="15" applyNumberFormat="1" applyFont="1" applyFill="1" applyBorder="1" applyAlignment="1">
      <alignment vertical="center"/>
    </xf>
    <xf numFmtId="4" fontId="39" fillId="0" borderId="2" xfId="22" applyNumberFormat="1" applyFont="1" applyFill="1" applyBorder="1" applyAlignment="1" applyProtection="1">
      <alignment vertical="center"/>
      <protection/>
    </xf>
    <xf numFmtId="3" fontId="39" fillId="0" borderId="2" xfId="22" applyNumberFormat="1" applyFont="1" applyFill="1" applyBorder="1" applyAlignment="1" applyProtection="1">
      <alignment vertical="center"/>
      <protection/>
    </xf>
    <xf numFmtId="4" fontId="39" fillId="0" borderId="2" xfId="15" applyNumberFormat="1" applyFont="1" applyFill="1" applyBorder="1" applyAlignment="1">
      <alignment vertical="center"/>
    </xf>
    <xf numFmtId="204" fontId="39" fillId="0" borderId="2" xfId="22" applyNumberFormat="1" applyFont="1" applyFill="1" applyBorder="1" applyAlignment="1">
      <alignment vertical="center" shrinkToFit="1"/>
      <protection/>
    </xf>
    <xf numFmtId="0" fontId="39" fillId="0" borderId="2" xfId="22" applyFont="1" applyFill="1" applyBorder="1" applyAlignment="1">
      <alignment vertical="center" shrinkToFit="1"/>
      <protection/>
    </xf>
    <xf numFmtId="0" fontId="39" fillId="0" borderId="2" xfId="0" applyFont="1" applyFill="1" applyBorder="1" applyAlignment="1">
      <alignment vertical="center"/>
    </xf>
    <xf numFmtId="0" fontId="39" fillId="0" borderId="2" xfId="0" applyFont="1" applyFill="1" applyBorder="1" applyAlignment="1">
      <alignment vertical="center" shrinkToFit="1"/>
    </xf>
    <xf numFmtId="3" fontId="39" fillId="0" borderId="2" xfId="18" applyNumberFormat="1" applyFont="1" applyFill="1" applyBorder="1" applyAlignment="1">
      <alignment vertical="center" shrinkToFit="1"/>
    </xf>
    <xf numFmtId="0" fontId="39" fillId="0" borderId="3" xfId="0" applyFont="1" applyFill="1" applyBorder="1" applyAlignment="1">
      <alignment vertical="center"/>
    </xf>
    <xf numFmtId="4" fontId="56" fillId="0" borderId="2" xfId="17" applyNumberFormat="1" applyFont="1" applyFill="1" applyBorder="1" applyAlignment="1" applyProtection="1">
      <alignment vertical="center"/>
      <protection locked="0"/>
    </xf>
    <xf numFmtId="3" fontId="56" fillId="0" borderId="2" xfId="0" applyNumberFormat="1" applyFont="1" applyFill="1" applyBorder="1" applyAlignment="1">
      <alignment horizontal="right" vertical="center"/>
    </xf>
    <xf numFmtId="0" fontId="101" fillId="3" borderId="37" xfId="0" applyFont="1" applyFill="1" applyBorder="1" applyAlignment="1" applyProtection="1">
      <alignment vertical="center"/>
      <protection/>
    </xf>
    <xf numFmtId="0" fontId="101" fillId="3" borderId="38" xfId="0" applyFont="1" applyFill="1" applyBorder="1" applyAlignment="1" applyProtection="1">
      <alignment vertical="center"/>
      <protection/>
    </xf>
    <xf numFmtId="190" fontId="39" fillId="0" borderId="3" xfId="0" applyNumberFormat="1" applyFont="1" applyFill="1" applyBorder="1" applyAlignment="1" applyProtection="1">
      <alignment horizontal="center" vertical="center"/>
      <protection/>
    </xf>
    <xf numFmtId="0" fontId="39" fillId="0" borderId="14" xfId="25" applyFont="1" applyFill="1" applyBorder="1" applyAlignment="1">
      <alignment horizontal="left" vertical="center"/>
      <protection/>
    </xf>
    <xf numFmtId="49" fontId="39" fillId="6" borderId="14" xfId="0" applyNumberFormat="1" applyFont="1" applyFill="1" applyBorder="1" applyAlignment="1">
      <alignment horizontal="left" vertical="center" shrinkToFit="1"/>
    </xf>
    <xf numFmtId="0" fontId="39" fillId="0" borderId="14" xfId="0" applyFont="1" applyFill="1" applyBorder="1" applyAlignment="1">
      <alignment vertical="center"/>
    </xf>
    <xf numFmtId="49" fontId="39" fillId="6" borderId="14" xfId="0" applyNumberFormat="1" applyFont="1" applyFill="1" applyBorder="1" applyAlignment="1">
      <alignment horizontal="left" vertical="center" shrinkToFit="1"/>
    </xf>
    <xf numFmtId="0" fontId="39" fillId="0" borderId="14" xfId="0" applyNumberFormat="1" applyFont="1" applyFill="1" applyBorder="1" applyAlignment="1" applyProtection="1">
      <alignment vertical="center"/>
      <protection/>
    </xf>
    <xf numFmtId="0" fontId="39" fillId="0" borderId="14" xfId="26" applyFont="1" applyFill="1" applyBorder="1" applyAlignment="1" applyProtection="1">
      <alignment vertical="center"/>
      <protection/>
    </xf>
    <xf numFmtId="0" fontId="39" fillId="0" borderId="14" xfId="0" applyNumberFormat="1" applyFont="1" applyFill="1" applyBorder="1" applyAlignment="1">
      <alignment horizontal="left" vertical="center"/>
    </xf>
    <xf numFmtId="190" fontId="39" fillId="0" borderId="2" xfId="22" applyNumberFormat="1" applyFont="1" applyFill="1" applyBorder="1" applyAlignment="1">
      <alignment horizontal="center" vertical="center"/>
      <protection/>
    </xf>
    <xf numFmtId="14" fontId="39" fillId="0" borderId="2" xfId="0" applyNumberFormat="1" applyFont="1" applyFill="1" applyBorder="1" applyAlignment="1">
      <alignment vertical="center"/>
    </xf>
    <xf numFmtId="0" fontId="85" fillId="0" borderId="2" xfId="0" applyFont="1" applyFill="1" applyBorder="1" applyAlignment="1" applyProtection="1">
      <alignment horizontal="right" vertical="center"/>
      <protection locked="0"/>
    </xf>
    <xf numFmtId="0" fontId="85" fillId="0" borderId="2" xfId="0" applyFont="1" applyFill="1" applyBorder="1" applyAlignment="1" applyProtection="1">
      <alignment horizontal="right" vertical="center"/>
      <protection/>
    </xf>
    <xf numFmtId="4" fontId="56" fillId="7" borderId="2" xfId="0" applyNumberFormat="1" applyFont="1" applyFill="1" applyBorder="1" applyAlignment="1">
      <alignment horizontal="right" wrapText="1"/>
    </xf>
    <xf numFmtId="4" fontId="56" fillId="7" borderId="2" xfId="0" applyNumberFormat="1" applyFont="1" applyFill="1" applyBorder="1" applyAlignment="1">
      <alignment horizontal="right"/>
    </xf>
    <xf numFmtId="2" fontId="39" fillId="0" borderId="2" xfId="0" applyNumberFormat="1" applyFont="1" applyFill="1" applyBorder="1" applyAlignment="1">
      <alignment horizontal="right"/>
    </xf>
    <xf numFmtId="4" fontId="39" fillId="0" borderId="2" xfId="0" applyNumberFormat="1" applyFont="1" applyFill="1" applyBorder="1" applyAlignment="1">
      <alignment horizontal="right" wrapText="1"/>
    </xf>
    <xf numFmtId="2" fontId="39" fillId="0" borderId="16" xfId="0" applyNumberFormat="1" applyFont="1" applyFill="1" applyBorder="1" applyAlignment="1">
      <alignment horizontal="right"/>
    </xf>
    <xf numFmtId="3" fontId="56" fillId="0" borderId="2" xfId="17" applyNumberFormat="1" applyFont="1" applyFill="1" applyBorder="1" applyAlignment="1" applyProtection="1">
      <alignment vertical="center"/>
      <protection locked="0"/>
    </xf>
    <xf numFmtId="0" fontId="39" fillId="0" borderId="10" xfId="26" applyFont="1" applyFill="1" applyBorder="1" applyAlignment="1" applyProtection="1">
      <alignment vertical="center"/>
      <protection/>
    </xf>
    <xf numFmtId="0" fontId="39" fillId="0" borderId="14" xfId="0" applyFont="1" applyFill="1" applyBorder="1" applyAlignment="1" applyProtection="1">
      <alignment vertical="center"/>
      <protection/>
    </xf>
    <xf numFmtId="204" fontId="39" fillId="0" borderId="14" xfId="0" applyNumberFormat="1" applyFont="1" applyFill="1" applyBorder="1" applyAlignment="1">
      <alignment vertical="center" shrinkToFit="1"/>
    </xf>
    <xf numFmtId="0" fontId="39" fillId="0" borderId="14" xfId="0" applyFont="1" applyFill="1" applyBorder="1" applyAlignment="1" applyProtection="1">
      <alignment vertical="center"/>
      <protection/>
    </xf>
    <xf numFmtId="204" fontId="39" fillId="0" borderId="14" xfId="0" applyNumberFormat="1" applyFont="1" applyFill="1" applyBorder="1" applyAlignment="1" applyProtection="1">
      <alignment vertical="center"/>
      <protection/>
    </xf>
    <xf numFmtId="0" fontId="39" fillId="0" borderId="14" xfId="28" applyFont="1" applyFill="1" applyBorder="1" applyAlignment="1" applyProtection="1">
      <alignment horizontal="left" vertical="center"/>
      <protection locked="0"/>
    </xf>
    <xf numFmtId="49" fontId="39" fillId="0" borderId="14" xfId="0" applyNumberFormat="1" applyFont="1" applyFill="1" applyBorder="1" applyAlignment="1">
      <alignment horizontal="left" vertical="center" shrinkToFit="1"/>
    </xf>
    <xf numFmtId="0" fontId="39" fillId="0" borderId="14" xfId="0" applyFont="1" applyFill="1" applyBorder="1" applyAlignment="1">
      <alignment vertical="center" wrapText="1"/>
    </xf>
    <xf numFmtId="204" fontId="39" fillId="0" borderId="14" xfId="22" applyNumberFormat="1" applyFont="1" applyFill="1" applyBorder="1" applyAlignment="1">
      <alignment vertical="center" shrinkToFit="1"/>
      <protection/>
    </xf>
    <xf numFmtId="0" fontId="39" fillId="0" borderId="14" xfId="28" applyFont="1" applyFill="1" applyBorder="1" applyAlignment="1">
      <alignment horizontal="left"/>
      <protection/>
    </xf>
    <xf numFmtId="49" fontId="39" fillId="0" borderId="14" xfId="0" applyNumberFormat="1" applyFont="1" applyFill="1" applyBorder="1" applyAlignment="1" applyProtection="1">
      <alignment horizontal="left" vertical="center"/>
      <protection locked="0"/>
    </xf>
    <xf numFmtId="0" fontId="39" fillId="0" borderId="14" xfId="28" applyNumberFormat="1" applyFont="1" applyFill="1" applyBorder="1" applyAlignment="1" applyProtection="1">
      <alignment horizontal="left" vertical="center"/>
      <protection locked="0"/>
    </xf>
    <xf numFmtId="49" fontId="39" fillId="0" borderId="14" xfId="0" applyNumberFormat="1" applyFont="1" applyFill="1" applyBorder="1" applyAlignment="1">
      <alignment vertical="center" shrinkToFit="1"/>
    </xf>
    <xf numFmtId="0" fontId="39" fillId="0" borderId="14" xfId="0" applyFont="1" applyFill="1" applyBorder="1" applyAlignment="1">
      <alignment horizontal="left"/>
    </xf>
    <xf numFmtId="0" fontId="39" fillId="0" borderId="14" xfId="0" applyFont="1" applyFill="1" applyBorder="1" applyAlignment="1">
      <alignment/>
    </xf>
    <xf numFmtId="0" fontId="39" fillId="0" borderId="14" xfId="0" applyFont="1" applyFill="1" applyBorder="1" applyAlignment="1">
      <alignment vertical="center" shrinkToFit="1"/>
    </xf>
    <xf numFmtId="0" fontId="39" fillId="0" borderId="14" xfId="28" applyNumberFormat="1" applyFont="1" applyFill="1" applyBorder="1" applyAlignment="1">
      <alignment horizontal="left" vertical="center"/>
      <protection/>
    </xf>
    <xf numFmtId="0" fontId="39" fillId="0" borderId="14" xfId="28" applyNumberFormat="1" applyFont="1" applyFill="1" applyBorder="1" applyAlignment="1">
      <alignment horizontal="left" vertical="center"/>
      <protection/>
    </xf>
    <xf numFmtId="0" fontId="76" fillId="2" borderId="6" xfId="0" applyFont="1" applyFill="1" applyBorder="1" applyAlignment="1" applyProtection="1">
      <alignment horizontal="center" vertical="center" wrapText="1"/>
      <protection/>
    </xf>
    <xf numFmtId="1" fontId="53" fillId="2" borderId="0" xfId="0" applyNumberFormat="1" applyFont="1" applyFill="1" applyBorder="1" applyAlignment="1" applyProtection="1">
      <alignment horizontal="center" vertical="center" wrapText="1"/>
      <protection/>
    </xf>
    <xf numFmtId="0" fontId="54" fillId="2" borderId="0" xfId="0" applyFont="1" applyFill="1" applyBorder="1" applyAlignment="1" applyProtection="1">
      <alignment horizontal="center" vertical="center" wrapText="1"/>
      <protection/>
    </xf>
    <xf numFmtId="1" fontId="77" fillId="2" borderId="6" xfId="21" applyNumberFormat="1"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46" fillId="3" borderId="1" xfId="0" applyFont="1" applyFill="1" applyBorder="1" applyAlignment="1" applyProtection="1">
      <alignment horizontal="center" vertical="center" wrapText="1"/>
      <protection/>
    </xf>
    <xf numFmtId="0" fontId="45" fillId="3" borderId="33" xfId="0" applyFont="1" applyFill="1" applyBorder="1" applyAlignment="1" applyProtection="1">
      <alignment horizontal="center" vertical="center" wrapText="1"/>
      <protection/>
    </xf>
    <xf numFmtId="0" fontId="45" fillId="3" borderId="39" xfId="0" applyFont="1" applyFill="1" applyBorder="1" applyAlignment="1" applyProtection="1">
      <alignment horizontal="center" vertical="center" wrapText="1"/>
      <protection/>
    </xf>
    <xf numFmtId="0" fontId="57" fillId="3" borderId="1" xfId="0" applyFont="1" applyFill="1" applyBorder="1" applyAlignment="1" applyProtection="1">
      <alignment horizontal="center" vertical="center" wrapText="1"/>
      <protection/>
    </xf>
    <xf numFmtId="0" fontId="46" fillId="3" borderId="40" xfId="0" applyFont="1" applyFill="1" applyBorder="1" applyAlignment="1" applyProtection="1">
      <alignment horizontal="center" vertical="center" wrapText="1"/>
      <protection/>
    </xf>
    <xf numFmtId="0" fontId="46" fillId="3" borderId="41" xfId="0" applyFont="1" applyFill="1" applyBorder="1" applyAlignment="1" applyProtection="1">
      <alignment horizontal="center" vertical="center" wrapText="1"/>
      <protection/>
    </xf>
    <xf numFmtId="190" fontId="42" fillId="2" borderId="42" xfId="0" applyNumberFormat="1" applyFont="1" applyFill="1" applyBorder="1" applyAlignment="1" applyProtection="1">
      <alignment horizontal="left" vertical="center" wrapText="1"/>
      <protection/>
    </xf>
    <xf numFmtId="0" fontId="0" fillId="2" borderId="43" xfId="0" applyFill="1" applyBorder="1" applyAlignment="1" applyProtection="1">
      <alignment vertical="center" wrapText="1"/>
      <protection/>
    </xf>
    <xf numFmtId="0" fontId="0" fillId="2" borderId="44" xfId="0" applyFill="1" applyBorder="1" applyAlignment="1" applyProtection="1">
      <alignment vertical="center" wrapText="1"/>
      <protection/>
    </xf>
    <xf numFmtId="0" fontId="0" fillId="2" borderId="45"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46" xfId="0" applyFill="1" applyBorder="1" applyAlignment="1" applyProtection="1">
      <alignment vertical="center" wrapText="1"/>
      <protection/>
    </xf>
    <xf numFmtId="0" fontId="0" fillId="2" borderId="47" xfId="0" applyFill="1" applyBorder="1" applyAlignment="1" applyProtection="1">
      <alignment vertical="center" wrapText="1"/>
      <protection/>
    </xf>
    <xf numFmtId="0" fontId="0" fillId="2" borderId="6" xfId="0" applyFill="1" applyBorder="1" applyAlignment="1" applyProtection="1">
      <alignment vertical="center" wrapText="1"/>
      <protection/>
    </xf>
    <xf numFmtId="0" fontId="0" fillId="2" borderId="48" xfId="0" applyFill="1" applyBorder="1" applyAlignment="1" applyProtection="1">
      <alignment vertical="center" wrapText="1"/>
      <protection/>
    </xf>
    <xf numFmtId="0" fontId="44" fillId="3" borderId="40" xfId="0" applyFont="1" applyFill="1" applyBorder="1" applyAlignment="1" applyProtection="1">
      <alignment horizontal="center" vertical="center" wrapText="1"/>
      <protection/>
    </xf>
    <xf numFmtId="0" fontId="44" fillId="3" borderId="41" xfId="0" applyFont="1" applyFill="1" applyBorder="1" applyAlignment="1" applyProtection="1">
      <alignment horizontal="center" vertical="center" wrapText="1"/>
      <protection/>
    </xf>
    <xf numFmtId="0" fontId="68" fillId="0" borderId="49" xfId="0" applyFont="1" applyFill="1" applyBorder="1" applyAlignment="1" applyProtection="1">
      <alignment horizontal="center" vertical="center" wrapText="1"/>
      <protection/>
    </xf>
    <xf numFmtId="0" fontId="68" fillId="0" borderId="50" xfId="0" applyFont="1" applyFill="1" applyBorder="1" applyAlignment="1" applyProtection="1">
      <alignment horizontal="center" vertical="center" wrapText="1"/>
      <protection/>
    </xf>
    <xf numFmtId="0" fontId="68" fillId="0" borderId="40" xfId="0" applyFont="1" applyFill="1" applyBorder="1" applyAlignment="1" applyProtection="1">
      <alignment horizontal="center" vertical="center" wrapText="1"/>
      <protection/>
    </xf>
    <xf numFmtId="0" fontId="68" fillId="0" borderId="51" xfId="0" applyFont="1" applyFill="1" applyBorder="1" applyAlignment="1" applyProtection="1">
      <alignment horizontal="center" vertical="center" wrapText="1"/>
      <protection/>
    </xf>
    <xf numFmtId="0" fontId="2" fillId="2" borderId="52" xfId="21" applyFill="1" applyBorder="1" applyAlignment="1" applyProtection="1">
      <alignment horizontal="center" vertical="center" wrapText="1"/>
      <protection/>
    </xf>
    <xf numFmtId="0" fontId="71" fillId="0" borderId="53" xfId="0" applyFont="1" applyBorder="1" applyAlignment="1">
      <alignment horizontal="center" vertical="center" wrapText="1"/>
    </xf>
    <xf numFmtId="1" fontId="96" fillId="2" borderId="0" xfId="0" applyNumberFormat="1" applyFont="1" applyFill="1" applyBorder="1" applyAlignment="1" applyProtection="1">
      <alignment horizontal="center" vertical="center" wrapText="1"/>
      <protection/>
    </xf>
    <xf numFmtId="0" fontId="52" fillId="2" borderId="0" xfId="0" applyFont="1" applyFill="1" applyBorder="1" applyAlignment="1" applyProtection="1">
      <alignment horizontal="center" vertical="center" wrapText="1"/>
      <protection/>
    </xf>
    <xf numFmtId="0" fontId="45" fillId="2" borderId="7" xfId="0"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0" fontId="80" fillId="3" borderId="0" xfId="0" applyFont="1" applyFill="1" applyBorder="1" applyAlignment="1" applyProtection="1">
      <alignment horizontal="right" vertical="center" wrapText="1"/>
      <protection/>
    </xf>
    <xf numFmtId="0" fontId="75" fillId="3" borderId="0" xfId="0" applyFont="1" applyFill="1" applyBorder="1" applyAlignment="1" applyProtection="1">
      <alignment horizontal="right" vertical="center" wrapText="1"/>
      <protection/>
    </xf>
    <xf numFmtId="0" fontId="74" fillId="3" borderId="6" xfId="0" applyFont="1" applyFill="1" applyBorder="1" applyAlignment="1" applyProtection="1">
      <alignment horizontal="right" vertical="center" wrapText="1"/>
      <protection/>
    </xf>
    <xf numFmtId="0" fontId="75" fillId="3" borderId="6" xfId="0" applyFont="1" applyFill="1" applyBorder="1" applyAlignment="1" applyProtection="1">
      <alignment horizontal="right" vertical="center" wrapText="1"/>
      <protection/>
    </xf>
    <xf numFmtId="0" fontId="0" fillId="2" borderId="6" xfId="0" applyFill="1" applyBorder="1" applyAlignment="1" applyProtection="1">
      <alignment horizontal="center" vertical="center" wrapText="1"/>
      <protection/>
    </xf>
    <xf numFmtId="1" fontId="61" fillId="2" borderId="0" xfId="0" applyNumberFormat="1" applyFont="1" applyFill="1" applyBorder="1" applyAlignment="1" applyProtection="1">
      <alignment horizontal="center" vertical="center" wrapText="1"/>
      <protection/>
    </xf>
    <xf numFmtId="0" fontId="78" fillId="2"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81"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57" fillId="2" borderId="1" xfId="0" applyFont="1" applyFill="1" applyBorder="1" applyAlignment="1" applyProtection="1">
      <alignment horizontal="center" vertical="center" wrapText="1"/>
      <protection/>
    </xf>
    <xf numFmtId="0" fontId="46" fillId="2" borderId="1" xfId="0" applyFont="1" applyFill="1" applyBorder="1" applyAlignment="1" applyProtection="1">
      <alignment horizontal="center" vertical="center" wrapText="1"/>
      <protection/>
    </xf>
    <xf numFmtId="0" fontId="68" fillId="2" borderId="0" xfId="0" applyFont="1" applyFill="1" applyBorder="1" applyAlignment="1" applyProtection="1">
      <alignment horizontal="center" vertical="center" wrapText="1"/>
      <protection/>
    </xf>
    <xf numFmtId="0" fontId="70" fillId="2" borderId="0" xfId="21" applyFont="1" applyFill="1" applyBorder="1" applyAlignment="1" applyProtection="1">
      <alignment horizontal="center" vertical="center" wrapText="1"/>
      <protection/>
    </xf>
    <xf numFmtId="0" fontId="71" fillId="2" borderId="0" xfId="0" applyFont="1" applyFill="1" applyBorder="1" applyAlignment="1">
      <alignment horizontal="center" vertical="center" wrapText="1"/>
    </xf>
    <xf numFmtId="0" fontId="69" fillId="2" borderId="6" xfId="0" applyFont="1" applyFill="1" applyBorder="1" applyAlignment="1" applyProtection="1">
      <alignment horizontal="center" vertical="center" wrapText="1"/>
      <protection/>
    </xf>
    <xf numFmtId="1" fontId="72" fillId="2" borderId="0" xfId="0" applyNumberFormat="1" applyFont="1" applyFill="1" applyBorder="1" applyAlignment="1" applyProtection="1">
      <alignment horizontal="center" vertical="center" wrapText="1"/>
      <protection/>
    </xf>
    <xf numFmtId="0" fontId="73" fillId="2" borderId="0" xfId="0" applyFont="1" applyFill="1" applyBorder="1" applyAlignment="1" applyProtection="1">
      <alignment horizontal="center" vertical="center" wrapText="1"/>
      <protection/>
    </xf>
    <xf numFmtId="0" fontId="82" fillId="2" borderId="0" xfId="0" applyFont="1" applyFill="1" applyBorder="1" applyAlignment="1" applyProtection="1">
      <alignment horizontal="center" vertical="center" wrapText="1"/>
      <protection/>
    </xf>
    <xf numFmtId="0" fontId="80" fillId="3" borderId="43" xfId="0" applyFont="1" applyFill="1" applyBorder="1" applyAlignment="1" applyProtection="1">
      <alignment horizontal="right" vertical="center" wrapText="1"/>
      <protection/>
    </xf>
    <xf numFmtId="0" fontId="75" fillId="3" borderId="43" xfId="0" applyFont="1" applyFill="1" applyBorder="1" applyAlignment="1" applyProtection="1">
      <alignment horizontal="right" vertical="center" wrapText="1"/>
      <protection/>
    </xf>
    <xf numFmtId="0" fontId="44" fillId="2" borderId="40" xfId="0" applyFont="1" applyFill="1" applyBorder="1" applyAlignment="1" applyProtection="1">
      <alignment horizontal="center" vertical="center" wrapText="1"/>
      <protection/>
    </xf>
    <xf numFmtId="0" fontId="44" fillId="2" borderId="41" xfId="0" applyFont="1" applyFill="1" applyBorder="1" applyAlignment="1" applyProtection="1">
      <alignment horizontal="center" vertical="center" wrapText="1"/>
      <protection/>
    </xf>
    <xf numFmtId="0" fontId="46" fillId="2" borderId="40" xfId="0" applyFont="1" applyFill="1" applyBorder="1" applyAlignment="1" applyProtection="1">
      <alignment horizontal="center" vertical="center" wrapText="1"/>
      <protection/>
    </xf>
    <xf numFmtId="0" fontId="46" fillId="2" borderId="41" xfId="0" applyFont="1" applyFill="1" applyBorder="1" applyAlignment="1" applyProtection="1">
      <alignment horizontal="center" vertical="center" wrapText="1"/>
      <protection/>
    </xf>
    <xf numFmtId="1" fontId="98" fillId="2" borderId="0" xfId="0" applyNumberFormat="1" applyFont="1" applyFill="1" applyBorder="1" applyAlignment="1" applyProtection="1">
      <alignment horizontal="center" vertical="center" wrapText="1"/>
      <protection/>
    </xf>
    <xf numFmtId="1" fontId="60" fillId="2" borderId="0" xfId="0" applyNumberFormat="1" applyFont="1" applyFill="1" applyBorder="1" applyAlignment="1" applyProtection="1">
      <alignment horizontal="center" vertical="center" wrapText="1"/>
      <protection/>
    </xf>
    <xf numFmtId="0" fontId="83" fillId="2" borderId="6" xfId="0" applyFont="1" applyFill="1" applyBorder="1" applyAlignment="1" applyProtection="1">
      <alignment horizontal="center" vertical="center" wrapText="1"/>
      <protection/>
    </xf>
    <xf numFmtId="0" fontId="102" fillId="3" borderId="43" xfId="0" applyFont="1" applyFill="1" applyBorder="1" applyAlignment="1" applyProtection="1">
      <alignment horizontal="right" vertical="center" wrapText="1"/>
      <protection/>
    </xf>
    <xf numFmtId="0" fontId="104" fillId="3" borderId="43" xfId="0" applyFont="1" applyFill="1" applyBorder="1" applyAlignment="1" applyProtection="1">
      <alignment horizontal="right" vertical="center" wrapText="1"/>
      <protection/>
    </xf>
    <xf numFmtId="0" fontId="102" fillId="3" borderId="6" xfId="0" applyFont="1" applyFill="1" applyBorder="1" applyAlignment="1" applyProtection="1">
      <alignment horizontal="right" vertical="center" wrapText="1"/>
      <protection/>
    </xf>
    <xf numFmtId="0" fontId="104" fillId="3" borderId="6" xfId="0" applyFont="1" applyFill="1" applyBorder="1" applyAlignment="1" applyProtection="1">
      <alignment horizontal="right" vertical="center" wrapText="1"/>
      <protection/>
    </xf>
    <xf numFmtId="4" fontId="39" fillId="0" borderId="2" xfId="18" applyNumberFormat="1" applyFont="1" applyFill="1" applyBorder="1" applyAlignment="1">
      <alignment vertical="center" shrinkToFit="1"/>
    </xf>
    <xf numFmtId="4" fontId="39" fillId="0" borderId="2" xfId="18" applyNumberFormat="1" applyFont="1" applyFill="1" applyBorder="1" applyAlignment="1">
      <alignment vertical="center" shrinkToFit="1"/>
    </xf>
    <xf numFmtId="0" fontId="39" fillId="0" borderId="2" xfId="0" applyNumberFormat="1" applyFont="1" applyFill="1" applyBorder="1" applyAlignment="1">
      <alignment vertical="center"/>
    </xf>
    <xf numFmtId="4" fontId="39" fillId="0" borderId="2" xfId="22" applyNumberFormat="1" applyFont="1" applyFill="1" applyBorder="1" applyAlignment="1" applyProtection="1">
      <alignment vertical="center"/>
      <protection locked="0"/>
    </xf>
    <xf numFmtId="3" fontId="39" fillId="0" borderId="2" xfId="22" applyNumberFormat="1" applyFont="1" applyFill="1" applyBorder="1" applyAlignment="1" applyProtection="1">
      <alignment vertical="center"/>
      <protection locked="0"/>
    </xf>
    <xf numFmtId="4" fontId="56" fillId="0" borderId="2" xfId="22" applyNumberFormat="1" applyFont="1" applyFill="1" applyBorder="1" applyAlignment="1" applyProtection="1">
      <alignment vertical="center"/>
      <protection locked="0"/>
    </xf>
    <xf numFmtId="3" fontId="56" fillId="0" borderId="2" xfId="22"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3" fontId="56" fillId="0" borderId="2" xfId="0" applyNumberFormat="1" applyFont="1" applyFill="1" applyBorder="1" applyAlignment="1">
      <alignment vertical="center"/>
    </xf>
    <xf numFmtId="4" fontId="56" fillId="0" borderId="2" xfId="15" applyNumberFormat="1" applyFont="1" applyFill="1" applyBorder="1" applyAlignment="1" applyProtection="1">
      <alignment vertical="center"/>
      <protection/>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3" fontId="39" fillId="0" borderId="2" xfId="15" applyNumberFormat="1" applyFont="1" applyFill="1" applyBorder="1" applyAlignment="1" applyProtection="1">
      <alignment vertical="center"/>
      <protection/>
    </xf>
    <xf numFmtId="0" fontId="86" fillId="2" borderId="14" xfId="0" applyFont="1" applyFill="1" applyBorder="1" applyAlignment="1" applyProtection="1">
      <alignment horizontal="center" vertical="center"/>
      <protection/>
    </xf>
    <xf numFmtId="0" fontId="100" fillId="0" borderId="15" xfId="0" applyFont="1" applyFill="1" applyBorder="1" applyAlignment="1" applyProtection="1">
      <alignment horizontal="center" vertical="center"/>
      <protection/>
    </xf>
    <xf numFmtId="0" fontId="86" fillId="2" borderId="14" xfId="26" applyFont="1" applyFill="1" applyBorder="1" applyAlignment="1" applyProtection="1">
      <alignment horizontal="center" vertical="center"/>
      <protection/>
    </xf>
    <xf numFmtId="0" fontId="86" fillId="2" borderId="15" xfId="0" applyFont="1" applyFill="1" applyBorder="1" applyAlignment="1" applyProtection="1">
      <alignment horizontal="center" vertical="center"/>
      <protection/>
    </xf>
    <xf numFmtId="0" fontId="87" fillId="4" borderId="14" xfId="0" applyFont="1" applyFill="1" applyBorder="1" applyAlignment="1" applyProtection="1">
      <alignment horizontal="center" vertical="center"/>
      <protection/>
    </xf>
    <xf numFmtId="0" fontId="86" fillId="2" borderId="14" xfId="0" applyFont="1" applyFill="1" applyBorder="1" applyAlignment="1" applyProtection="1">
      <alignment horizontal="center" vertical="center"/>
      <protection/>
    </xf>
    <xf numFmtId="0" fontId="39" fillId="2" borderId="14" xfId="0" applyFont="1" applyFill="1" applyBorder="1" applyAlignment="1" applyProtection="1">
      <alignment horizontal="center" vertical="center"/>
      <protection/>
    </xf>
    <xf numFmtId="0" fontId="56" fillId="2" borderId="14" xfId="0" applyFont="1" applyFill="1" applyBorder="1" applyAlignment="1" applyProtection="1">
      <alignment horizontal="center" vertical="center"/>
      <protection/>
    </xf>
    <xf numFmtId="204" fontId="86" fillId="2" borderId="14" xfId="0" applyNumberFormat="1" applyFont="1" applyFill="1" applyBorder="1" applyAlignment="1" applyProtection="1">
      <alignment horizontal="center" vertical="center"/>
      <protection/>
    </xf>
    <xf numFmtId="0" fontId="86" fillId="0" borderId="15" xfId="0" applyFont="1" applyFill="1" applyBorder="1" applyAlignment="1" applyProtection="1">
      <alignment horizontal="center" vertical="center"/>
      <protection/>
    </xf>
    <xf numFmtId="0" fontId="86" fillId="2" borderId="0" xfId="0" applyFont="1" applyFill="1" applyBorder="1" applyAlignment="1" applyProtection="1">
      <alignment horizontal="center" vertical="center"/>
      <protection/>
    </xf>
    <xf numFmtId="0" fontId="86" fillId="2" borderId="14" xfId="0" applyNumberFormat="1" applyFont="1" applyFill="1" applyBorder="1" applyAlignment="1" applyProtection="1">
      <alignment horizontal="center" vertical="center"/>
      <protection/>
    </xf>
    <xf numFmtId="0" fontId="87" fillId="5" borderId="15" xfId="0" applyFont="1" applyFill="1" applyBorder="1" applyAlignment="1" applyProtection="1">
      <alignment horizontal="center" vertical="center"/>
      <protection/>
    </xf>
    <xf numFmtId="0" fontId="86" fillId="0" borderId="14" xfId="0" applyFont="1" applyFill="1" applyBorder="1" applyAlignment="1" applyProtection="1">
      <alignment horizontal="center" vertical="center"/>
      <protection/>
    </xf>
    <xf numFmtId="0" fontId="86" fillId="0" borderId="14" xfId="0" applyNumberFormat="1" applyFont="1" applyFill="1" applyBorder="1" applyAlignment="1" applyProtection="1">
      <alignment horizontal="center" vertical="center"/>
      <protection/>
    </xf>
    <xf numFmtId="0" fontId="39" fillId="2" borderId="15" xfId="0" applyFont="1" applyFill="1" applyBorder="1" applyAlignment="1" applyProtection="1">
      <alignment horizontal="center" vertical="center"/>
      <protection/>
    </xf>
    <xf numFmtId="0" fontId="86" fillId="0" borderId="14" xfId="26" applyFont="1" applyFill="1" applyBorder="1" applyAlignment="1" applyProtection="1">
      <alignment horizontal="center" vertical="center"/>
      <protection/>
    </xf>
    <xf numFmtId="0" fontId="87" fillId="0" borderId="15" xfId="0" applyFont="1" applyFill="1" applyBorder="1" applyAlignment="1" applyProtection="1">
      <alignment horizontal="center" vertical="center"/>
      <protection/>
    </xf>
    <xf numFmtId="0" fontId="50" fillId="2" borderId="23" xfId="0" applyNumberFormat="1" applyFont="1" applyFill="1" applyBorder="1" applyAlignment="1" applyProtection="1">
      <alignment horizontal="center" vertical="center"/>
      <protection/>
    </xf>
    <xf numFmtId="4" fontId="39" fillId="0" borderId="2" xfId="0" applyNumberFormat="1" applyFont="1" applyFill="1" applyBorder="1" applyAlignment="1">
      <alignment vertical="center" wrapText="1"/>
    </xf>
    <xf numFmtId="3" fontId="39" fillId="0" borderId="2" xfId="0" applyNumberFormat="1" applyFont="1" applyFill="1" applyBorder="1" applyAlignment="1">
      <alignment vertical="center" wrapText="1"/>
    </xf>
    <xf numFmtId="3" fontId="39" fillId="0" borderId="2" xfId="0" applyNumberFormat="1" applyFont="1" applyFill="1" applyBorder="1" applyAlignment="1">
      <alignment vertical="center"/>
    </xf>
    <xf numFmtId="4" fontId="39" fillId="0" borderId="2" xfId="0" applyNumberFormat="1" applyFont="1" applyFill="1" applyBorder="1" applyAlignment="1">
      <alignment vertical="center" wrapText="1"/>
    </xf>
    <xf numFmtId="3" fontId="39" fillId="0" borderId="2" xfId="17" applyNumberFormat="1" applyFont="1" applyFill="1" applyBorder="1" applyAlignment="1" applyProtection="1">
      <alignment vertical="center"/>
      <protection locked="0"/>
    </xf>
    <xf numFmtId="0" fontId="39" fillId="2" borderId="45" xfId="0" applyFont="1" applyFill="1" applyBorder="1" applyAlignment="1" applyProtection="1">
      <alignment horizontal="center" vertical="center"/>
      <protection/>
    </xf>
    <xf numFmtId="0" fontId="56" fillId="2" borderId="45" xfId="0" applyFont="1" applyFill="1" applyBorder="1" applyAlignment="1" applyProtection="1">
      <alignment horizontal="center" vertical="center"/>
      <protection/>
    </xf>
    <xf numFmtId="204" fontId="86" fillId="2" borderId="45" xfId="0" applyNumberFormat="1" applyFont="1" applyFill="1" applyBorder="1" applyAlignment="1" applyProtection="1">
      <alignment horizontal="center" vertical="center"/>
      <protection/>
    </xf>
    <xf numFmtId="0" fontId="86" fillId="2" borderId="10" xfId="0" applyFont="1" applyFill="1" applyBorder="1" applyAlignment="1" applyProtection="1">
      <alignment horizontal="center" vertical="center"/>
      <protection/>
    </xf>
    <xf numFmtId="0" fontId="100" fillId="2" borderId="11" xfId="0" applyFont="1" applyFill="1" applyBorder="1" applyAlignment="1" applyProtection="1">
      <alignment horizontal="center" vertical="center"/>
      <protection/>
    </xf>
    <xf numFmtId="0" fontId="86" fillId="0" borderId="0" xfId="0" applyFont="1" applyFill="1" applyBorder="1" applyAlignment="1" applyProtection="1">
      <alignment horizontal="center" vertical="center"/>
      <protection/>
    </xf>
    <xf numFmtId="204" fontId="39" fillId="0" borderId="2" xfId="0" applyNumberFormat="1" applyFont="1" applyFill="1" applyBorder="1" applyAlignment="1">
      <alignment vertical="center" shrinkToFit="1"/>
    </xf>
    <xf numFmtId="3" fontId="39" fillId="0" borderId="3" xfId="15" applyNumberFormat="1" applyFont="1" applyFill="1" applyBorder="1" applyAlignment="1" applyProtection="1">
      <alignment vertical="center"/>
      <protection/>
    </xf>
    <xf numFmtId="4" fontId="39" fillId="0" borderId="3" xfId="32" applyNumberFormat="1" applyFont="1" applyFill="1" applyBorder="1" applyAlignment="1" applyProtection="1">
      <alignment vertical="center"/>
      <protection/>
    </xf>
    <xf numFmtId="3" fontId="39" fillId="0" borderId="3" xfId="32" applyNumberFormat="1" applyFont="1" applyFill="1" applyBorder="1" applyAlignment="1" applyProtection="1">
      <alignment vertical="center"/>
      <protection/>
    </xf>
    <xf numFmtId="4" fontId="39" fillId="0" borderId="3" xfId="17" applyNumberFormat="1" applyFont="1" applyFill="1" applyBorder="1" applyAlignment="1" applyProtection="1">
      <alignment vertical="center"/>
      <protection locked="0"/>
    </xf>
    <xf numFmtId="3" fontId="39" fillId="0" borderId="3" xfId="17" applyNumberFormat="1" applyFont="1" applyFill="1" applyBorder="1" applyAlignment="1" applyProtection="1">
      <alignment vertical="center"/>
      <protection locked="0"/>
    </xf>
    <xf numFmtId="4" fontId="39" fillId="0" borderId="24" xfId="32" applyNumberFormat="1" applyFont="1" applyFill="1" applyBorder="1" applyAlignment="1" applyProtection="1">
      <alignment vertical="center"/>
      <protection/>
    </xf>
    <xf numFmtId="4" fontId="39" fillId="0" borderId="16" xfId="15" applyNumberFormat="1" applyFont="1" applyFill="1" applyBorder="1" applyAlignment="1" applyProtection="1">
      <alignment vertical="center"/>
      <protection/>
    </xf>
    <xf numFmtId="4" fontId="39" fillId="0" borderId="16" xfId="32" applyNumberFormat="1" applyFont="1" applyFill="1" applyBorder="1" applyAlignment="1" applyProtection="1">
      <alignment vertical="center"/>
      <protection/>
    </xf>
    <xf numFmtId="4" fontId="39" fillId="0" borderId="16" xfId="0" applyNumberFormat="1" applyFont="1" applyFill="1" applyBorder="1" applyAlignment="1" applyProtection="1">
      <alignment vertical="center"/>
      <protection/>
    </xf>
    <xf numFmtId="190" fontId="39" fillId="0" borderId="2" xfId="0" applyNumberFormat="1" applyFont="1" applyFill="1" applyBorder="1" applyAlignment="1">
      <alignment horizontal="center" vertical="center" wrapText="1"/>
    </xf>
    <xf numFmtId="4" fontId="56" fillId="8" borderId="3" xfId="17" applyNumberFormat="1" applyFont="1" applyFill="1" applyBorder="1" applyAlignment="1" applyProtection="1">
      <alignment vertical="center"/>
      <protection locked="0"/>
    </xf>
    <xf numFmtId="3" fontId="56" fillId="8" borderId="3" xfId="17" applyNumberFormat="1" applyFont="1" applyFill="1" applyBorder="1" applyAlignment="1" applyProtection="1">
      <alignment vertical="center"/>
      <protection locked="0"/>
    </xf>
    <xf numFmtId="4" fontId="56" fillId="8" borderId="2" xfId="0" applyNumberFormat="1" applyFont="1" applyFill="1" applyBorder="1" applyAlignment="1">
      <alignment vertical="center"/>
    </xf>
    <xf numFmtId="3" fontId="56" fillId="8" borderId="2" xfId="0" applyNumberFormat="1" applyFont="1" applyFill="1" applyBorder="1" applyAlignment="1">
      <alignment vertical="center"/>
    </xf>
    <xf numFmtId="4" fontId="56" fillId="8" borderId="2" xfId="18" applyNumberFormat="1" applyFont="1" applyFill="1" applyBorder="1" applyAlignment="1" applyProtection="1">
      <alignment vertical="center"/>
      <protection locked="0"/>
    </xf>
    <xf numFmtId="3" fontId="56" fillId="8" borderId="2" xfId="18" applyNumberFormat="1" applyFont="1" applyFill="1" applyBorder="1" applyAlignment="1" applyProtection="1">
      <alignment vertical="center"/>
      <protection locked="0"/>
    </xf>
    <xf numFmtId="4" fontId="56" fillId="8" borderId="2" xfId="15" applyNumberFormat="1" applyFont="1" applyFill="1" applyBorder="1" applyAlignment="1" applyProtection="1">
      <alignment vertical="center"/>
      <protection locked="0"/>
    </xf>
    <xf numFmtId="3" fontId="56" fillId="8" borderId="2" xfId="15" applyNumberFormat="1" applyFont="1" applyFill="1" applyBorder="1" applyAlignment="1" applyProtection="1">
      <alignment vertical="center"/>
      <protection locked="0"/>
    </xf>
    <xf numFmtId="4" fontId="56" fillId="8" borderId="2" xfId="0" applyNumberFormat="1" applyFont="1" applyFill="1" applyBorder="1" applyAlignment="1">
      <alignment vertical="center"/>
    </xf>
    <xf numFmtId="3" fontId="56" fillId="8" borderId="2" xfId="0" applyNumberFormat="1" applyFont="1" applyFill="1" applyBorder="1" applyAlignment="1">
      <alignment vertical="center"/>
    </xf>
    <xf numFmtId="4" fontId="56" fillId="8" borderId="2" xfId="17" applyNumberFormat="1" applyFont="1" applyFill="1" applyBorder="1" applyAlignment="1" applyProtection="1">
      <alignment vertical="center"/>
      <protection locked="0"/>
    </xf>
    <xf numFmtId="3" fontId="56" fillId="8" borderId="2" xfId="17" applyNumberFormat="1" applyFont="1" applyFill="1" applyBorder="1" applyAlignment="1" applyProtection="1">
      <alignment vertical="center"/>
      <protection locked="0"/>
    </xf>
    <xf numFmtId="4" fontId="56" fillId="8" borderId="2" xfId="15" applyNumberFormat="1" applyFont="1" applyFill="1" applyBorder="1" applyAlignment="1" applyProtection="1">
      <alignment vertical="center"/>
      <protection/>
    </xf>
    <xf numFmtId="3" fontId="56" fillId="8" borderId="2" xfId="15" applyNumberFormat="1" applyFont="1" applyFill="1" applyBorder="1" applyAlignment="1" applyProtection="1">
      <alignment vertical="center"/>
      <protection/>
    </xf>
    <xf numFmtId="4" fontId="56" fillId="8" borderId="2" xfId="0" applyNumberFormat="1" applyFont="1" applyFill="1" applyBorder="1" applyAlignment="1">
      <alignment vertical="center" wrapText="1"/>
    </xf>
    <xf numFmtId="3" fontId="56" fillId="8" borderId="2" xfId="0" applyNumberFormat="1" applyFont="1" applyFill="1" applyBorder="1" applyAlignment="1">
      <alignment vertical="center"/>
    </xf>
    <xf numFmtId="3" fontId="56" fillId="8" borderId="2" xfId="18" applyNumberFormat="1" applyFont="1" applyFill="1" applyBorder="1" applyAlignment="1" applyProtection="1">
      <alignment vertical="center"/>
      <protection locked="0"/>
    </xf>
    <xf numFmtId="4" fontId="56" fillId="8" borderId="2" xfId="15" applyNumberFormat="1" applyFont="1" applyFill="1" applyBorder="1" applyAlignment="1" applyProtection="1">
      <alignment vertical="center"/>
      <protection/>
    </xf>
    <xf numFmtId="3" fontId="56" fillId="8" borderId="2" xfId="15" applyNumberFormat="1" applyFont="1" applyFill="1" applyBorder="1" applyAlignment="1" applyProtection="1">
      <alignment vertical="center"/>
      <protection/>
    </xf>
    <xf numFmtId="4" fontId="56" fillId="8" borderId="2" xfId="18" applyNumberFormat="1" applyFont="1" applyFill="1" applyBorder="1" applyAlignment="1" applyProtection="1">
      <alignment vertical="center"/>
      <protection locked="0"/>
    </xf>
    <xf numFmtId="4" fontId="56" fillId="8" borderId="2" xfId="0" applyNumberFormat="1" applyFont="1" applyFill="1" applyBorder="1" applyAlignment="1">
      <alignment vertical="center"/>
    </xf>
    <xf numFmtId="4" fontId="56" fillId="8" borderId="2" xfId="0" applyNumberFormat="1" applyFont="1" applyFill="1" applyBorder="1" applyAlignment="1">
      <alignment vertical="center"/>
    </xf>
    <xf numFmtId="3" fontId="56" fillId="8" borderId="2" xfId="0" applyNumberFormat="1" applyFont="1" applyFill="1" applyBorder="1" applyAlignment="1">
      <alignment vertical="center"/>
    </xf>
    <xf numFmtId="4" fontId="56" fillId="8" borderId="2" xfId="0" applyNumberFormat="1" applyFont="1" applyFill="1" applyBorder="1" applyAlignment="1">
      <alignment vertical="center" wrapText="1"/>
    </xf>
    <xf numFmtId="4" fontId="56" fillId="8" borderId="2" xfId="15" applyNumberFormat="1" applyFont="1" applyFill="1" applyBorder="1" applyAlignment="1" applyProtection="1">
      <alignment vertical="center"/>
      <protection locked="0"/>
    </xf>
    <xf numFmtId="3" fontId="56" fillId="8" borderId="2" xfId="15" applyNumberFormat="1" applyFont="1" applyFill="1" applyBorder="1" applyAlignment="1" applyProtection="1">
      <alignment vertical="center"/>
      <protection locked="0"/>
    </xf>
    <xf numFmtId="0" fontId="106" fillId="2" borderId="7" xfId="0" applyFont="1" applyFill="1" applyBorder="1" applyAlignment="1" applyProtection="1">
      <alignment horizontal="center" vertical="center" wrapText="1"/>
      <protection/>
    </xf>
    <xf numFmtId="0" fontId="109" fillId="0" borderId="7" xfId="0" applyFont="1" applyBorder="1" applyAlignment="1" applyProtection="1">
      <alignment horizontal="center" vertical="center" wrapText="1"/>
      <protection/>
    </xf>
    <xf numFmtId="190" fontId="39" fillId="0" borderId="2" xfId="0" applyNumberFormat="1" applyFont="1" applyFill="1" applyBorder="1" applyAlignment="1">
      <alignment horizontal="center" vertical="center" wrapText="1"/>
    </xf>
    <xf numFmtId="0" fontId="39" fillId="0" borderId="14" xfId="25" applyFont="1" applyFill="1" applyBorder="1" applyAlignment="1">
      <alignment vertical="center"/>
      <protection/>
    </xf>
    <xf numFmtId="0" fontId="39" fillId="0" borderId="14" xfId="0" applyFont="1" applyFill="1" applyBorder="1" applyAlignment="1">
      <alignment horizontal="left"/>
    </xf>
    <xf numFmtId="0" fontId="39" fillId="0" borderId="14" xfId="0" applyFont="1" applyFill="1" applyBorder="1" applyAlignment="1">
      <alignment horizontal="left" vertical="center"/>
    </xf>
    <xf numFmtId="0" fontId="39" fillId="6" borderId="14" xfId="0" applyFont="1" applyFill="1" applyBorder="1" applyAlignment="1">
      <alignment horizontal="left" vertical="center"/>
    </xf>
    <xf numFmtId="190" fontId="39" fillId="0" borderId="2" xfId="28" applyNumberFormat="1" applyFont="1" applyFill="1" applyBorder="1" applyAlignment="1">
      <alignment horizontal="center" vertical="center"/>
      <protection/>
    </xf>
    <xf numFmtId="190" fontId="39" fillId="0" borderId="2" xfId="0" applyNumberFormat="1" applyFont="1" applyFill="1" applyBorder="1" applyAlignment="1">
      <alignment horizontal="center" wrapText="1"/>
    </xf>
    <xf numFmtId="0" fontId="39" fillId="0" borderId="2" xfId="28" applyFont="1" applyFill="1" applyBorder="1" applyAlignment="1">
      <alignment horizontal="left" vertical="center"/>
      <protection/>
    </xf>
    <xf numFmtId="14" fontId="39" fillId="0" borderId="2" xfId="0" applyNumberFormat="1" applyFont="1" applyFill="1" applyBorder="1" applyAlignment="1">
      <alignment horizontal="left"/>
    </xf>
    <xf numFmtId="14" fontId="39" fillId="0" borderId="2" xfId="0" applyNumberFormat="1" applyFont="1" applyFill="1" applyBorder="1" applyAlignment="1">
      <alignment horizontal="left" vertical="center"/>
    </xf>
    <xf numFmtId="0" fontId="39" fillId="0" borderId="2" xfId="28" applyFont="1" applyFill="1" applyBorder="1" applyAlignment="1">
      <alignment horizontal="right" vertical="center"/>
      <protection/>
    </xf>
    <xf numFmtId="0" fontId="39" fillId="0" borderId="2" xfId="0" applyFont="1" applyFill="1" applyBorder="1" applyAlignment="1">
      <alignment horizontal="right"/>
    </xf>
    <xf numFmtId="4" fontId="56" fillId="7" borderId="2" xfId="15" applyNumberFormat="1" applyFont="1" applyFill="1" applyBorder="1" applyAlignment="1" applyProtection="1">
      <alignment vertical="center"/>
      <protection/>
    </xf>
    <xf numFmtId="4" fontId="56" fillId="7" borderId="2" xfId="0" applyNumberFormat="1" applyFont="1" applyFill="1" applyBorder="1" applyAlignment="1">
      <alignment horizontal="right" vertical="center"/>
    </xf>
    <xf numFmtId="3" fontId="56" fillId="7" borderId="2" xfId="22" applyNumberFormat="1" applyFont="1" applyFill="1" applyBorder="1" applyAlignment="1" applyProtection="1">
      <alignment horizontal="right" vertical="center" wrapText="1"/>
      <protection/>
    </xf>
    <xf numFmtId="3" fontId="56" fillId="7" borderId="2" xfId="17" applyNumberFormat="1" applyFont="1" applyFill="1" applyBorder="1" applyAlignment="1" applyProtection="1">
      <alignment vertical="center"/>
      <protection locked="0"/>
    </xf>
    <xf numFmtId="3" fontId="39" fillId="7" borderId="2" xfId="17" applyNumberFormat="1" applyFont="1" applyFill="1" applyBorder="1" applyAlignment="1" applyProtection="1">
      <alignment horizontal="right" vertical="center"/>
      <protection locked="0"/>
    </xf>
    <xf numFmtId="3" fontId="56" fillId="7" borderId="2" xfId="0" applyNumberFormat="1" applyFont="1" applyFill="1" applyBorder="1" applyAlignment="1">
      <alignment vertical="center"/>
    </xf>
    <xf numFmtId="4" fontId="39" fillId="0" borderId="2" xfId="0" applyNumberFormat="1" applyFont="1" applyFill="1" applyBorder="1" applyAlignment="1">
      <alignment horizontal="right" vertical="center"/>
    </xf>
    <xf numFmtId="3" fontId="39" fillId="0" borderId="2" xfId="22" applyNumberFormat="1" applyFont="1" applyFill="1" applyBorder="1" applyAlignment="1" applyProtection="1">
      <alignment horizontal="right" vertical="center" wrapText="1"/>
      <protection/>
    </xf>
    <xf numFmtId="2" fontId="39" fillId="0" borderId="16" xfId="0" applyNumberFormat="1" applyFont="1" applyFill="1" applyBorder="1" applyAlignment="1">
      <alignment horizontal="right"/>
    </xf>
    <xf numFmtId="4" fontId="56" fillId="7" borderId="2" xfId="0" applyNumberFormat="1" applyFont="1" applyFill="1" applyBorder="1" applyAlignment="1">
      <alignment vertical="center" wrapText="1"/>
    </xf>
    <xf numFmtId="0" fontId="39" fillId="0" borderId="14" xfId="0" applyFont="1" applyFill="1" applyBorder="1" applyAlignment="1">
      <alignment horizontal="left"/>
    </xf>
    <xf numFmtId="4" fontId="56" fillId="0" borderId="2" xfId="0" applyNumberFormat="1" applyFont="1" applyFill="1" applyBorder="1" applyAlignment="1">
      <alignment vertical="center" wrapText="1"/>
    </xf>
    <xf numFmtId="4" fontId="56" fillId="0" borderId="2" xfId="0" applyNumberFormat="1" applyFont="1" applyFill="1" applyBorder="1" applyAlignment="1">
      <alignment vertical="center" wrapText="1"/>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0" fontId="39" fillId="0" borderId="2" xfId="28" applyFont="1" applyFill="1" applyBorder="1" applyAlignment="1">
      <alignment horizontal="right"/>
      <protection/>
    </xf>
    <xf numFmtId="4" fontId="56" fillId="0" borderId="2" xfId="28" applyNumberFormat="1" applyFont="1" applyFill="1" applyBorder="1" applyAlignment="1">
      <alignment horizontal="right"/>
      <protection/>
    </xf>
    <xf numFmtId="3" fontId="56" fillId="0" borderId="2" xfId="28" applyNumberFormat="1" applyFont="1" applyFill="1" applyBorder="1" applyAlignment="1">
      <alignment horizontal="right"/>
      <protection/>
    </xf>
    <xf numFmtId="4" fontId="56" fillId="0" borderId="2" xfId="0" applyNumberFormat="1" applyFont="1" applyFill="1" applyBorder="1" applyAlignment="1">
      <alignment horizontal="right" wrapText="1"/>
    </xf>
    <xf numFmtId="0" fontId="39" fillId="0" borderId="2" xfId="28" applyNumberFormat="1" applyFont="1" applyFill="1" applyBorder="1" applyAlignment="1">
      <alignment horizontal="right" vertical="center"/>
      <protection/>
    </xf>
    <xf numFmtId="4" fontId="56" fillId="0" borderId="2" xfId="28" applyNumberFormat="1" applyFont="1" applyFill="1" applyBorder="1" applyAlignment="1">
      <alignment horizontal="right" vertical="center"/>
      <protection/>
    </xf>
    <xf numFmtId="3" fontId="56" fillId="0" borderId="2" xfId="28" applyNumberFormat="1" applyFont="1" applyFill="1" applyBorder="1" applyAlignment="1">
      <alignment horizontal="right" vertical="center"/>
      <protection/>
    </xf>
    <xf numFmtId="190" fontId="39" fillId="0" borderId="2" xfId="28" applyNumberFormat="1" applyFont="1" applyFill="1" applyBorder="1" applyAlignment="1">
      <alignment horizontal="center" vertical="center"/>
      <protection/>
    </xf>
    <xf numFmtId="0" fontId="39" fillId="0" borderId="3" xfId="0" applyFont="1" applyFill="1" applyBorder="1" applyAlignment="1" applyProtection="1">
      <alignment vertical="center"/>
      <protection/>
    </xf>
    <xf numFmtId="4" fontId="56" fillId="0" borderId="3" xfId="0" applyNumberFormat="1" applyFont="1" applyFill="1" applyBorder="1" applyAlignment="1">
      <alignment vertical="center"/>
    </xf>
    <xf numFmtId="3" fontId="56" fillId="0" borderId="3" xfId="0" applyNumberFormat="1" applyFont="1" applyFill="1" applyBorder="1" applyAlignment="1">
      <alignment vertical="center"/>
    </xf>
    <xf numFmtId="0" fontId="39" fillId="0" borderId="14" xfId="26" applyFont="1" applyFill="1" applyBorder="1" applyAlignment="1" applyProtection="1">
      <alignment vertical="center"/>
      <protection/>
    </xf>
    <xf numFmtId="0" fontId="39" fillId="0" borderId="14" xfId="0" applyFont="1" applyFill="1" applyBorder="1" applyAlignment="1" applyProtection="1">
      <alignment vertical="center"/>
      <protection/>
    </xf>
    <xf numFmtId="0" fontId="39" fillId="0" borderId="23" xfId="0" applyFont="1" applyFill="1" applyBorder="1" applyAlignment="1" applyProtection="1">
      <alignment vertical="center"/>
      <protection/>
    </xf>
    <xf numFmtId="0" fontId="39" fillId="0" borderId="20" xfId="0" applyFont="1" applyFill="1" applyBorder="1" applyAlignment="1" applyProtection="1">
      <alignment vertical="center"/>
      <protection/>
    </xf>
    <xf numFmtId="0" fontId="39" fillId="0" borderId="20" xfId="0" applyFont="1" applyFill="1" applyBorder="1" applyAlignment="1">
      <alignment vertical="center"/>
    </xf>
    <xf numFmtId="4" fontId="56" fillId="0" borderId="20" xfId="0" applyNumberFormat="1" applyFont="1" applyFill="1" applyBorder="1" applyAlignment="1">
      <alignment vertical="center"/>
    </xf>
    <xf numFmtId="3" fontId="56" fillId="0" borderId="20" xfId="0" applyNumberFormat="1" applyFont="1" applyFill="1" applyBorder="1" applyAlignment="1">
      <alignment vertical="center"/>
    </xf>
    <xf numFmtId="4" fontId="39" fillId="0" borderId="21" xfId="32" applyNumberFormat="1" applyFont="1" applyFill="1" applyBorder="1" applyAlignment="1" applyProtection="1">
      <alignment vertical="center"/>
      <protection/>
    </xf>
    <xf numFmtId="0" fontId="110" fillId="3" borderId="43" xfId="0" applyFont="1" applyFill="1" applyBorder="1" applyAlignment="1" applyProtection="1">
      <alignment horizontal="right" vertical="center" wrapText="1"/>
      <protection/>
    </xf>
    <xf numFmtId="0" fontId="110" fillId="3" borderId="6" xfId="0" applyFont="1" applyFill="1" applyBorder="1" applyAlignment="1" applyProtection="1">
      <alignment horizontal="right" vertical="center" wrapText="1"/>
      <protection/>
    </xf>
  </cellXfs>
  <cellStyles count="20">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Normal_Ex years releases (Annual)" xfId="27"/>
    <cellStyle name="Normal_Sayfa1" xfId="28"/>
    <cellStyle name="Normal_Sayfa1_2" xfId="29"/>
    <cellStyle name="Currency" xfId="30"/>
    <cellStyle name="Currency [0]" xfId="31"/>
    <cellStyle name="Percent" xfId="32"/>
    <cellStyle name="Yüzde 2"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4801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Box 2"/>
        <xdr:cNvSpPr txBox="1">
          <a:spLocks noChangeArrowheads="1"/>
        </xdr:cNvSpPr>
      </xdr:nvSpPr>
      <xdr:spPr>
        <a:xfrm>
          <a:off x="12553950" y="0"/>
          <a:ext cx="20478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800100</xdr:colOff>
      <xdr:row>3</xdr:row>
      <xdr:rowOff>123825</xdr:rowOff>
    </xdr:from>
    <xdr:to>
      <xdr:col>8</xdr:col>
      <xdr:colOff>152400</xdr:colOff>
      <xdr:row>4</xdr:row>
      <xdr:rowOff>323850</xdr:rowOff>
    </xdr:to>
    <xdr:pic>
      <xdr:nvPicPr>
        <xdr:cNvPr id="3" name="Picture 13"/>
        <xdr:cNvPicPr preferRelativeResize="1">
          <a:picLocks noChangeAspect="1"/>
        </xdr:cNvPicPr>
      </xdr:nvPicPr>
      <xdr:blipFill>
        <a:blip r:embed="rId1"/>
        <a:stretch>
          <a:fillRect/>
        </a:stretch>
      </xdr:blipFill>
      <xdr:spPr>
        <a:xfrm>
          <a:off x="5114925" y="1428750"/>
          <a:ext cx="17240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0</xdr:colOff>
      <xdr:row>0</xdr:row>
      <xdr:rowOff>0</xdr:rowOff>
    </xdr:to>
    <xdr:sp>
      <xdr:nvSpPr>
        <xdr:cNvPr id="1" name="TextBox 1"/>
        <xdr:cNvSpPr txBox="1">
          <a:spLocks noChangeArrowheads="1"/>
        </xdr:cNvSpPr>
      </xdr:nvSpPr>
      <xdr:spPr>
        <a:xfrm>
          <a:off x="0" y="0"/>
          <a:ext cx="112395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2" name="TextBox 2"/>
        <xdr:cNvSpPr txBox="1">
          <a:spLocks noChangeArrowheads="1"/>
        </xdr:cNvSpPr>
      </xdr:nvSpPr>
      <xdr:spPr>
        <a:xfrm>
          <a:off x="986790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17</xdr:col>
      <xdr:colOff>0</xdr:colOff>
      <xdr:row>0</xdr:row>
      <xdr:rowOff>0</xdr:rowOff>
    </xdr:to>
    <xdr:sp>
      <xdr:nvSpPr>
        <xdr:cNvPr id="3" name="TextBox 5"/>
        <xdr:cNvSpPr txBox="1">
          <a:spLocks noChangeArrowheads="1"/>
        </xdr:cNvSpPr>
      </xdr:nvSpPr>
      <xdr:spPr>
        <a:xfrm>
          <a:off x="0" y="0"/>
          <a:ext cx="112395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4" name="TextBox 6"/>
        <xdr:cNvSpPr txBox="1">
          <a:spLocks noChangeArrowheads="1"/>
        </xdr:cNvSpPr>
      </xdr:nvSpPr>
      <xdr:spPr>
        <a:xfrm>
          <a:off x="986790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xdr:nvSpPr>
        <xdr:cNvPr id="5" name="TextBox 9"/>
        <xdr:cNvSpPr txBox="1">
          <a:spLocks noChangeArrowheads="1"/>
        </xdr:cNvSpPr>
      </xdr:nvSpPr>
      <xdr:spPr>
        <a:xfrm>
          <a:off x="0" y="0"/>
          <a:ext cx="6048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Box 10"/>
        <xdr:cNvSpPr txBox="1">
          <a:spLocks noChangeArrowheads="1"/>
        </xdr:cNvSpPr>
      </xdr:nvSpPr>
      <xdr:spPr>
        <a:xfrm>
          <a:off x="6048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6</xdr:col>
      <xdr:colOff>657225</xdr:colOff>
      <xdr:row>3</xdr:row>
      <xdr:rowOff>123825</xdr:rowOff>
    </xdr:from>
    <xdr:to>
      <xdr:col>10</xdr:col>
      <xdr:colOff>9525</xdr:colOff>
      <xdr:row>4</xdr:row>
      <xdr:rowOff>352425</xdr:rowOff>
    </xdr:to>
    <xdr:pic>
      <xdr:nvPicPr>
        <xdr:cNvPr id="7" name="Picture 11"/>
        <xdr:cNvPicPr preferRelativeResize="1">
          <a:picLocks noChangeAspect="1"/>
        </xdr:cNvPicPr>
      </xdr:nvPicPr>
      <xdr:blipFill>
        <a:blip r:embed="rId1"/>
        <a:stretch>
          <a:fillRect/>
        </a:stretch>
      </xdr:blipFill>
      <xdr:spPr>
        <a:xfrm>
          <a:off x="6705600" y="1028700"/>
          <a:ext cx="1666875" cy="638175"/>
        </a:xfrm>
        <a:prstGeom prst="rect">
          <a:avLst/>
        </a:prstGeom>
        <a:noFill/>
        <a:ln w="9525" cmpd="sng">
          <a:noFill/>
        </a:ln>
      </xdr:spPr>
    </xdr:pic>
    <xdr:clientData/>
  </xdr:twoCellAnchor>
  <xdr:twoCellAnchor>
    <xdr:from>
      <xdr:col>0</xdr:col>
      <xdr:colOff>0</xdr:colOff>
      <xdr:row>0</xdr:row>
      <xdr:rowOff>0</xdr:rowOff>
    </xdr:from>
    <xdr:to>
      <xdr:col>6</xdr:col>
      <xdr:colOff>0</xdr:colOff>
      <xdr:row>0</xdr:row>
      <xdr:rowOff>0</xdr:rowOff>
    </xdr:to>
    <xdr:sp>
      <xdr:nvSpPr>
        <xdr:cNvPr id="8" name="TextBox 12"/>
        <xdr:cNvSpPr txBox="1">
          <a:spLocks noChangeArrowheads="1"/>
        </xdr:cNvSpPr>
      </xdr:nvSpPr>
      <xdr:spPr>
        <a:xfrm>
          <a:off x="0" y="0"/>
          <a:ext cx="6048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9" name="TextBox 13"/>
        <xdr:cNvSpPr txBox="1">
          <a:spLocks noChangeArrowheads="1"/>
        </xdr:cNvSpPr>
      </xdr:nvSpPr>
      <xdr:spPr>
        <a:xfrm>
          <a:off x="6048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xdr:nvSpPr>
        <xdr:cNvPr id="10" name="TextBox 14"/>
        <xdr:cNvSpPr txBox="1">
          <a:spLocks noChangeArrowheads="1"/>
        </xdr:cNvSpPr>
      </xdr:nvSpPr>
      <xdr:spPr>
        <a:xfrm>
          <a:off x="0" y="0"/>
          <a:ext cx="6048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1" name="TextBox 15"/>
        <xdr:cNvSpPr txBox="1">
          <a:spLocks noChangeArrowheads="1"/>
        </xdr:cNvSpPr>
      </xdr:nvSpPr>
      <xdr:spPr>
        <a:xfrm>
          <a:off x="6048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TextBox 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Box 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3</xdr:col>
      <xdr:colOff>666750</xdr:colOff>
      <xdr:row>3</xdr:row>
      <xdr:rowOff>247650</xdr:rowOff>
    </xdr:from>
    <xdr:to>
      <xdr:col>5</xdr:col>
      <xdr:colOff>352425</xdr:colOff>
      <xdr:row>4</xdr:row>
      <xdr:rowOff>352425</xdr:rowOff>
    </xdr:to>
    <xdr:pic>
      <xdr:nvPicPr>
        <xdr:cNvPr id="3" name="Picture 3"/>
        <xdr:cNvPicPr preferRelativeResize="1">
          <a:picLocks noChangeAspect="1"/>
        </xdr:cNvPicPr>
      </xdr:nvPicPr>
      <xdr:blipFill>
        <a:blip r:embed="rId1"/>
        <a:stretch>
          <a:fillRect/>
        </a:stretch>
      </xdr:blipFill>
      <xdr:spPr>
        <a:xfrm>
          <a:off x="5000625" y="1266825"/>
          <a:ext cx="1390650" cy="514350"/>
        </a:xfrm>
        <a:prstGeom prst="rect">
          <a:avLst/>
        </a:prstGeom>
        <a:noFill/>
        <a:ln w="9525" cmpd="sng">
          <a:noFill/>
        </a:ln>
      </xdr:spPr>
    </xdr:pic>
    <xdr:clientData/>
  </xdr:twoCellAnchor>
  <xdr:twoCellAnchor>
    <xdr:from>
      <xdr:col>0</xdr:col>
      <xdr:colOff>0</xdr:colOff>
      <xdr:row>0</xdr:row>
      <xdr:rowOff>0</xdr:rowOff>
    </xdr:from>
    <xdr:to>
      <xdr:col>7</xdr:col>
      <xdr:colOff>0</xdr:colOff>
      <xdr:row>0</xdr:row>
      <xdr:rowOff>0</xdr:rowOff>
    </xdr:to>
    <xdr:sp>
      <xdr:nvSpPr>
        <xdr:cNvPr id="4" name="TextBox 4"/>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xtBox 5"/>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6" name="TextBox 6"/>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xtBox 7"/>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8" name="TextBox 8"/>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9" name="TextBox 9"/>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10" name="TextBox 1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1" name="TextBox 1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12" name="TextBox 13"/>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3" name="TextBox 14"/>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2" name="TextBox 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 name="TextBox 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 name="TextBox 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Box 5"/>
        <xdr:cNvSpPr txBox="1">
          <a:spLocks noChangeArrowheads="1"/>
        </xdr:cNvSpPr>
      </xdr:nvSpPr>
      <xdr:spPr>
        <a:xfrm>
          <a:off x="19050" y="0"/>
          <a:ext cx="6115050"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Box 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7" name="TextBox 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8" name="TextBox 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Box 9"/>
        <xdr:cNvSpPr txBox="1">
          <a:spLocks noChangeArrowheads="1"/>
        </xdr:cNvSpPr>
      </xdr:nvSpPr>
      <xdr:spPr>
        <a:xfrm>
          <a:off x="19050" y="0"/>
          <a:ext cx="611505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Box 10"/>
        <xdr:cNvSpPr txBox="1">
          <a:spLocks noChangeArrowheads="1"/>
        </xdr:cNvSpPr>
      </xdr:nvSpPr>
      <xdr:spPr>
        <a:xfrm>
          <a:off x="6134100" y="0"/>
          <a:ext cx="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xdr:nvSpPr>
        <xdr:cNvPr id="11" name="TextBox 1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12" name="TextBox 1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13" name="TextBox 1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4" name="TextBox 1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Box 1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16" name="TextBox 1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7" name="TextBox 1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438150</xdr:colOff>
      <xdr:row>0</xdr:row>
      <xdr:rowOff>0</xdr:rowOff>
    </xdr:to>
    <xdr:sp>
      <xdr:nvSpPr>
        <xdr:cNvPr id="18" name="TextBox 19"/>
        <xdr:cNvSpPr txBox="1">
          <a:spLocks noChangeArrowheads="1"/>
        </xdr:cNvSpPr>
      </xdr:nvSpPr>
      <xdr:spPr>
        <a:xfrm>
          <a:off x="19050" y="0"/>
          <a:ext cx="611505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752475</xdr:colOff>
      <xdr:row>0</xdr:row>
      <xdr:rowOff>0</xdr:rowOff>
    </xdr:to>
    <xdr:sp>
      <xdr:nvSpPr>
        <xdr:cNvPr id="19" name="TextBox 21"/>
        <xdr:cNvSpPr txBox="1">
          <a:spLocks noChangeArrowheads="1"/>
        </xdr:cNvSpPr>
      </xdr:nvSpPr>
      <xdr:spPr>
        <a:xfrm>
          <a:off x="19050" y="0"/>
          <a:ext cx="6115050"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752475</xdr:colOff>
      <xdr:row>0</xdr:row>
      <xdr:rowOff>0</xdr:rowOff>
    </xdr:to>
    <xdr:sp fLocksText="0">
      <xdr:nvSpPr>
        <xdr:cNvPr id="20" name="TextBox 22"/>
        <xdr:cNvSpPr txBox="1">
          <a:spLocks noChangeArrowheads="1"/>
        </xdr:cNvSpPr>
      </xdr:nvSpPr>
      <xdr:spPr>
        <a:xfrm>
          <a:off x="6134100" y="0"/>
          <a:ext cx="0"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xdr:nvSpPr>
        <xdr:cNvPr id="21" name="TextBox 2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2" name="TextBox 2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3" name="TextBox 2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4" name="TextBox 2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5" name="TextBox 3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6" name="TextBox 3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7" name="TextBox 35"/>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8" name="TextBox 3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9" name="TextBox 39"/>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0" name="TextBox 40"/>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1" name="TextBox 4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2" name="TextBox 4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3" name="TextBox 4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4" name="TextBox 4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5" name="TextBox 5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6" name="TextBox 5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7" name="TextBox 55"/>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8" name="TextBox 5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42</xdr:col>
      <xdr:colOff>104775</xdr:colOff>
      <xdr:row>0</xdr:row>
      <xdr:rowOff>0</xdr:rowOff>
    </xdr:to>
    <xdr:sp>
      <xdr:nvSpPr>
        <xdr:cNvPr id="39" name="TextBox 57"/>
        <xdr:cNvSpPr txBox="1">
          <a:spLocks noChangeArrowheads="1"/>
        </xdr:cNvSpPr>
      </xdr:nvSpPr>
      <xdr:spPr>
        <a:xfrm>
          <a:off x="19050" y="0"/>
          <a:ext cx="14763750"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xdr:nvSpPr>
        <xdr:cNvPr id="40" name="TextBox 59"/>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1" name="TextBox 60"/>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2" name="TextBox 6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3" name="TextBox 6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4" name="TextBox 6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5" name="TextBox 6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6105525"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400050</xdr:colOff>
      <xdr:row>0</xdr:row>
      <xdr:rowOff>0</xdr:rowOff>
    </xdr:to>
    <xdr:sp fLocksText="0">
      <xdr:nvSpPr>
        <xdr:cNvPr id="47" name="TextBox 72"/>
        <xdr:cNvSpPr txBox="1">
          <a:spLocks noChangeArrowheads="1"/>
        </xdr:cNvSpPr>
      </xdr:nvSpPr>
      <xdr:spPr>
        <a:xfrm>
          <a:off x="6134100" y="0"/>
          <a:ext cx="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22</xdr:col>
      <xdr:colOff>0</xdr:colOff>
      <xdr:row>0</xdr:row>
      <xdr:rowOff>0</xdr:rowOff>
    </xdr:to>
    <xdr:sp>
      <xdr:nvSpPr>
        <xdr:cNvPr id="48" name="TextBox 7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9" name="TextBox 7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50" name="TextBox 7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51" name="TextBox 7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838200</xdr:colOff>
      <xdr:row>3</xdr:row>
      <xdr:rowOff>171450</xdr:rowOff>
    </xdr:from>
    <xdr:to>
      <xdr:col>7</xdr:col>
      <xdr:colOff>390525</xdr:colOff>
      <xdr:row>4</xdr:row>
      <xdr:rowOff>342900</xdr:rowOff>
    </xdr:to>
    <xdr:pic>
      <xdr:nvPicPr>
        <xdr:cNvPr id="52" name="Picture 80"/>
        <xdr:cNvPicPr preferRelativeResize="1">
          <a:picLocks noChangeAspect="1"/>
        </xdr:cNvPicPr>
      </xdr:nvPicPr>
      <xdr:blipFill>
        <a:blip r:embed="rId1"/>
        <a:stretch>
          <a:fillRect/>
        </a:stretch>
      </xdr:blipFill>
      <xdr:spPr>
        <a:xfrm>
          <a:off x="3810000" y="1209675"/>
          <a:ext cx="15716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49"/>
  <sheetViews>
    <sheetView tabSelected="1" zoomScale="85" zoomScaleNormal="85" workbookViewId="0" topLeftCell="A1">
      <pane xSplit="9" ySplit="11" topLeftCell="X12"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5.00390625" style="160" bestFit="1" customWidth="1"/>
    <col min="2" max="2" width="4.421875" style="161" bestFit="1" customWidth="1"/>
    <col min="3" max="3" width="5.57421875" style="162" bestFit="1" customWidth="1"/>
    <col min="4" max="4" width="41.57421875" style="163" bestFit="1" customWidth="1"/>
    <col min="5" max="5" width="8.140625" style="164" customWidth="1"/>
    <col min="6" max="6" width="20.57421875" style="164" bestFit="1" customWidth="1"/>
    <col min="7" max="7" width="6.28125" style="164" bestFit="1" customWidth="1"/>
    <col min="8" max="8" width="8.7109375" style="165" customWidth="1"/>
    <col min="9" max="9" width="8.7109375" style="166" customWidth="1"/>
    <col min="10" max="10" width="10.00390625" style="165" bestFit="1" customWidth="1"/>
    <col min="11" max="11" width="6.57421875" style="166" bestFit="1" customWidth="1"/>
    <col min="12" max="12" width="10.00390625" style="165" bestFit="1" customWidth="1"/>
    <col min="13" max="13" width="6.57421875" style="166" bestFit="1" customWidth="1"/>
    <col min="14" max="14" width="10.00390625" style="167" bestFit="1" customWidth="1"/>
    <col min="15" max="15" width="6.57421875" style="168" bestFit="1" customWidth="1"/>
    <col min="16" max="16" width="10.00390625" style="171" bestFit="1" customWidth="1"/>
    <col min="17" max="17" width="6.57421875" style="169" bestFit="1" customWidth="1"/>
    <col min="18" max="18" width="11.00390625" style="169" bestFit="1" customWidth="1"/>
    <col min="19" max="19" width="8.140625" style="171" bestFit="1" customWidth="1"/>
    <col min="20" max="20" width="10.00390625" style="171" bestFit="1" customWidth="1"/>
    <col min="21" max="21" width="7.57421875" style="172" bestFit="1" customWidth="1"/>
    <col min="22" max="22" width="10.00390625" style="171" bestFit="1" customWidth="1"/>
    <col min="23" max="23" width="8.140625" style="345" bestFit="1" customWidth="1"/>
    <col min="24" max="24" width="11.8515625" style="355" customWidth="1"/>
    <col min="25" max="25" width="11.8515625" style="343" customWidth="1"/>
    <col min="26" max="27" width="8.00390625" style="372" customWidth="1"/>
    <col min="28" max="28" width="9.140625" style="175" customWidth="1"/>
    <col min="29" max="29" width="10.421875" style="357" customWidth="1"/>
    <col min="30" max="30" width="12.7109375" style="357" bestFit="1" customWidth="1"/>
    <col min="31" max="31" width="9.28125" style="175" bestFit="1" customWidth="1"/>
    <col min="32" max="32" width="9.8515625" style="357" bestFit="1" customWidth="1"/>
    <col min="33" max="33" width="5.140625" style="163" bestFit="1" customWidth="1"/>
    <col min="34" max="34" width="7.28125" style="163" bestFit="1" customWidth="1"/>
    <col min="35" max="35" width="8.421875" style="163" bestFit="1" customWidth="1"/>
    <col min="36" max="38" width="6.8515625" style="163" customWidth="1"/>
    <col min="39" max="16384" width="4.421875" style="163" customWidth="1"/>
  </cols>
  <sheetData>
    <row r="1" spans="1:33" s="55" customFormat="1" ht="49.5">
      <c r="A1" s="815" t="s">
        <v>392</v>
      </c>
      <c r="B1" s="816"/>
      <c r="C1" s="816"/>
      <c r="D1" s="816"/>
      <c r="E1" s="816"/>
      <c r="F1" s="816"/>
      <c r="G1" s="816"/>
      <c r="H1" s="816"/>
      <c r="I1" s="816"/>
      <c r="J1" s="347"/>
      <c r="K1" s="337"/>
      <c r="L1" s="347"/>
      <c r="M1" s="337"/>
      <c r="N1" s="347"/>
      <c r="O1" s="337"/>
      <c r="P1" s="347"/>
      <c r="Q1" s="337"/>
      <c r="R1" s="337"/>
      <c r="S1" s="347"/>
      <c r="T1" s="347"/>
      <c r="U1" s="363"/>
      <c r="V1" s="347"/>
      <c r="W1" s="337"/>
      <c r="X1" s="809"/>
      <c r="Y1" s="810"/>
      <c r="Z1" s="810"/>
      <c r="AA1" s="810"/>
      <c r="AB1" s="811"/>
      <c r="AC1" s="809"/>
      <c r="AD1" s="810"/>
      <c r="AE1" s="810"/>
      <c r="AF1" s="810"/>
      <c r="AG1" s="812"/>
    </row>
    <row r="2" spans="1:33" s="55" customFormat="1" ht="26.25">
      <c r="A2" s="788" t="s">
        <v>84</v>
      </c>
      <c r="B2" s="789"/>
      <c r="C2" s="789"/>
      <c r="D2" s="789"/>
      <c r="E2" s="789"/>
      <c r="F2" s="789"/>
      <c r="G2" s="789"/>
      <c r="H2" s="789"/>
      <c r="I2" s="789"/>
      <c r="J2" s="348"/>
      <c r="K2" s="338"/>
      <c r="L2" s="348"/>
      <c r="M2" s="338"/>
      <c r="N2" s="348"/>
      <c r="O2" s="338"/>
      <c r="P2" s="348"/>
      <c r="Q2" s="338"/>
      <c r="R2" s="338"/>
      <c r="S2" s="348"/>
      <c r="T2" s="348"/>
      <c r="U2" s="364"/>
      <c r="V2" s="348"/>
      <c r="W2" s="338"/>
      <c r="X2" s="353"/>
      <c r="Y2" s="344"/>
      <c r="Z2" s="370"/>
      <c r="AA2" s="370"/>
      <c r="AB2" s="385"/>
      <c r="AC2" s="353"/>
      <c r="AD2" s="356"/>
      <c r="AE2" s="344"/>
      <c r="AF2" s="356"/>
      <c r="AG2" s="57"/>
    </row>
    <row r="3" spans="1:33" s="55" customFormat="1" ht="27" thickBot="1">
      <c r="A3" s="790" t="s">
        <v>136</v>
      </c>
      <c r="B3" s="787"/>
      <c r="C3" s="787"/>
      <c r="D3" s="787"/>
      <c r="E3" s="787"/>
      <c r="F3" s="787"/>
      <c r="G3" s="787"/>
      <c r="H3" s="787"/>
      <c r="I3" s="787"/>
      <c r="J3" s="349"/>
      <c r="K3" s="339"/>
      <c r="L3" s="349"/>
      <c r="M3" s="339"/>
      <c r="N3" s="349"/>
      <c r="O3" s="339"/>
      <c r="P3" s="349"/>
      <c r="Q3" s="339"/>
      <c r="R3" s="339"/>
      <c r="S3" s="349"/>
      <c r="T3" s="349"/>
      <c r="U3" s="365"/>
      <c r="V3" s="349"/>
      <c r="W3" s="339"/>
      <c r="X3" s="331"/>
      <c r="Y3" s="332"/>
      <c r="Z3" s="334"/>
      <c r="AA3" s="384"/>
      <c r="AB3" s="386"/>
      <c r="AC3" s="331"/>
      <c r="AD3" s="332"/>
      <c r="AE3" s="334"/>
      <c r="AF3" s="333"/>
      <c r="AG3" s="335"/>
    </row>
    <row r="4" spans="1:33" s="55" customFormat="1" ht="33" thickBot="1">
      <c r="A4" s="985" t="s">
        <v>420</v>
      </c>
      <c r="B4" s="840"/>
      <c r="C4" s="840"/>
      <c r="D4" s="840"/>
      <c r="E4" s="840"/>
      <c r="F4" s="59"/>
      <c r="G4" s="59"/>
      <c r="H4" s="59"/>
      <c r="I4" s="59"/>
      <c r="J4" s="350"/>
      <c r="K4" s="340"/>
      <c r="L4" s="350"/>
      <c r="M4" s="340"/>
      <c r="N4" s="350"/>
      <c r="O4" s="340"/>
      <c r="P4" s="350"/>
      <c r="Q4" s="340"/>
      <c r="R4" s="340"/>
      <c r="S4" s="350"/>
      <c r="T4" s="350"/>
      <c r="U4" s="366"/>
      <c r="V4" s="350"/>
      <c r="W4" s="340"/>
      <c r="X4" s="813" t="s">
        <v>137</v>
      </c>
      <c r="Y4" s="814"/>
      <c r="Z4" s="814"/>
      <c r="AA4" s="814"/>
      <c r="AB4" s="814"/>
      <c r="AC4" s="387"/>
      <c r="AD4" s="388"/>
      <c r="AE4" s="346"/>
      <c r="AF4" s="388"/>
      <c r="AG4" s="60"/>
    </row>
    <row r="5" spans="1:33" s="55" customFormat="1" ht="33" thickBot="1">
      <c r="A5" s="986" t="s">
        <v>421</v>
      </c>
      <c r="B5" s="822"/>
      <c r="C5" s="822"/>
      <c r="D5" s="822"/>
      <c r="E5" s="822"/>
      <c r="F5" s="61"/>
      <c r="G5" s="61"/>
      <c r="H5" s="61"/>
      <c r="I5" s="61"/>
      <c r="J5" s="351"/>
      <c r="K5" s="341"/>
      <c r="L5" s="351"/>
      <c r="M5" s="341"/>
      <c r="N5" s="351"/>
      <c r="O5" s="341"/>
      <c r="P5" s="351"/>
      <c r="Q5" s="341"/>
      <c r="R5" s="341"/>
      <c r="S5" s="351"/>
      <c r="T5" s="351"/>
      <c r="U5" s="367"/>
      <c r="V5" s="351"/>
      <c r="W5" s="341"/>
      <c r="X5" s="934" t="s">
        <v>419</v>
      </c>
      <c r="Y5" s="935"/>
      <c r="Z5" s="935"/>
      <c r="AA5" s="935"/>
      <c r="AB5" s="935"/>
      <c r="AC5" s="935"/>
      <c r="AD5" s="935"/>
      <c r="AE5" s="935"/>
      <c r="AF5" s="935"/>
      <c r="AG5" s="935"/>
    </row>
    <row r="6" spans="1:33" s="64" customFormat="1" ht="15.75" thickBot="1">
      <c r="A6" s="402"/>
      <c r="B6" s="403"/>
      <c r="C6" s="403"/>
      <c r="D6" s="793" t="s">
        <v>384</v>
      </c>
      <c r="E6" s="793"/>
      <c r="F6" s="793"/>
      <c r="G6" s="793"/>
      <c r="H6" s="793" t="s">
        <v>118</v>
      </c>
      <c r="I6" s="793"/>
      <c r="J6" s="793" t="s">
        <v>386</v>
      </c>
      <c r="K6" s="793"/>
      <c r="L6" s="793"/>
      <c r="M6" s="793"/>
      <c r="N6" s="793"/>
      <c r="O6" s="793"/>
      <c r="P6" s="793"/>
      <c r="Q6" s="793"/>
      <c r="R6" s="793"/>
      <c r="S6" s="793"/>
      <c r="T6" s="793"/>
      <c r="U6" s="793"/>
      <c r="V6" s="793" t="s">
        <v>116</v>
      </c>
      <c r="W6" s="793"/>
      <c r="X6" s="793" t="s">
        <v>121</v>
      </c>
      <c r="Y6" s="793"/>
      <c r="Z6" s="793" t="s">
        <v>120</v>
      </c>
      <c r="AA6" s="793"/>
      <c r="AB6" s="793" t="s">
        <v>125</v>
      </c>
      <c r="AC6" s="793"/>
      <c r="AD6" s="793" t="s">
        <v>385</v>
      </c>
      <c r="AE6" s="793"/>
      <c r="AF6" s="793"/>
      <c r="AG6" s="794"/>
    </row>
    <row r="7" spans="1:33" s="68" customFormat="1" ht="12.75">
      <c r="A7" s="404"/>
      <c r="B7" s="405"/>
      <c r="C7" s="405"/>
      <c r="D7" s="406"/>
      <c r="E7" s="407" t="s">
        <v>88</v>
      </c>
      <c r="F7" s="406"/>
      <c r="G7" s="406" t="s">
        <v>91</v>
      </c>
      <c r="H7" s="406" t="s">
        <v>91</v>
      </c>
      <c r="I7" s="406" t="s">
        <v>93</v>
      </c>
      <c r="J7" s="807" t="s">
        <v>2</v>
      </c>
      <c r="K7" s="808"/>
      <c r="L7" s="807" t="s">
        <v>3</v>
      </c>
      <c r="M7" s="808"/>
      <c r="N7" s="807" t="s">
        <v>4</v>
      </c>
      <c r="O7" s="808"/>
      <c r="P7" s="791" t="s">
        <v>11</v>
      </c>
      <c r="Q7" s="791"/>
      <c r="R7" s="791" t="s">
        <v>103</v>
      </c>
      <c r="S7" s="791"/>
      <c r="T7" s="791" t="s">
        <v>0</v>
      </c>
      <c r="U7" s="791"/>
      <c r="V7" s="791"/>
      <c r="W7" s="791"/>
      <c r="X7" s="795"/>
      <c r="Y7" s="795"/>
      <c r="Z7" s="791" t="s">
        <v>114</v>
      </c>
      <c r="AA7" s="791"/>
      <c r="AB7" s="791" t="s">
        <v>126</v>
      </c>
      <c r="AC7" s="791"/>
      <c r="AD7" s="791"/>
      <c r="AE7" s="791"/>
      <c r="AF7" s="408" t="s">
        <v>103</v>
      </c>
      <c r="AG7" s="409"/>
    </row>
    <row r="8" spans="1:33" s="68" customFormat="1" ht="13.5" thickBot="1">
      <c r="A8" s="410"/>
      <c r="B8" s="411"/>
      <c r="C8" s="411"/>
      <c r="D8" s="412" t="s">
        <v>9</v>
      </c>
      <c r="E8" s="413" t="s">
        <v>89</v>
      </c>
      <c r="F8" s="414" t="s">
        <v>1</v>
      </c>
      <c r="G8" s="414" t="s">
        <v>90</v>
      </c>
      <c r="H8" s="414" t="s">
        <v>92</v>
      </c>
      <c r="I8" s="414" t="s">
        <v>88</v>
      </c>
      <c r="J8" s="415" t="s">
        <v>7</v>
      </c>
      <c r="K8" s="416" t="s">
        <v>6</v>
      </c>
      <c r="L8" s="415" t="s">
        <v>7</v>
      </c>
      <c r="M8" s="416" t="s">
        <v>6</v>
      </c>
      <c r="N8" s="415" t="s">
        <v>7</v>
      </c>
      <c r="O8" s="416" t="s">
        <v>6</v>
      </c>
      <c r="P8" s="415" t="s">
        <v>7</v>
      </c>
      <c r="Q8" s="416" t="s">
        <v>6</v>
      </c>
      <c r="R8" s="416" t="s">
        <v>122</v>
      </c>
      <c r="S8" s="415" t="s">
        <v>104</v>
      </c>
      <c r="T8" s="415" t="s">
        <v>7</v>
      </c>
      <c r="U8" s="417" t="s">
        <v>5</v>
      </c>
      <c r="V8" s="415" t="s">
        <v>7</v>
      </c>
      <c r="W8" s="416" t="s">
        <v>6</v>
      </c>
      <c r="X8" s="418" t="s">
        <v>7</v>
      </c>
      <c r="Y8" s="419" t="s">
        <v>6</v>
      </c>
      <c r="Z8" s="417" t="s">
        <v>6</v>
      </c>
      <c r="AA8" s="417" t="s">
        <v>6</v>
      </c>
      <c r="AB8" s="416" t="s">
        <v>6</v>
      </c>
      <c r="AC8" s="415" t="s">
        <v>104</v>
      </c>
      <c r="AD8" s="415" t="s">
        <v>7</v>
      </c>
      <c r="AE8" s="416" t="s">
        <v>6</v>
      </c>
      <c r="AF8" s="415" t="s">
        <v>104</v>
      </c>
      <c r="AG8" s="420"/>
    </row>
    <row r="9" spans="1:33" s="82" customFormat="1" ht="12.75">
      <c r="A9" s="421"/>
      <c r="B9" s="422"/>
      <c r="C9" s="422"/>
      <c r="D9" s="422"/>
      <c r="E9" s="423" t="s">
        <v>95</v>
      </c>
      <c r="F9" s="422"/>
      <c r="G9" s="422" t="s">
        <v>98</v>
      </c>
      <c r="H9" s="422" t="s">
        <v>100</v>
      </c>
      <c r="I9" s="422" t="s">
        <v>101</v>
      </c>
      <c r="J9" s="796" t="s">
        <v>105</v>
      </c>
      <c r="K9" s="797"/>
      <c r="L9" s="796" t="s">
        <v>106</v>
      </c>
      <c r="M9" s="797"/>
      <c r="N9" s="796" t="s">
        <v>107</v>
      </c>
      <c r="O9" s="797"/>
      <c r="P9" s="792" t="s">
        <v>123</v>
      </c>
      <c r="Q9" s="792"/>
      <c r="R9" s="792" t="s">
        <v>109</v>
      </c>
      <c r="S9" s="792"/>
      <c r="T9" s="792" t="s">
        <v>124</v>
      </c>
      <c r="U9" s="792"/>
      <c r="V9" s="424"/>
      <c r="W9" s="425"/>
      <c r="X9" s="426"/>
      <c r="Y9" s="427"/>
      <c r="Z9" s="792" t="s">
        <v>113</v>
      </c>
      <c r="AA9" s="792"/>
      <c r="AB9" s="792" t="s">
        <v>127</v>
      </c>
      <c r="AC9" s="792"/>
      <c r="AD9" s="424"/>
      <c r="AE9" s="425"/>
      <c r="AF9" s="428" t="s">
        <v>109</v>
      </c>
      <c r="AG9" s="429"/>
    </row>
    <row r="10" spans="1:33" s="82" customFormat="1" ht="13.5" thickBot="1">
      <c r="A10" s="430"/>
      <c r="B10" s="432"/>
      <c r="C10" s="433"/>
      <c r="D10" s="432" t="s">
        <v>94</v>
      </c>
      <c r="E10" s="434" t="s">
        <v>96</v>
      </c>
      <c r="F10" s="433" t="s">
        <v>97</v>
      </c>
      <c r="G10" s="433" t="s">
        <v>99</v>
      </c>
      <c r="H10" s="433" t="s">
        <v>99</v>
      </c>
      <c r="I10" s="433" t="s">
        <v>102</v>
      </c>
      <c r="J10" s="435" t="s">
        <v>111</v>
      </c>
      <c r="K10" s="436" t="s">
        <v>108</v>
      </c>
      <c r="L10" s="435" t="s">
        <v>111</v>
      </c>
      <c r="M10" s="436" t="s">
        <v>108</v>
      </c>
      <c r="N10" s="435" t="s">
        <v>111</v>
      </c>
      <c r="O10" s="436" t="s">
        <v>108</v>
      </c>
      <c r="P10" s="435" t="s">
        <v>111</v>
      </c>
      <c r="Q10" s="436" t="s">
        <v>108</v>
      </c>
      <c r="R10" s="436" t="s">
        <v>108</v>
      </c>
      <c r="S10" s="435" t="s">
        <v>110</v>
      </c>
      <c r="T10" s="435" t="s">
        <v>111</v>
      </c>
      <c r="U10" s="437" t="s">
        <v>112</v>
      </c>
      <c r="V10" s="435" t="s">
        <v>111</v>
      </c>
      <c r="W10" s="436" t="s">
        <v>108</v>
      </c>
      <c r="X10" s="438" t="s">
        <v>111</v>
      </c>
      <c r="Y10" s="439" t="s">
        <v>108</v>
      </c>
      <c r="Z10" s="437" t="s">
        <v>108</v>
      </c>
      <c r="AA10" s="437" t="s">
        <v>108</v>
      </c>
      <c r="AB10" s="436" t="s">
        <v>108</v>
      </c>
      <c r="AC10" s="435" t="s">
        <v>110</v>
      </c>
      <c r="AD10" s="435" t="s">
        <v>108</v>
      </c>
      <c r="AE10" s="436" t="s">
        <v>110</v>
      </c>
      <c r="AF10" s="435" t="s">
        <v>110</v>
      </c>
      <c r="AG10" s="431"/>
    </row>
    <row r="11" spans="1:33" s="94" customFormat="1" ht="9.75" customHeight="1">
      <c r="A11" s="391">
        <v>1</v>
      </c>
      <c r="B11" s="894"/>
      <c r="C11" s="895"/>
      <c r="D11" s="700" t="s">
        <v>387</v>
      </c>
      <c r="E11" s="751">
        <v>40739</v>
      </c>
      <c r="F11" s="700" t="s">
        <v>10</v>
      </c>
      <c r="G11" s="701">
        <v>277</v>
      </c>
      <c r="H11" s="702">
        <v>385</v>
      </c>
      <c r="I11" s="702">
        <v>3</v>
      </c>
      <c r="J11" s="703">
        <v>143001</v>
      </c>
      <c r="K11" s="704">
        <v>13242</v>
      </c>
      <c r="L11" s="703">
        <v>199436</v>
      </c>
      <c r="M11" s="704">
        <v>17960</v>
      </c>
      <c r="N11" s="703">
        <v>222871</v>
      </c>
      <c r="O11" s="704">
        <v>20148</v>
      </c>
      <c r="P11" s="707">
        <f>SUM(J11+L11+N11)</f>
        <v>565308</v>
      </c>
      <c r="Q11" s="898">
        <f>SUM(K11+M11+O11)</f>
        <v>51350</v>
      </c>
      <c r="R11" s="705">
        <f>IF(P11&lt;&gt;0,Q11/H11,"")</f>
        <v>133.37662337662337</v>
      </c>
      <c r="S11" s="706">
        <f>+P11/Q11</f>
        <v>11.008919182083739</v>
      </c>
      <c r="T11" s="707">
        <v>802016</v>
      </c>
      <c r="U11" s="708">
        <f>IF(T11&lt;&gt;0,-(T11-P11)/T11,"")</f>
        <v>-0.2951412440649563</v>
      </c>
      <c r="V11" s="899">
        <f>X11-P11</f>
        <v>398573</v>
      </c>
      <c r="W11" s="900">
        <f>Y11-Q11</f>
        <v>41423</v>
      </c>
      <c r="X11" s="908">
        <v>963881</v>
      </c>
      <c r="Y11" s="909">
        <v>92773</v>
      </c>
      <c r="Z11" s="708">
        <f>Q11*1/Y11</f>
        <v>0.5535015575652399</v>
      </c>
      <c r="AA11" s="708">
        <f>W11*1/Y11</f>
        <v>0.4464984424347601</v>
      </c>
      <c r="AB11" s="705">
        <f>Y11/H11</f>
        <v>240.96883116883117</v>
      </c>
      <c r="AC11" s="706">
        <f>X11/Y11</f>
        <v>10.389671563924848</v>
      </c>
      <c r="AD11" s="901">
        <v>6732748</v>
      </c>
      <c r="AE11" s="902">
        <v>662534</v>
      </c>
      <c r="AF11" s="903">
        <f>+AD11/AE11</f>
        <v>10.162116963053972</v>
      </c>
      <c r="AG11" s="749">
        <v>1</v>
      </c>
    </row>
    <row r="12" spans="1:33" s="94" customFormat="1" ht="9.75" customHeight="1">
      <c r="A12" s="391">
        <v>2</v>
      </c>
      <c r="B12" s="869"/>
      <c r="C12" s="868"/>
      <c r="D12" s="709" t="s">
        <v>262</v>
      </c>
      <c r="E12" s="564">
        <v>40723</v>
      </c>
      <c r="F12" s="709" t="s">
        <v>23</v>
      </c>
      <c r="G12" s="645">
        <v>323</v>
      </c>
      <c r="H12" s="31">
        <v>210</v>
      </c>
      <c r="I12" s="31">
        <v>5</v>
      </c>
      <c r="J12" s="710">
        <v>57231</v>
      </c>
      <c r="K12" s="711">
        <v>5519</v>
      </c>
      <c r="L12" s="710">
        <v>92821</v>
      </c>
      <c r="M12" s="711">
        <v>8262</v>
      </c>
      <c r="N12" s="710">
        <v>119535</v>
      </c>
      <c r="O12" s="711">
        <v>10658</v>
      </c>
      <c r="P12" s="34">
        <f>SUM(J12+L12+N12)</f>
        <v>269587</v>
      </c>
      <c r="Q12" s="866">
        <f>SUM(K12+M12+O12)</f>
        <v>24439</v>
      </c>
      <c r="R12" s="307">
        <f>IF(P12&lt;&gt;0,Q12/H12,"")</f>
        <v>116.37619047619047</v>
      </c>
      <c r="S12" s="359">
        <f>+P12/Q12</f>
        <v>11.031015999017963</v>
      </c>
      <c r="T12" s="34">
        <v>279922</v>
      </c>
      <c r="U12" s="368">
        <f>IF(T12&lt;&gt;0,-(T12-P12)/T12,"")</f>
        <v>-0.03692099942126735</v>
      </c>
      <c r="V12" s="360">
        <f>X12-P12</f>
        <v>166823</v>
      </c>
      <c r="W12" s="267">
        <f>Y12-Q12</f>
        <v>17030</v>
      </c>
      <c r="X12" s="910">
        <v>436410</v>
      </c>
      <c r="Y12" s="911">
        <v>41469</v>
      </c>
      <c r="Z12" s="368">
        <f>Q12*1/Y12</f>
        <v>0.589331790011816</v>
      </c>
      <c r="AA12" s="368">
        <f>W12*1/Y12</f>
        <v>0.41066820998818393</v>
      </c>
      <c r="AB12" s="307">
        <f>Y12/H12</f>
        <v>197.47142857142856</v>
      </c>
      <c r="AC12" s="359">
        <f>X12/Y12</f>
        <v>10.523764739926209</v>
      </c>
      <c r="AD12" s="28">
        <v>6380278</v>
      </c>
      <c r="AE12" s="521">
        <v>586913</v>
      </c>
      <c r="AF12" s="361">
        <f>AD12/AE12</f>
        <v>10.870909317053805</v>
      </c>
      <c r="AG12" s="749">
        <v>2</v>
      </c>
    </row>
    <row r="13" spans="1:33" s="94" customFormat="1" ht="9.75" customHeight="1">
      <c r="A13" s="391">
        <v>3</v>
      </c>
      <c r="B13" s="869"/>
      <c r="C13" s="870"/>
      <c r="D13" s="712" t="s">
        <v>359</v>
      </c>
      <c r="E13" s="32">
        <v>40732</v>
      </c>
      <c r="F13" s="713" t="s">
        <v>23</v>
      </c>
      <c r="G13" s="645">
        <v>81</v>
      </c>
      <c r="H13" s="645">
        <v>81</v>
      </c>
      <c r="I13" s="645">
        <v>4</v>
      </c>
      <c r="J13" s="740">
        <v>26846</v>
      </c>
      <c r="K13" s="737">
        <v>2398</v>
      </c>
      <c r="L13" s="740">
        <v>41607</v>
      </c>
      <c r="M13" s="737">
        <v>3541</v>
      </c>
      <c r="N13" s="740">
        <v>46071</v>
      </c>
      <c r="O13" s="737">
        <v>4019</v>
      </c>
      <c r="P13" s="714">
        <f>SUM(J13+L13+N13)</f>
        <v>114524</v>
      </c>
      <c r="Q13" s="572">
        <f>SUM(K13+M13+O13)</f>
        <v>9958</v>
      </c>
      <c r="R13" s="307">
        <f>IF(P13&lt;&gt;0,Q13/H13,"")</f>
        <v>122.93827160493827</v>
      </c>
      <c r="S13" s="359">
        <f>+P13/Q13</f>
        <v>11.500702952400081</v>
      </c>
      <c r="T13" s="714">
        <v>121104</v>
      </c>
      <c r="U13" s="368">
        <f>IF(T13&lt;&gt;0,-(T13-P13)/T13,"")</f>
        <v>-0.05433346545118246</v>
      </c>
      <c r="V13" s="360">
        <f>X13-P13</f>
        <v>74078</v>
      </c>
      <c r="W13" s="267">
        <f>Y13-Q13</f>
        <v>7814</v>
      </c>
      <c r="X13" s="910">
        <v>188602</v>
      </c>
      <c r="Y13" s="911">
        <v>17772</v>
      </c>
      <c r="Z13" s="368">
        <f>Q13*1/Y13</f>
        <v>0.5603196038712581</v>
      </c>
      <c r="AA13" s="368">
        <f>W13*1/Y13</f>
        <v>0.4396803961287418</v>
      </c>
      <c r="AB13" s="307">
        <f>Y13/H13</f>
        <v>219.40740740740742</v>
      </c>
      <c r="AC13" s="359">
        <f>X13/Y13</f>
        <v>10.612311501237903</v>
      </c>
      <c r="AD13" s="28">
        <v>1085060</v>
      </c>
      <c r="AE13" s="521">
        <v>100230</v>
      </c>
      <c r="AF13" s="904">
        <f>+AD13/AE13</f>
        <v>10.825700887957698</v>
      </c>
      <c r="AG13" s="749">
        <v>3</v>
      </c>
    </row>
    <row r="14" spans="1:33" s="94" customFormat="1" ht="9.75" customHeight="1">
      <c r="A14" s="391">
        <v>4</v>
      </c>
      <c r="B14" s="871" t="s">
        <v>86</v>
      </c>
      <c r="C14" s="870"/>
      <c r="D14" s="718" t="s">
        <v>409</v>
      </c>
      <c r="E14" s="564">
        <v>40753</v>
      </c>
      <c r="F14" s="709" t="s">
        <v>32</v>
      </c>
      <c r="G14" s="744">
        <v>58</v>
      </c>
      <c r="H14" s="744">
        <v>62</v>
      </c>
      <c r="I14" s="744">
        <v>1</v>
      </c>
      <c r="J14" s="852">
        <v>20683</v>
      </c>
      <c r="K14" s="745">
        <v>2093</v>
      </c>
      <c r="L14" s="852">
        <v>34191</v>
      </c>
      <c r="M14" s="745">
        <v>3182</v>
      </c>
      <c r="N14" s="852">
        <v>42297.5</v>
      </c>
      <c r="O14" s="745">
        <v>4006</v>
      </c>
      <c r="P14" s="735">
        <f>SUM(J14+L14+N14)</f>
        <v>97171.5</v>
      </c>
      <c r="Q14" s="732">
        <f>SUM(K14+M14+O14)</f>
        <v>9281</v>
      </c>
      <c r="R14" s="732">
        <f>Q14/H14</f>
        <v>149.69354838709677</v>
      </c>
      <c r="S14" s="359">
        <f>IF(P14&lt;&gt;0,P14/Q14,"")</f>
        <v>10.469938584204288</v>
      </c>
      <c r="T14" s="735"/>
      <c r="U14" s="368">
        <f>IF(T14&lt;&gt;0,-(T14-P14)/T14,"")</f>
      </c>
      <c r="V14" s="360">
        <f>X14-P14</f>
        <v>62654.5</v>
      </c>
      <c r="W14" s="267">
        <f>Y14-Q14</f>
        <v>7253</v>
      </c>
      <c r="X14" s="912">
        <v>159826</v>
      </c>
      <c r="Y14" s="913">
        <v>16534</v>
      </c>
      <c r="Z14" s="368">
        <f>Q14*1/Y14</f>
        <v>0.5613281722511189</v>
      </c>
      <c r="AA14" s="368">
        <f>W14*1/Y14</f>
        <v>0.4386718277488811</v>
      </c>
      <c r="AB14" s="307">
        <f>Y14/H14</f>
        <v>266.6774193548387</v>
      </c>
      <c r="AC14" s="359">
        <f>X14/Y14</f>
        <v>9.666505382847467</v>
      </c>
      <c r="AD14" s="26">
        <f>159826</f>
        <v>159826</v>
      </c>
      <c r="AE14" s="27">
        <f>16534</f>
        <v>16534</v>
      </c>
      <c r="AF14" s="905">
        <f>+AD14/AE14</f>
        <v>9.666505382847467</v>
      </c>
      <c r="AG14" s="749">
        <v>4</v>
      </c>
    </row>
    <row r="15" spans="1:33" s="94" customFormat="1" ht="9.75" customHeight="1">
      <c r="A15" s="391">
        <v>5</v>
      </c>
      <c r="B15" s="869"/>
      <c r="C15" s="870"/>
      <c r="D15" s="715" t="s">
        <v>397</v>
      </c>
      <c r="E15" s="684">
        <v>40746</v>
      </c>
      <c r="F15" s="716" t="s">
        <v>8</v>
      </c>
      <c r="G15" s="24">
        <v>26</v>
      </c>
      <c r="H15" s="717">
        <v>26</v>
      </c>
      <c r="I15" s="717">
        <v>2</v>
      </c>
      <c r="J15" s="561">
        <v>15724</v>
      </c>
      <c r="K15" s="568">
        <v>1182</v>
      </c>
      <c r="L15" s="561">
        <v>25393</v>
      </c>
      <c r="M15" s="568">
        <v>1841</v>
      </c>
      <c r="N15" s="561">
        <v>27695</v>
      </c>
      <c r="O15" s="568">
        <v>2014</v>
      </c>
      <c r="P15" s="714">
        <f>+J15+L15+N15</f>
        <v>68812</v>
      </c>
      <c r="Q15" s="572">
        <f>+K15+M15+O15</f>
        <v>5037</v>
      </c>
      <c r="R15" s="307">
        <f>IF(P15&lt;&gt;0,Q15/H15,"")</f>
        <v>193.73076923076923</v>
      </c>
      <c r="S15" s="359">
        <f>IF(P15&lt;&gt;0,P15/Q15,"")</f>
        <v>13.661306333134803</v>
      </c>
      <c r="T15" s="34">
        <v>67405</v>
      </c>
      <c r="U15" s="368">
        <f>IF(T15&lt;&gt;0,-(T15-P15)/T15,"")</f>
        <v>0.020873822416734664</v>
      </c>
      <c r="V15" s="360">
        <f>X15-P15</f>
        <v>51164</v>
      </c>
      <c r="W15" s="267">
        <f>Y15-Q15</f>
        <v>4718</v>
      </c>
      <c r="X15" s="914">
        <v>119976</v>
      </c>
      <c r="Y15" s="915">
        <v>9755</v>
      </c>
      <c r="Z15" s="368">
        <f>Q15*1/Y15</f>
        <v>0.5163505894413122</v>
      </c>
      <c r="AA15" s="368">
        <f>W15*1/Y15</f>
        <v>0.4836494105586879</v>
      </c>
      <c r="AB15" s="307">
        <f>Y15/H15</f>
        <v>375.1923076923077</v>
      </c>
      <c r="AC15" s="359">
        <f>X15/Y15</f>
        <v>12.298923628908252</v>
      </c>
      <c r="AD15" s="23">
        <v>258288</v>
      </c>
      <c r="AE15" s="503">
        <v>21163</v>
      </c>
      <c r="AF15" s="361">
        <f>AD15/AE15</f>
        <v>12.204696876624297</v>
      </c>
      <c r="AG15" s="749">
        <v>5</v>
      </c>
    </row>
    <row r="16" spans="1:33" s="94" customFormat="1" ht="9.75" customHeight="1">
      <c r="A16" s="391">
        <v>6</v>
      </c>
      <c r="B16" s="869"/>
      <c r="C16" s="870"/>
      <c r="D16" s="723" t="s">
        <v>233</v>
      </c>
      <c r="E16" s="564">
        <v>40704</v>
      </c>
      <c r="F16" s="709" t="s">
        <v>23</v>
      </c>
      <c r="G16" s="31">
        <v>144</v>
      </c>
      <c r="H16" s="31">
        <v>50</v>
      </c>
      <c r="I16" s="31">
        <v>8</v>
      </c>
      <c r="J16" s="710">
        <v>15297</v>
      </c>
      <c r="K16" s="711">
        <v>1582</v>
      </c>
      <c r="L16" s="710">
        <v>20719</v>
      </c>
      <c r="M16" s="711">
        <v>1863</v>
      </c>
      <c r="N16" s="710">
        <v>24203</v>
      </c>
      <c r="O16" s="711">
        <v>2182</v>
      </c>
      <c r="P16" s="34">
        <f>SUM(J16+L16+N16)</f>
        <v>60219</v>
      </c>
      <c r="Q16" s="866">
        <f>SUM(K16+M16+O16)</f>
        <v>5627</v>
      </c>
      <c r="R16" s="267">
        <f>IF(P16&lt;&gt;0,Q16/H16,"")</f>
        <v>112.54</v>
      </c>
      <c r="S16" s="360">
        <f>+P16/Q16</f>
        <v>10.701794917362715</v>
      </c>
      <c r="T16" s="34">
        <v>37852</v>
      </c>
      <c r="U16" s="368">
        <f>IF(T16&lt;&gt;0,-(T16-P16)/T16,"")</f>
        <v>0.5909066892106097</v>
      </c>
      <c r="V16" s="360">
        <f>X16-P16</f>
        <v>40077</v>
      </c>
      <c r="W16" s="267">
        <f>Y16-Q16</f>
        <v>4278</v>
      </c>
      <c r="X16" s="910">
        <v>100296</v>
      </c>
      <c r="Y16" s="911">
        <v>9905</v>
      </c>
      <c r="Z16" s="368">
        <f>Q16*1/Y16</f>
        <v>0.5680969207470974</v>
      </c>
      <c r="AA16" s="368">
        <f>W16*1/Y16</f>
        <v>0.43190307925290256</v>
      </c>
      <c r="AB16" s="307">
        <f>Y16/H16</f>
        <v>198.1</v>
      </c>
      <c r="AC16" s="359">
        <f>X16/Y16</f>
        <v>10.125795053003534</v>
      </c>
      <c r="AD16" s="28">
        <v>3604017</v>
      </c>
      <c r="AE16" s="521">
        <v>323413</v>
      </c>
      <c r="AF16" s="905">
        <f>+AD16/AE16</f>
        <v>11.143698614465096</v>
      </c>
      <c r="AG16" s="749">
        <v>6</v>
      </c>
    </row>
    <row r="17" spans="1:33" s="94" customFormat="1" ht="9.75" customHeight="1">
      <c r="A17" s="391">
        <v>7</v>
      </c>
      <c r="B17" s="878"/>
      <c r="C17" s="879" t="s">
        <v>85</v>
      </c>
      <c r="D17" s="718" t="s">
        <v>13</v>
      </c>
      <c r="E17" s="564">
        <v>40585</v>
      </c>
      <c r="F17" s="709" t="s">
        <v>32</v>
      </c>
      <c r="G17" s="719">
        <v>58</v>
      </c>
      <c r="H17" s="719">
        <v>57</v>
      </c>
      <c r="I17" s="719">
        <v>25</v>
      </c>
      <c r="J17" s="853">
        <v>13933.5</v>
      </c>
      <c r="K17" s="720">
        <v>1626</v>
      </c>
      <c r="L17" s="853">
        <v>14741</v>
      </c>
      <c r="M17" s="720">
        <v>1989</v>
      </c>
      <c r="N17" s="853">
        <v>21511</v>
      </c>
      <c r="O17" s="720">
        <v>2858</v>
      </c>
      <c r="P17" s="34">
        <f>+J17+L17+N17</f>
        <v>50185.5</v>
      </c>
      <c r="Q17" s="866">
        <f>+K17+M17+O17</f>
        <v>6473</v>
      </c>
      <c r="R17" s="711">
        <f>+Q17/H17</f>
        <v>113.56140350877193</v>
      </c>
      <c r="S17" s="710">
        <f>+P17/Q17</f>
        <v>7.753051135485864</v>
      </c>
      <c r="T17" s="34">
        <v>43659</v>
      </c>
      <c r="U17" s="368">
        <f>IF(T17&lt;&gt;0,-(T17-P17)/T17,"")</f>
        <v>0.14948807805950662</v>
      </c>
      <c r="V17" s="360">
        <f>X17-P17</f>
        <v>27181</v>
      </c>
      <c r="W17" s="267">
        <f>Y17-Q17</f>
        <v>4017</v>
      </c>
      <c r="X17" s="912">
        <v>77366.5</v>
      </c>
      <c r="Y17" s="913">
        <v>10490</v>
      </c>
      <c r="Z17" s="368">
        <f>Q17*1/Y17</f>
        <v>0.6170638703527169</v>
      </c>
      <c r="AA17" s="368">
        <f>W17*1/Y17</f>
        <v>0.38293612964728313</v>
      </c>
      <c r="AB17" s="307">
        <f>Y17/H17</f>
        <v>184.03508771929825</v>
      </c>
      <c r="AC17" s="359">
        <f>X17/Y17</f>
        <v>7.375262154432793</v>
      </c>
      <c r="AD17" s="26">
        <f>236018+209847.25+105622+138051.5+64189.5+34454+20202.5+27754+16946+8179.5+9672.5+8494+21812+25095+12109+8066+3824+4092+15394+226700+172575.5+127465+93972+96529+77366.5</f>
        <v>1764430.75</v>
      </c>
      <c r="AE17" s="27">
        <f>25731+24506+13184+19079+9581+4996+3067+4392+3122+1175+1530+1410+3175+3587+1436+923+420+447+1629+25969+20073+15455+11876+13635+10490</f>
        <v>220888</v>
      </c>
      <c r="AF17" s="905">
        <f>+AD17/AE17</f>
        <v>7.98789771286806</v>
      </c>
      <c r="AG17" s="749">
        <v>7</v>
      </c>
    </row>
    <row r="18" spans="1:33" s="94" customFormat="1" ht="9.75" customHeight="1">
      <c r="A18" s="391">
        <v>8</v>
      </c>
      <c r="B18" s="878"/>
      <c r="C18" s="870"/>
      <c r="D18" s="718" t="s">
        <v>245</v>
      </c>
      <c r="E18" s="564">
        <v>40718</v>
      </c>
      <c r="F18" s="709" t="s">
        <v>32</v>
      </c>
      <c r="G18" s="719">
        <v>42</v>
      </c>
      <c r="H18" s="719">
        <v>42</v>
      </c>
      <c r="I18" s="719">
        <v>6</v>
      </c>
      <c r="J18" s="853">
        <v>6292</v>
      </c>
      <c r="K18" s="720">
        <v>887</v>
      </c>
      <c r="L18" s="853">
        <v>8909</v>
      </c>
      <c r="M18" s="720">
        <v>1176</v>
      </c>
      <c r="N18" s="853">
        <v>12750</v>
      </c>
      <c r="O18" s="720">
        <v>1711</v>
      </c>
      <c r="P18" s="34">
        <f>SUM(J18+L18+N18)</f>
        <v>27951</v>
      </c>
      <c r="Q18" s="866">
        <f>SUM(K18+M18+O18)</f>
        <v>3774</v>
      </c>
      <c r="R18" s="711">
        <f>+Q18/H18</f>
        <v>89.85714285714286</v>
      </c>
      <c r="S18" s="710">
        <f>+P18/Q18</f>
        <v>7.406200317965024</v>
      </c>
      <c r="T18" s="34">
        <v>23948</v>
      </c>
      <c r="U18" s="368">
        <f>IF(T18&lt;&gt;0,-(T18-P18)/T18,"")</f>
        <v>0.16715383330549524</v>
      </c>
      <c r="V18" s="360">
        <f>X18-P18</f>
        <v>21575</v>
      </c>
      <c r="W18" s="267">
        <f>Y18-Q18</f>
        <v>3177</v>
      </c>
      <c r="X18" s="912">
        <v>49526</v>
      </c>
      <c r="Y18" s="913">
        <v>6951</v>
      </c>
      <c r="Z18" s="368">
        <f>Q18*1/Y18</f>
        <v>0.5429434613724644</v>
      </c>
      <c r="AA18" s="368">
        <f>W18*1/Y18</f>
        <v>0.4570565386275356</v>
      </c>
      <c r="AB18" s="307">
        <f>Y18/H18</f>
        <v>165.5</v>
      </c>
      <c r="AC18" s="359">
        <f>X18/Y18</f>
        <v>7.1250179830240254</v>
      </c>
      <c r="AD18" s="26">
        <f>206744+133125+83915.5+50898.5+53053.5+49526</f>
        <v>577262.5</v>
      </c>
      <c r="AE18" s="27">
        <f>19325+12664+8208+6197+7341+6951</f>
        <v>60686</v>
      </c>
      <c r="AF18" s="905">
        <f>+AD18/AE18</f>
        <v>9.512284546682926</v>
      </c>
      <c r="AG18" s="749">
        <v>8</v>
      </c>
    </row>
    <row r="19" spans="1:33" s="94" customFormat="1" ht="9.75" customHeight="1">
      <c r="A19" s="391">
        <v>9</v>
      </c>
      <c r="B19" s="874"/>
      <c r="C19" s="879" t="s">
        <v>85</v>
      </c>
      <c r="D19" s="721">
        <v>40</v>
      </c>
      <c r="E19" s="684">
        <v>40739</v>
      </c>
      <c r="F19" s="709" t="s">
        <v>32</v>
      </c>
      <c r="G19" s="719">
        <v>17</v>
      </c>
      <c r="H19" s="719">
        <v>46</v>
      </c>
      <c r="I19" s="719">
        <v>3</v>
      </c>
      <c r="J19" s="853">
        <v>4763.5</v>
      </c>
      <c r="K19" s="720">
        <v>562</v>
      </c>
      <c r="L19" s="853">
        <v>8055.5</v>
      </c>
      <c r="M19" s="720">
        <v>886</v>
      </c>
      <c r="N19" s="853">
        <v>11426.5</v>
      </c>
      <c r="O19" s="720">
        <v>1208</v>
      </c>
      <c r="P19" s="671">
        <f>SUM(J19+L19+N19)</f>
        <v>24245.5</v>
      </c>
      <c r="Q19" s="521">
        <f>SUM(K19+M19+O19)</f>
        <v>2656</v>
      </c>
      <c r="R19" s="722">
        <f>IF(P19&lt;&gt;0,Q19/H19,"")</f>
        <v>57.73913043478261</v>
      </c>
      <c r="S19" s="360">
        <f>IF(P19&lt;&gt;0,P19/Q19,"")</f>
        <v>9.128576807228916</v>
      </c>
      <c r="T19" s="671">
        <v>42082.5</v>
      </c>
      <c r="U19" s="368">
        <f>IF(T19&lt;&gt;0,-(T19-P19)/T19,"")</f>
        <v>-0.4238578981762015</v>
      </c>
      <c r="V19" s="360">
        <f>X19-P19</f>
        <v>14953</v>
      </c>
      <c r="W19" s="267">
        <f>Y19-Q19</f>
        <v>1897</v>
      </c>
      <c r="X19" s="912">
        <v>39198.5</v>
      </c>
      <c r="Y19" s="913">
        <v>4553</v>
      </c>
      <c r="Z19" s="368">
        <f>Q19*1/Y19</f>
        <v>0.583351636283769</v>
      </c>
      <c r="AA19" s="368">
        <f>W19*1/Y19</f>
        <v>0.41664836371623104</v>
      </c>
      <c r="AB19" s="307">
        <f>Y19/H19</f>
        <v>98.97826086956522</v>
      </c>
      <c r="AC19" s="359">
        <f>X19/Y19</f>
        <v>8.609378431803206</v>
      </c>
      <c r="AD19" s="26">
        <f>100961+78170+39198.5</f>
        <v>218329.5</v>
      </c>
      <c r="AE19" s="27">
        <f>10897+8433+4553</f>
        <v>23883</v>
      </c>
      <c r="AF19" s="361">
        <f>AD19/AE19</f>
        <v>9.141627936188922</v>
      </c>
      <c r="AG19" s="749">
        <v>9</v>
      </c>
    </row>
    <row r="20" spans="1:35" s="94" customFormat="1" ht="9.75" customHeight="1">
      <c r="A20" s="391">
        <v>10</v>
      </c>
      <c r="B20" s="871" t="s">
        <v>86</v>
      </c>
      <c r="C20" s="870"/>
      <c r="D20" s="744" t="s">
        <v>410</v>
      </c>
      <c r="E20" s="505">
        <v>40753</v>
      </c>
      <c r="F20" s="709" t="s">
        <v>32</v>
      </c>
      <c r="G20" s="719">
        <v>13</v>
      </c>
      <c r="H20" s="719">
        <v>15</v>
      </c>
      <c r="I20" s="719">
        <v>1</v>
      </c>
      <c r="J20" s="853">
        <v>9700</v>
      </c>
      <c r="K20" s="720">
        <v>676</v>
      </c>
      <c r="L20" s="853">
        <v>7680</v>
      </c>
      <c r="M20" s="720">
        <v>627</v>
      </c>
      <c r="N20" s="853">
        <v>7197.5</v>
      </c>
      <c r="O20" s="720">
        <v>606</v>
      </c>
      <c r="P20" s="671">
        <f>SUM(J20+L20+N20)</f>
        <v>24577.5</v>
      </c>
      <c r="Q20" s="521">
        <f>SUM(K20+M20+O20)</f>
        <v>1909</v>
      </c>
      <c r="R20" s="722">
        <f>IF(P20&lt;&gt;0,Q20/H20,"")</f>
        <v>127.26666666666667</v>
      </c>
      <c r="S20" s="360">
        <f>IF(P20&lt;&gt;0,P20/Q20,"")</f>
        <v>12.87454164484023</v>
      </c>
      <c r="T20" s="671"/>
      <c r="U20" s="368">
        <f>IF(T20&lt;&gt;0,-(T20-P20)/T20,"")</f>
      </c>
      <c r="V20" s="360">
        <f>X20-P20</f>
        <v>12777.5</v>
      </c>
      <c r="W20" s="267">
        <f>Y20-Q20</f>
        <v>1203</v>
      </c>
      <c r="X20" s="912">
        <v>37355</v>
      </c>
      <c r="Y20" s="913">
        <v>3112</v>
      </c>
      <c r="Z20" s="368">
        <f>Q20*1/Y20</f>
        <v>0.6134318766066839</v>
      </c>
      <c r="AA20" s="368">
        <f>W20*1/Y20</f>
        <v>0.3865681233933162</v>
      </c>
      <c r="AB20" s="307">
        <f>Y20/H20</f>
        <v>207.46666666666667</v>
      </c>
      <c r="AC20" s="359">
        <f>X20/Y20</f>
        <v>12.00353470437018</v>
      </c>
      <c r="AD20" s="26">
        <f>37355</f>
        <v>37355</v>
      </c>
      <c r="AE20" s="27">
        <f>3112</f>
        <v>3112</v>
      </c>
      <c r="AF20" s="905">
        <f>+AD20/AE20</f>
        <v>12.00353470437018</v>
      </c>
      <c r="AG20" s="749">
        <v>10</v>
      </c>
      <c r="AI20" s="156"/>
    </row>
    <row r="21" spans="1:33" s="94" customFormat="1" ht="9.75" customHeight="1">
      <c r="A21" s="391">
        <v>11</v>
      </c>
      <c r="B21" s="880"/>
      <c r="C21" s="870"/>
      <c r="D21" s="725" t="s">
        <v>246</v>
      </c>
      <c r="E21" s="117">
        <v>40718</v>
      </c>
      <c r="F21" s="713" t="s">
        <v>32</v>
      </c>
      <c r="G21" s="719">
        <v>25</v>
      </c>
      <c r="H21" s="719">
        <v>25</v>
      </c>
      <c r="I21" s="719">
        <v>6</v>
      </c>
      <c r="J21" s="853">
        <v>3592</v>
      </c>
      <c r="K21" s="720">
        <v>392</v>
      </c>
      <c r="L21" s="853">
        <v>7266</v>
      </c>
      <c r="M21" s="720">
        <v>762</v>
      </c>
      <c r="N21" s="853">
        <v>8802</v>
      </c>
      <c r="O21" s="720">
        <v>920</v>
      </c>
      <c r="P21" s="34">
        <f>+J21+L21+N21</f>
        <v>19660</v>
      </c>
      <c r="Q21" s="866">
        <f>+K21+M21+O21</f>
        <v>2074</v>
      </c>
      <c r="R21" s="711">
        <f>+Q21/H21</f>
        <v>82.96</v>
      </c>
      <c r="S21" s="360">
        <f>+P21/Q21</f>
        <v>9.479267116682738</v>
      </c>
      <c r="T21" s="34">
        <v>10068.5</v>
      </c>
      <c r="U21" s="368">
        <f>IF(T21&lt;&gt;0,-(T21-P21)/T21,"")</f>
        <v>0.9526245220241347</v>
      </c>
      <c r="V21" s="360">
        <f>X21-P21</f>
        <v>13498.5</v>
      </c>
      <c r="W21" s="267">
        <f>Y21-Q21</f>
        <v>1632</v>
      </c>
      <c r="X21" s="912">
        <v>33158.5</v>
      </c>
      <c r="Y21" s="913">
        <v>3706</v>
      </c>
      <c r="Z21" s="368">
        <f>Q21*1/Y21</f>
        <v>0.5596330275229358</v>
      </c>
      <c r="AA21" s="368">
        <f>W21*1/Y21</f>
        <v>0.44036697247706424</v>
      </c>
      <c r="AB21" s="307">
        <f>Y21/H21</f>
        <v>148.24</v>
      </c>
      <c r="AC21" s="359">
        <f>X21/Y21</f>
        <v>8.947247706422019</v>
      </c>
      <c r="AD21" s="26">
        <f>57373+29138.5+18608.5+18274+18081+33158.5</f>
        <v>174633.5</v>
      </c>
      <c r="AE21" s="27">
        <f>5353+2775+2460+2094+2184+3706</f>
        <v>18572</v>
      </c>
      <c r="AF21" s="906">
        <f>AD21/AE21</f>
        <v>9.40305298298514</v>
      </c>
      <c r="AG21" s="749">
        <v>11</v>
      </c>
    </row>
    <row r="22" spans="1:33" s="94" customFormat="1" ht="9.75" customHeight="1">
      <c r="A22" s="391">
        <v>12</v>
      </c>
      <c r="B22" s="871" t="s">
        <v>86</v>
      </c>
      <c r="C22" s="870"/>
      <c r="D22" s="727" t="s">
        <v>411</v>
      </c>
      <c r="E22" s="117">
        <v>40753</v>
      </c>
      <c r="F22" s="715" t="s">
        <v>75</v>
      </c>
      <c r="G22" s="727">
        <v>10</v>
      </c>
      <c r="H22" s="854">
        <v>10</v>
      </c>
      <c r="I22" s="854">
        <v>1</v>
      </c>
      <c r="J22" s="671">
        <v>4194</v>
      </c>
      <c r="K22" s="521">
        <v>449</v>
      </c>
      <c r="L22" s="671">
        <v>7631</v>
      </c>
      <c r="M22" s="521">
        <v>794</v>
      </c>
      <c r="N22" s="671">
        <v>9145</v>
      </c>
      <c r="O22" s="521">
        <v>1001</v>
      </c>
      <c r="P22" s="34">
        <f>+J22+L22+N22</f>
        <v>20970</v>
      </c>
      <c r="Q22" s="866">
        <f>+K22+M22+O22</f>
        <v>2244</v>
      </c>
      <c r="R22" s="267">
        <f>IF(P22&lt;&gt;0,Q22/H22,"")</f>
        <v>224.4</v>
      </c>
      <c r="S22" s="360">
        <f>IF(P22&lt;&gt;0,P22/Q22,"")</f>
        <v>9.344919786096257</v>
      </c>
      <c r="T22" s="34"/>
      <c r="U22" s="368">
        <f>IF(T22&lt;&gt;0,-(T22-P22)/T22,"")</f>
      </c>
      <c r="V22" s="360">
        <f>X22-P22</f>
        <v>10535</v>
      </c>
      <c r="W22" s="267">
        <f>Y22-Q22</f>
        <v>1249</v>
      </c>
      <c r="X22" s="910">
        <v>31505</v>
      </c>
      <c r="Y22" s="911">
        <v>3493</v>
      </c>
      <c r="Z22" s="368">
        <f>Q22*1/Y22</f>
        <v>0.6424277125679931</v>
      </c>
      <c r="AA22" s="368">
        <f>W22*1/Y22</f>
        <v>0.35757228743200686</v>
      </c>
      <c r="AB22" s="307">
        <f>Y22/H22</f>
        <v>349.3</v>
      </c>
      <c r="AC22" s="359">
        <f>X22/Y22</f>
        <v>9.019467506441455</v>
      </c>
      <c r="AD22" s="28">
        <v>31505</v>
      </c>
      <c r="AE22" s="29">
        <v>3493</v>
      </c>
      <c r="AF22" s="905">
        <f>+AD22/AE22</f>
        <v>9.019467506441455</v>
      </c>
      <c r="AG22" s="749">
        <v>12</v>
      </c>
    </row>
    <row r="23" spans="1:33" s="94" customFormat="1" ht="9.75" customHeight="1">
      <c r="A23" s="391">
        <v>13</v>
      </c>
      <c r="B23" s="873"/>
      <c r="C23" s="870"/>
      <c r="D23" s="724" t="s">
        <v>68</v>
      </c>
      <c r="E23" s="117">
        <v>40682</v>
      </c>
      <c r="F23" s="709" t="s">
        <v>23</v>
      </c>
      <c r="G23" s="31">
        <v>115</v>
      </c>
      <c r="H23" s="31">
        <v>22</v>
      </c>
      <c r="I23" s="31">
        <v>12</v>
      </c>
      <c r="J23" s="710">
        <v>3504</v>
      </c>
      <c r="K23" s="711">
        <v>548</v>
      </c>
      <c r="L23" s="710">
        <v>5125</v>
      </c>
      <c r="M23" s="711">
        <v>744</v>
      </c>
      <c r="N23" s="710">
        <v>6455</v>
      </c>
      <c r="O23" s="711">
        <v>904</v>
      </c>
      <c r="P23" s="34">
        <f>SUM(J23+L23+N23)</f>
        <v>15084</v>
      </c>
      <c r="Q23" s="866">
        <f>SUM(K23+M23+O23)</f>
        <v>2196</v>
      </c>
      <c r="R23" s="267">
        <f>IF(P23&lt;&gt;0,Q23/H23,"")</f>
        <v>99.81818181818181</v>
      </c>
      <c r="S23" s="360">
        <f>+P23/Q23</f>
        <v>6.868852459016393</v>
      </c>
      <c r="T23" s="34">
        <v>17202</v>
      </c>
      <c r="U23" s="368">
        <f>IF(T23&lt;&gt;0,-(T23-P23)/T23,"")</f>
        <v>-0.12312521799790722</v>
      </c>
      <c r="V23" s="360">
        <f>X23-P23</f>
        <v>14874</v>
      </c>
      <c r="W23" s="267">
        <f>Y23-Q23</f>
        <v>3031</v>
      </c>
      <c r="X23" s="910">
        <v>29958</v>
      </c>
      <c r="Y23" s="911">
        <v>5227</v>
      </c>
      <c r="Z23" s="368">
        <f>Q23*1/Y23</f>
        <v>0.42012626745743253</v>
      </c>
      <c r="AA23" s="368">
        <f>W23*1/Y23</f>
        <v>0.5798737325425675</v>
      </c>
      <c r="AB23" s="307">
        <f>Y23/H23</f>
        <v>237.5909090909091</v>
      </c>
      <c r="AC23" s="359">
        <f>X23/Y23</f>
        <v>5.731394681461642</v>
      </c>
      <c r="AD23" s="28">
        <v>13072161</v>
      </c>
      <c r="AE23" s="521">
        <v>1159734</v>
      </c>
      <c r="AF23" s="905">
        <f>+AD23/AE23</f>
        <v>11.271689025241995</v>
      </c>
      <c r="AG23" s="749">
        <v>13</v>
      </c>
    </row>
    <row r="24" spans="1:35" s="94" customFormat="1" ht="9.75" customHeight="1">
      <c r="A24" s="391">
        <v>14</v>
      </c>
      <c r="B24" s="892"/>
      <c r="C24" s="870"/>
      <c r="D24" s="725" t="s">
        <v>399</v>
      </c>
      <c r="E24" s="686">
        <v>40746</v>
      </c>
      <c r="F24" s="713" t="s">
        <v>32</v>
      </c>
      <c r="G24" s="719">
        <v>8</v>
      </c>
      <c r="H24" s="719">
        <v>8</v>
      </c>
      <c r="I24" s="719">
        <v>2</v>
      </c>
      <c r="J24" s="853">
        <v>3923</v>
      </c>
      <c r="K24" s="720">
        <v>260</v>
      </c>
      <c r="L24" s="853">
        <v>6346.5</v>
      </c>
      <c r="M24" s="720">
        <v>404</v>
      </c>
      <c r="N24" s="853">
        <v>6445.5</v>
      </c>
      <c r="O24" s="720">
        <v>422</v>
      </c>
      <c r="P24" s="671">
        <f>SUM(J24+L24+N24)</f>
        <v>16715</v>
      </c>
      <c r="Q24" s="521">
        <f>SUM(K24+M24+O24)</f>
        <v>1086</v>
      </c>
      <c r="R24" s="267">
        <f>IF(P24&lt;&gt;0,Q24/H24,"")</f>
        <v>135.75</v>
      </c>
      <c r="S24" s="360">
        <f>IF(P24&lt;&gt;0,P24/Q24,"")</f>
        <v>15.39134438305709</v>
      </c>
      <c r="T24" s="671">
        <v>20827</v>
      </c>
      <c r="U24" s="368">
        <f>IF(T24&lt;&gt;0,-(T24-P24)/T24,"")</f>
        <v>-0.19743602055024728</v>
      </c>
      <c r="V24" s="360">
        <f>X24-P24</f>
        <v>13052</v>
      </c>
      <c r="W24" s="267">
        <f>Y24-Q24</f>
        <v>1028</v>
      </c>
      <c r="X24" s="912">
        <v>29767</v>
      </c>
      <c r="Y24" s="913">
        <v>2114</v>
      </c>
      <c r="Z24" s="368">
        <f>Q24*1/Y24</f>
        <v>0.5137180700094608</v>
      </c>
      <c r="AA24" s="368">
        <f>W24*1/Y24</f>
        <v>0.48628192999053926</v>
      </c>
      <c r="AB24" s="307">
        <f>Y24/H24</f>
        <v>264.25</v>
      </c>
      <c r="AC24" s="359">
        <f>X24/Y24</f>
        <v>14.08088930936613</v>
      </c>
      <c r="AD24" s="26">
        <f>34995.5+29767</f>
        <v>64762.5</v>
      </c>
      <c r="AE24" s="27">
        <f>2476+2114</f>
        <v>4590</v>
      </c>
      <c r="AF24" s="904">
        <f>+AD24/AE24</f>
        <v>14.109477124183007</v>
      </c>
      <c r="AG24" s="749">
        <v>14</v>
      </c>
      <c r="AI24" s="156"/>
    </row>
    <row r="25" spans="1:35" s="94" customFormat="1" ht="9.75" customHeight="1">
      <c r="A25" s="391">
        <v>15</v>
      </c>
      <c r="B25" s="880"/>
      <c r="C25" s="882"/>
      <c r="D25" s="725" t="s">
        <v>388</v>
      </c>
      <c r="E25" s="686">
        <v>40739</v>
      </c>
      <c r="F25" s="713" t="s">
        <v>32</v>
      </c>
      <c r="G25" s="719">
        <v>156</v>
      </c>
      <c r="H25" s="719">
        <v>17</v>
      </c>
      <c r="I25" s="719">
        <v>3</v>
      </c>
      <c r="J25" s="853">
        <v>2566</v>
      </c>
      <c r="K25" s="720">
        <v>254</v>
      </c>
      <c r="L25" s="853">
        <v>5741</v>
      </c>
      <c r="M25" s="720">
        <v>503</v>
      </c>
      <c r="N25" s="853">
        <v>10169.5</v>
      </c>
      <c r="O25" s="720">
        <v>742</v>
      </c>
      <c r="P25" s="34">
        <f>SUM(J25+L25+N25)</f>
        <v>18476.5</v>
      </c>
      <c r="Q25" s="866">
        <f>SUM(K25+M25+O25)</f>
        <v>1499</v>
      </c>
      <c r="R25" s="267">
        <f>IF(P25&lt;&gt;0,Q25/H25,"")</f>
        <v>88.17647058823529</v>
      </c>
      <c r="S25" s="360">
        <f>+P25/Q25</f>
        <v>12.325883922615077</v>
      </c>
      <c r="T25" s="34">
        <v>14205</v>
      </c>
      <c r="U25" s="368">
        <f>IF(T25&lt;&gt;0,-(T25-P25)/T25,"")</f>
        <v>0.3007039774727209</v>
      </c>
      <c r="V25" s="360">
        <f>X25-P25</f>
        <v>10586.5</v>
      </c>
      <c r="W25" s="267">
        <f>Y25-Q25</f>
        <v>1143</v>
      </c>
      <c r="X25" s="912">
        <v>29063</v>
      </c>
      <c r="Y25" s="913">
        <v>2642</v>
      </c>
      <c r="Z25" s="368">
        <f>Q25*1/Y25</f>
        <v>0.5673732021196064</v>
      </c>
      <c r="AA25" s="368">
        <f>W25*1/Y25</f>
        <v>0.43262679788039365</v>
      </c>
      <c r="AB25" s="307">
        <f>Y25/H25</f>
        <v>155.41176470588235</v>
      </c>
      <c r="AC25" s="359">
        <f>X25/Y25</f>
        <v>11.000378501135504</v>
      </c>
      <c r="AD25" s="26">
        <f>42541+25929.5+29063</f>
        <v>97533.5</v>
      </c>
      <c r="AE25" s="27">
        <f>3864+2719+2642</f>
        <v>9225</v>
      </c>
      <c r="AF25" s="905">
        <f>+AD25/AE25</f>
        <v>10.572737127371274</v>
      </c>
      <c r="AG25" s="749">
        <v>15</v>
      </c>
      <c r="AI25" s="156"/>
    </row>
    <row r="26" spans="1:35" s="94" customFormat="1" ht="9.75" customHeight="1">
      <c r="A26" s="391">
        <v>16</v>
      </c>
      <c r="B26" s="872"/>
      <c r="C26" s="877"/>
      <c r="D26" s="713" t="s">
        <v>264</v>
      </c>
      <c r="E26" s="117">
        <v>40725</v>
      </c>
      <c r="F26" s="713" t="s">
        <v>65</v>
      </c>
      <c r="G26" s="728">
        <v>18</v>
      </c>
      <c r="H26" s="728">
        <v>18</v>
      </c>
      <c r="I26" s="728">
        <v>5</v>
      </c>
      <c r="J26" s="671">
        <v>2972.5</v>
      </c>
      <c r="K26" s="521">
        <v>356</v>
      </c>
      <c r="L26" s="671">
        <v>6382</v>
      </c>
      <c r="M26" s="521">
        <v>711</v>
      </c>
      <c r="N26" s="671">
        <v>8002.5</v>
      </c>
      <c r="O26" s="521">
        <v>902</v>
      </c>
      <c r="P26" s="34">
        <f>SUM(J26+L26+N26)</f>
        <v>17357</v>
      </c>
      <c r="Q26" s="866">
        <f>SUM(K26+M26+O26)</f>
        <v>1969</v>
      </c>
      <c r="R26" s="711">
        <f>+Q26/H26</f>
        <v>109.38888888888889</v>
      </c>
      <c r="S26" s="360">
        <f>IF(P26&lt;&gt;0,P26/Q26,"")</f>
        <v>8.815134586084307</v>
      </c>
      <c r="T26" s="34">
        <v>9956</v>
      </c>
      <c r="U26" s="368">
        <f>IF(T26&lt;&gt;0,-(T26-P26)/T26,"")</f>
        <v>0.743370831659301</v>
      </c>
      <c r="V26" s="360">
        <f>X26-P26</f>
        <v>10733.5</v>
      </c>
      <c r="W26" s="267">
        <f>Y26-Q26</f>
        <v>1391</v>
      </c>
      <c r="X26" s="916">
        <v>28090.5</v>
      </c>
      <c r="Y26" s="917">
        <v>3360</v>
      </c>
      <c r="Z26" s="368">
        <f>Q26*1/Y26</f>
        <v>0.5860119047619048</v>
      </c>
      <c r="AA26" s="368">
        <f>W26*1/Y26</f>
        <v>0.4139880952380952</v>
      </c>
      <c r="AB26" s="307">
        <f>Y26/H26</f>
        <v>186.66666666666666</v>
      </c>
      <c r="AC26" s="359">
        <f>X26/Y26</f>
        <v>8.360267857142857</v>
      </c>
      <c r="AD26" s="671">
        <v>156735</v>
      </c>
      <c r="AE26" s="521">
        <v>15128</v>
      </c>
      <c r="AF26" s="905">
        <f>+AD26/AE26</f>
        <v>10.360589635113696</v>
      </c>
      <c r="AG26" s="749">
        <v>16</v>
      </c>
      <c r="AI26" s="156"/>
    </row>
    <row r="27" spans="1:33" s="94" customFormat="1" ht="9.75" customHeight="1">
      <c r="A27" s="391">
        <v>17</v>
      </c>
      <c r="B27" s="872"/>
      <c r="C27" s="870"/>
      <c r="D27" s="713" t="s">
        <v>360</v>
      </c>
      <c r="E27" s="206">
        <v>40697</v>
      </c>
      <c r="F27" s="713" t="s">
        <v>10</v>
      </c>
      <c r="G27" s="22">
        <v>101</v>
      </c>
      <c r="H27" s="22">
        <v>20</v>
      </c>
      <c r="I27" s="22">
        <v>9</v>
      </c>
      <c r="J27" s="23">
        <v>3810</v>
      </c>
      <c r="K27" s="503">
        <v>320</v>
      </c>
      <c r="L27" s="23">
        <v>5727</v>
      </c>
      <c r="M27" s="503">
        <v>454</v>
      </c>
      <c r="N27" s="23">
        <v>6336</v>
      </c>
      <c r="O27" s="503">
        <v>513</v>
      </c>
      <c r="P27" s="34">
        <f>+J27+L27+N27</f>
        <v>15873</v>
      </c>
      <c r="Q27" s="866">
        <f>+K27+M27+O27</f>
        <v>1287</v>
      </c>
      <c r="R27" s="267">
        <f>IF(P27&lt;&gt;0,Q27/H27,"")</f>
        <v>64.35</v>
      </c>
      <c r="S27" s="360">
        <f>IF(P27&lt;&gt;0,P27/Q27,"")</f>
        <v>12.333333333333334</v>
      </c>
      <c r="T27" s="34">
        <v>18133</v>
      </c>
      <c r="U27" s="368">
        <f>IF(T27&lt;&gt;0,-(T27-P27)/T27,"")</f>
        <v>-0.12463464401919153</v>
      </c>
      <c r="V27" s="360">
        <f>X27-P27</f>
        <v>11468</v>
      </c>
      <c r="W27" s="267">
        <f>Y27-Q27</f>
        <v>1153</v>
      </c>
      <c r="X27" s="918">
        <v>27341</v>
      </c>
      <c r="Y27" s="919">
        <v>2440</v>
      </c>
      <c r="Z27" s="368">
        <f>Q27*1/Y27</f>
        <v>0.5274590163934426</v>
      </c>
      <c r="AA27" s="368">
        <f>W27*1/Y27</f>
        <v>0.4725409836065574</v>
      </c>
      <c r="AB27" s="307">
        <f>Y27/H27</f>
        <v>122</v>
      </c>
      <c r="AC27" s="359">
        <f>X27/Y27</f>
        <v>11.205327868852459</v>
      </c>
      <c r="AD27" s="225">
        <v>3326823</v>
      </c>
      <c r="AE27" s="362">
        <v>312867</v>
      </c>
      <c r="AF27" s="361">
        <f>AD27/AE27</f>
        <v>10.633345798694014</v>
      </c>
      <c r="AG27" s="749">
        <v>17</v>
      </c>
    </row>
    <row r="28" spans="1:35" s="94" customFormat="1" ht="9.75" customHeight="1">
      <c r="A28" s="391">
        <v>18</v>
      </c>
      <c r="B28" s="874"/>
      <c r="C28" s="876"/>
      <c r="D28" s="713" t="s">
        <v>398</v>
      </c>
      <c r="E28" s="684">
        <v>40746</v>
      </c>
      <c r="F28" s="713" t="s">
        <v>21</v>
      </c>
      <c r="G28" s="22">
        <v>23</v>
      </c>
      <c r="H28" s="22">
        <v>23</v>
      </c>
      <c r="I28" s="22">
        <v>2</v>
      </c>
      <c r="J28" s="23">
        <v>3575</v>
      </c>
      <c r="K28" s="503">
        <v>304</v>
      </c>
      <c r="L28" s="23">
        <v>5807</v>
      </c>
      <c r="M28" s="503">
        <v>483</v>
      </c>
      <c r="N28" s="23">
        <v>7185.5</v>
      </c>
      <c r="O28" s="503">
        <v>594</v>
      </c>
      <c r="P28" s="710">
        <f>J28+L28+N28</f>
        <v>16567.5</v>
      </c>
      <c r="Q28" s="711">
        <f>K28+M28+O28</f>
        <v>1381</v>
      </c>
      <c r="R28" s="267">
        <f>Q28/H28</f>
        <v>60.04347826086956</v>
      </c>
      <c r="S28" s="360">
        <f>P28/Q28</f>
        <v>11.9967414916727</v>
      </c>
      <c r="T28" s="710">
        <v>24792.5</v>
      </c>
      <c r="U28" s="368">
        <f>IF(T28&lt;&gt;0,-(T28-P28)/T28,"")</f>
        <v>-0.33175355450236965</v>
      </c>
      <c r="V28" s="360">
        <f>X28-P28</f>
        <v>10662</v>
      </c>
      <c r="W28" s="267">
        <f>Y28-Q28</f>
        <v>1038</v>
      </c>
      <c r="X28" s="920">
        <v>27229.5</v>
      </c>
      <c r="Y28" s="921">
        <v>2419</v>
      </c>
      <c r="Z28" s="368">
        <f>Q28*1/Y28</f>
        <v>0.5708970649028524</v>
      </c>
      <c r="AA28" s="368">
        <f>W28*1/Y28</f>
        <v>0.4291029350971476</v>
      </c>
      <c r="AB28" s="307">
        <f>Y28/H28</f>
        <v>105.17391304347827</v>
      </c>
      <c r="AC28" s="359">
        <f>X28/Y28</f>
        <v>11.256510954940058</v>
      </c>
      <c r="AD28" s="34">
        <f>47685+27229.5</f>
        <v>74914.5</v>
      </c>
      <c r="AE28" s="29">
        <f>4321+2419</f>
        <v>6740</v>
      </c>
      <c r="AF28" s="361">
        <f>AD28/AE28</f>
        <v>11.114910979228487</v>
      </c>
      <c r="AG28" s="749">
        <v>18</v>
      </c>
      <c r="AI28" s="156"/>
    </row>
    <row r="29" spans="1:34" s="94" customFormat="1" ht="9.75" customHeight="1">
      <c r="A29" s="391">
        <v>19</v>
      </c>
      <c r="B29" s="880"/>
      <c r="C29" s="870"/>
      <c r="D29" s="726" t="s">
        <v>230</v>
      </c>
      <c r="E29" s="206">
        <v>40704</v>
      </c>
      <c r="F29" s="713" t="s">
        <v>32</v>
      </c>
      <c r="G29" s="719">
        <v>25</v>
      </c>
      <c r="H29" s="719">
        <v>23</v>
      </c>
      <c r="I29" s="719">
        <v>8</v>
      </c>
      <c r="J29" s="853">
        <v>3809</v>
      </c>
      <c r="K29" s="720">
        <v>485</v>
      </c>
      <c r="L29" s="853">
        <v>5593.5</v>
      </c>
      <c r="M29" s="720">
        <v>678</v>
      </c>
      <c r="N29" s="853">
        <v>6651</v>
      </c>
      <c r="O29" s="720">
        <v>791</v>
      </c>
      <c r="P29" s="34">
        <f>+J29+L29+N29</f>
        <v>16053.5</v>
      </c>
      <c r="Q29" s="866">
        <f>+K29+M29+O29</f>
        <v>1954</v>
      </c>
      <c r="R29" s="267">
        <f>IF(P29&lt;&gt;0,Q29/H29,"")</f>
        <v>84.95652173913044</v>
      </c>
      <c r="S29" s="360">
        <f>IF(P29&lt;&gt;0,P29/Q29,"")</f>
        <v>8.215711361310133</v>
      </c>
      <c r="T29" s="34">
        <v>15837</v>
      </c>
      <c r="U29" s="368">
        <f>IF(T29&lt;&gt;0,-(T29-P29)/T29,"")</f>
        <v>0.013670518406263812</v>
      </c>
      <c r="V29" s="360">
        <f>X29-P29</f>
        <v>11160</v>
      </c>
      <c r="W29" s="267">
        <f>Y29-Q29</f>
        <v>1531</v>
      </c>
      <c r="X29" s="912">
        <v>27213.5</v>
      </c>
      <c r="Y29" s="913">
        <v>3485</v>
      </c>
      <c r="Z29" s="368">
        <f>Q29*1/Y29</f>
        <v>0.5606886657101865</v>
      </c>
      <c r="AA29" s="368">
        <f>W29*1/Y29</f>
        <v>0.4393113342898135</v>
      </c>
      <c r="AB29" s="307">
        <f>Y29/H29</f>
        <v>151.52173913043478</v>
      </c>
      <c r="AC29" s="359">
        <f>X29/Y29</f>
        <v>7.808751793400287</v>
      </c>
      <c r="AD29" s="26">
        <f>1507.5+116073+64240.5+36865+26116.5+23857.5+27298.75+30562+27213.5</f>
        <v>353734.25</v>
      </c>
      <c r="AE29" s="27">
        <f>73+10003+5758+3705+3172+2912+3100+4082+3485</f>
        <v>36290</v>
      </c>
      <c r="AF29" s="361">
        <f>AD29/AE29</f>
        <v>9.747430421603747</v>
      </c>
      <c r="AG29" s="749">
        <v>19</v>
      </c>
      <c r="AH29" s="156"/>
    </row>
    <row r="30" spans="1:33" s="94" customFormat="1" ht="9.75" customHeight="1">
      <c r="A30" s="391">
        <v>20</v>
      </c>
      <c r="B30" s="873"/>
      <c r="C30" s="870"/>
      <c r="D30" s="713" t="s">
        <v>389</v>
      </c>
      <c r="E30" s="686">
        <v>40739</v>
      </c>
      <c r="F30" s="713" t="s">
        <v>65</v>
      </c>
      <c r="G30" s="727">
        <v>15</v>
      </c>
      <c r="H30" s="728">
        <v>15</v>
      </c>
      <c r="I30" s="728">
        <v>3</v>
      </c>
      <c r="J30" s="671">
        <v>4003.5</v>
      </c>
      <c r="K30" s="521">
        <v>353</v>
      </c>
      <c r="L30" s="671">
        <v>5888</v>
      </c>
      <c r="M30" s="521">
        <v>482</v>
      </c>
      <c r="N30" s="671">
        <v>5893.5</v>
      </c>
      <c r="O30" s="521">
        <v>493</v>
      </c>
      <c r="P30" s="671">
        <f>SUM(J30+L30+N30)</f>
        <v>15785</v>
      </c>
      <c r="Q30" s="521">
        <f>SUM(K30+M30+O30)</f>
        <v>1328</v>
      </c>
      <c r="R30" s="521">
        <f>Q30/H30</f>
        <v>88.53333333333333</v>
      </c>
      <c r="S30" s="360">
        <f>+P30/Q30</f>
        <v>11.886295180722891</v>
      </c>
      <c r="T30" s="671">
        <v>8066</v>
      </c>
      <c r="U30" s="368">
        <f>IF(T30&lt;&gt;0,-(T30-P30)/T30,"")</f>
        <v>0.956979915695512</v>
      </c>
      <c r="V30" s="360">
        <f>X30-P30</f>
        <v>8994.5</v>
      </c>
      <c r="W30" s="267">
        <f>Y30-Q30</f>
        <v>922</v>
      </c>
      <c r="X30" s="916">
        <v>24779.5</v>
      </c>
      <c r="Y30" s="917">
        <v>2250</v>
      </c>
      <c r="Z30" s="368">
        <f>Q30*1/Y30</f>
        <v>0.5902222222222222</v>
      </c>
      <c r="AA30" s="368">
        <f>W30*1/Y30</f>
        <v>0.4097777777777778</v>
      </c>
      <c r="AB30" s="307">
        <f>Y30/H30</f>
        <v>150</v>
      </c>
      <c r="AC30" s="359">
        <f>X30/Y30</f>
        <v>11.013111111111112</v>
      </c>
      <c r="AD30" s="671">
        <v>69680.5</v>
      </c>
      <c r="AE30" s="521">
        <v>6698</v>
      </c>
      <c r="AF30" s="905">
        <f>+AD30/AE30</f>
        <v>10.403180053747388</v>
      </c>
      <c r="AG30" s="749">
        <v>20</v>
      </c>
    </row>
    <row r="31" spans="1:33" s="94" customFormat="1" ht="9.75" customHeight="1">
      <c r="A31" s="391">
        <v>21</v>
      </c>
      <c r="B31" s="880"/>
      <c r="C31" s="870"/>
      <c r="D31" s="713" t="s">
        <v>361</v>
      </c>
      <c r="E31" s="117">
        <v>40732</v>
      </c>
      <c r="F31" s="713" t="s">
        <v>21</v>
      </c>
      <c r="G31" s="22">
        <v>23</v>
      </c>
      <c r="H31" s="22">
        <v>23</v>
      </c>
      <c r="I31" s="22">
        <v>4</v>
      </c>
      <c r="J31" s="23">
        <v>3249</v>
      </c>
      <c r="K31" s="503">
        <v>419</v>
      </c>
      <c r="L31" s="23">
        <v>5181</v>
      </c>
      <c r="M31" s="503">
        <v>662</v>
      </c>
      <c r="N31" s="23">
        <v>5645</v>
      </c>
      <c r="O31" s="503">
        <v>746</v>
      </c>
      <c r="P31" s="34">
        <f>+J31+L31+N31</f>
        <v>14075</v>
      </c>
      <c r="Q31" s="866">
        <f>+K31+M31+O31</f>
        <v>1827</v>
      </c>
      <c r="R31" s="711">
        <f>+Q31/H31</f>
        <v>79.43478260869566</v>
      </c>
      <c r="S31" s="360">
        <f>+P31/Q31</f>
        <v>7.703886152162014</v>
      </c>
      <c r="T31" s="34">
        <v>12230.5</v>
      </c>
      <c r="U31" s="368">
        <f>IF(T31&lt;&gt;0,-(T31-P31)/T31,"")</f>
        <v>0.1508114958505376</v>
      </c>
      <c r="V31" s="360">
        <f>X31-P31</f>
        <v>10603</v>
      </c>
      <c r="W31" s="267">
        <f>Y31-Q31</f>
        <v>1445</v>
      </c>
      <c r="X31" s="920">
        <v>24678</v>
      </c>
      <c r="Y31" s="921">
        <v>3272</v>
      </c>
      <c r="Z31" s="368">
        <f>Q31*1/Y31</f>
        <v>0.5583740831295844</v>
      </c>
      <c r="AA31" s="368">
        <f>W31*1/Y31</f>
        <v>0.44162591687041564</v>
      </c>
      <c r="AB31" s="307">
        <f>Y31/H31</f>
        <v>142.2608695652174</v>
      </c>
      <c r="AC31" s="359">
        <f>X31/Y31</f>
        <v>7.542176039119805</v>
      </c>
      <c r="AD31" s="34">
        <f>63653+42613.5+25162+24678</f>
        <v>156106.5</v>
      </c>
      <c r="AE31" s="29">
        <f>5385+3679+2937+3272</f>
        <v>15273</v>
      </c>
      <c r="AF31" s="361">
        <f>AD31/AE31</f>
        <v>10.221076409349832</v>
      </c>
      <c r="AG31" s="749">
        <v>21</v>
      </c>
    </row>
    <row r="32" spans="1:33" s="94" customFormat="1" ht="9.75" customHeight="1">
      <c r="A32" s="391">
        <v>22</v>
      </c>
      <c r="B32" s="872"/>
      <c r="C32" s="870"/>
      <c r="D32" s="728" t="s">
        <v>362</v>
      </c>
      <c r="E32" s="470">
        <v>40732</v>
      </c>
      <c r="F32" s="729" t="s">
        <v>65</v>
      </c>
      <c r="G32" s="728">
        <v>15</v>
      </c>
      <c r="H32" s="728">
        <v>15</v>
      </c>
      <c r="I32" s="728">
        <v>4</v>
      </c>
      <c r="J32" s="671">
        <v>2550</v>
      </c>
      <c r="K32" s="521">
        <v>303</v>
      </c>
      <c r="L32" s="671">
        <v>4108</v>
      </c>
      <c r="M32" s="521">
        <v>466</v>
      </c>
      <c r="N32" s="671">
        <v>5563.5</v>
      </c>
      <c r="O32" s="521">
        <v>644</v>
      </c>
      <c r="P32" s="34">
        <f>+J32+L32+N32</f>
        <v>12221.5</v>
      </c>
      <c r="Q32" s="866">
        <f>+K32+M32+O32</f>
        <v>1413</v>
      </c>
      <c r="R32" s="711">
        <f>+Q32/H32</f>
        <v>94.2</v>
      </c>
      <c r="S32" s="360">
        <f>IF(P32&lt;&gt;0,P32/Q32,"")</f>
        <v>8.649327671620664</v>
      </c>
      <c r="T32" s="34">
        <v>12287</v>
      </c>
      <c r="U32" s="368">
        <f>IF(T32&lt;&gt;0,-(T32-P32)/T32,"")</f>
        <v>-0.005330837470497274</v>
      </c>
      <c r="V32" s="360">
        <f>X32-P32</f>
        <v>8619.5</v>
      </c>
      <c r="W32" s="267">
        <f>Y32-Q32</f>
        <v>1067</v>
      </c>
      <c r="X32" s="916">
        <v>20841</v>
      </c>
      <c r="Y32" s="917">
        <v>2480</v>
      </c>
      <c r="Z32" s="368">
        <f>Q32*1/Y32</f>
        <v>0.569758064516129</v>
      </c>
      <c r="AA32" s="368">
        <f>W32*1/Y32</f>
        <v>0.43024193548387096</v>
      </c>
      <c r="AB32" s="307">
        <f>Y32/H32</f>
        <v>165.33333333333334</v>
      </c>
      <c r="AC32" s="359">
        <f>X32/Y32</f>
        <v>8.403629032258065</v>
      </c>
      <c r="AD32" s="671">
        <v>92986.5</v>
      </c>
      <c r="AE32" s="521">
        <v>10213</v>
      </c>
      <c r="AF32" s="361">
        <f>AD32/AE32</f>
        <v>9.104719475178694</v>
      </c>
      <c r="AG32" s="749">
        <v>22</v>
      </c>
    </row>
    <row r="33" spans="1:33" s="94" customFormat="1" ht="9.75" customHeight="1">
      <c r="A33" s="391">
        <v>23</v>
      </c>
      <c r="B33" s="872"/>
      <c r="C33" s="870"/>
      <c r="D33" s="724" t="s">
        <v>225</v>
      </c>
      <c r="E33" s="206">
        <v>40697</v>
      </c>
      <c r="F33" s="713" t="s">
        <v>23</v>
      </c>
      <c r="G33" s="31">
        <v>20</v>
      </c>
      <c r="H33" s="31">
        <v>19</v>
      </c>
      <c r="I33" s="31">
        <v>9</v>
      </c>
      <c r="J33" s="710">
        <v>2581</v>
      </c>
      <c r="K33" s="711">
        <v>355</v>
      </c>
      <c r="L33" s="710">
        <v>3485</v>
      </c>
      <c r="M33" s="711">
        <v>464</v>
      </c>
      <c r="N33" s="710">
        <v>4164</v>
      </c>
      <c r="O33" s="711">
        <v>571</v>
      </c>
      <c r="P33" s="34">
        <f>SUM(J33+L33+N33)</f>
        <v>10230</v>
      </c>
      <c r="Q33" s="866">
        <f>SUM(K33+M33+O33)</f>
        <v>1390</v>
      </c>
      <c r="R33" s="267">
        <f>IF(P33&lt;&gt;0,Q33/H33,"")</f>
        <v>73.15789473684211</v>
      </c>
      <c r="S33" s="360">
        <f>+P33/Q33</f>
        <v>7.359712230215828</v>
      </c>
      <c r="T33" s="34">
        <v>5139</v>
      </c>
      <c r="U33" s="368">
        <f>IF(T33&lt;&gt;0,-(T33-P33)/T33,"")</f>
        <v>0.9906596614127262</v>
      </c>
      <c r="V33" s="360">
        <f>X33-P33</f>
        <v>7738</v>
      </c>
      <c r="W33" s="267">
        <f>Y33-Q33</f>
        <v>1137</v>
      </c>
      <c r="X33" s="910">
        <v>17968</v>
      </c>
      <c r="Y33" s="911">
        <v>2527</v>
      </c>
      <c r="Z33" s="368">
        <f>Q33*1/Y33</f>
        <v>0.5500593589236249</v>
      </c>
      <c r="AA33" s="368">
        <f>W33*1/Y33</f>
        <v>0.44994064107637516</v>
      </c>
      <c r="AB33" s="307">
        <f>Y33/H33</f>
        <v>133</v>
      </c>
      <c r="AC33" s="359">
        <f>X33/Y33</f>
        <v>7.110407597942224</v>
      </c>
      <c r="AD33" s="28">
        <v>371529</v>
      </c>
      <c r="AE33" s="521">
        <v>38162</v>
      </c>
      <c r="AF33" s="905">
        <f>+AD33/AE33</f>
        <v>9.735574655416382</v>
      </c>
      <c r="AG33" s="749">
        <v>23</v>
      </c>
    </row>
    <row r="34" spans="1:33" s="94" customFormat="1" ht="9.75" customHeight="1">
      <c r="A34" s="391">
        <v>24</v>
      </c>
      <c r="B34" s="874"/>
      <c r="C34" s="870"/>
      <c r="D34" s="724" t="s">
        <v>238</v>
      </c>
      <c r="E34" s="470">
        <v>40711</v>
      </c>
      <c r="F34" s="713" t="s">
        <v>23</v>
      </c>
      <c r="G34" s="31">
        <v>151</v>
      </c>
      <c r="H34" s="31">
        <v>25</v>
      </c>
      <c r="I34" s="31">
        <v>7</v>
      </c>
      <c r="J34" s="710">
        <v>2236</v>
      </c>
      <c r="K34" s="711">
        <v>346</v>
      </c>
      <c r="L34" s="710">
        <v>2945</v>
      </c>
      <c r="M34" s="711">
        <v>449</v>
      </c>
      <c r="N34" s="710">
        <v>4302</v>
      </c>
      <c r="O34" s="711">
        <v>647</v>
      </c>
      <c r="P34" s="34">
        <f>SUM(J34+L34+N34)</f>
        <v>9483</v>
      </c>
      <c r="Q34" s="866">
        <f>SUM(K34+M34+O34)</f>
        <v>1442</v>
      </c>
      <c r="R34" s="267">
        <f>IF(P34&lt;&gt;0,Q34/H34,"")</f>
        <v>57.68</v>
      </c>
      <c r="S34" s="360">
        <f>+P34/Q34</f>
        <v>6.576282940360611</v>
      </c>
      <c r="T34" s="34">
        <v>21374</v>
      </c>
      <c r="U34" s="368">
        <f>IF(T34&lt;&gt;0,-(T34-P34)/T34,"")</f>
        <v>-0.5563301207074015</v>
      </c>
      <c r="V34" s="360">
        <f>X34-P34</f>
        <v>7925</v>
      </c>
      <c r="W34" s="267">
        <f>Y34-Q34</f>
        <v>1224</v>
      </c>
      <c r="X34" s="910">
        <v>17408</v>
      </c>
      <c r="Y34" s="911">
        <v>2666</v>
      </c>
      <c r="Z34" s="368">
        <f>Q34*1/Y34</f>
        <v>0.5408852213053263</v>
      </c>
      <c r="AA34" s="368">
        <f>W34*1/Y34</f>
        <v>0.45911477869467365</v>
      </c>
      <c r="AB34" s="307">
        <f>Y34/H34</f>
        <v>106.64</v>
      </c>
      <c r="AC34" s="359">
        <f>X34/Y34</f>
        <v>6.529632408102025</v>
      </c>
      <c r="AD34" s="28">
        <v>1932677</v>
      </c>
      <c r="AE34" s="521">
        <v>214704</v>
      </c>
      <c r="AF34" s="361">
        <f>AD34/AE34</f>
        <v>9.001588233102318</v>
      </c>
      <c r="AG34" s="749">
        <v>24</v>
      </c>
    </row>
    <row r="35" spans="1:33" s="94" customFormat="1" ht="9.75" customHeight="1">
      <c r="A35" s="391">
        <v>25</v>
      </c>
      <c r="B35" s="869"/>
      <c r="C35" s="870"/>
      <c r="D35" s="727" t="s">
        <v>263</v>
      </c>
      <c r="E35" s="117">
        <v>40725</v>
      </c>
      <c r="F35" s="727" t="s">
        <v>75</v>
      </c>
      <c r="G35" s="727">
        <v>32</v>
      </c>
      <c r="H35" s="854">
        <v>32</v>
      </c>
      <c r="I35" s="854">
        <v>5</v>
      </c>
      <c r="J35" s="671">
        <v>1751</v>
      </c>
      <c r="K35" s="521">
        <v>233</v>
      </c>
      <c r="L35" s="671">
        <v>3112</v>
      </c>
      <c r="M35" s="521">
        <v>403</v>
      </c>
      <c r="N35" s="671">
        <v>4180</v>
      </c>
      <c r="O35" s="521">
        <v>540</v>
      </c>
      <c r="P35" s="671">
        <f>SUM(J35+L35+N35)</f>
        <v>9043</v>
      </c>
      <c r="Q35" s="521">
        <f>SUM(K35+M35+O35)</f>
        <v>1176</v>
      </c>
      <c r="R35" s="521">
        <f>Q35/H35</f>
        <v>36.75</v>
      </c>
      <c r="S35" s="360">
        <f>IF(P35&lt;&gt;0,P35/Q35,"")</f>
        <v>7.6896258503401365</v>
      </c>
      <c r="T35" s="671">
        <v>12397</v>
      </c>
      <c r="U35" s="368">
        <f>IF(T35&lt;&gt;0,-(T35-P35)/T35,"")</f>
        <v>-0.27054932644994756</v>
      </c>
      <c r="V35" s="360">
        <f>X35-P35</f>
        <v>6481</v>
      </c>
      <c r="W35" s="267">
        <f>Y35-Q35</f>
        <v>929</v>
      </c>
      <c r="X35" s="914">
        <v>15524</v>
      </c>
      <c r="Y35" s="915">
        <v>2105</v>
      </c>
      <c r="Z35" s="368">
        <f>Q35*1/Y35</f>
        <v>0.5586698337292162</v>
      </c>
      <c r="AA35" s="368">
        <f>W35*1/Y35</f>
        <v>0.44133016627078386</v>
      </c>
      <c r="AB35" s="307">
        <f>Y35/H35</f>
        <v>65.78125</v>
      </c>
      <c r="AC35" s="359">
        <f>X35/Y35</f>
        <v>7.374821852731592</v>
      </c>
      <c r="AD35" s="23">
        <v>168486</v>
      </c>
      <c r="AE35" s="503">
        <v>19150</v>
      </c>
      <c r="AF35" s="361">
        <f>AD35/AE35</f>
        <v>8.79822454308094</v>
      </c>
      <c r="AG35" s="749">
        <v>25</v>
      </c>
    </row>
    <row r="36" spans="1:33" s="94" customFormat="1" ht="9.75" customHeight="1">
      <c r="A36" s="391">
        <v>26</v>
      </c>
      <c r="B36" s="872"/>
      <c r="C36" s="870"/>
      <c r="D36" s="728" t="s">
        <v>227</v>
      </c>
      <c r="E36" s="470">
        <v>40697</v>
      </c>
      <c r="F36" s="729" t="s">
        <v>65</v>
      </c>
      <c r="G36" s="728">
        <v>15</v>
      </c>
      <c r="H36" s="728">
        <v>15</v>
      </c>
      <c r="I36" s="728">
        <v>9</v>
      </c>
      <c r="J36" s="671">
        <v>1849.5</v>
      </c>
      <c r="K36" s="521">
        <v>232</v>
      </c>
      <c r="L36" s="671">
        <v>2331.5</v>
      </c>
      <c r="M36" s="521">
        <v>289</v>
      </c>
      <c r="N36" s="671">
        <v>3135</v>
      </c>
      <c r="O36" s="521">
        <v>389</v>
      </c>
      <c r="P36" s="34">
        <f>SUM(J36+L36+N36)</f>
        <v>7316</v>
      </c>
      <c r="Q36" s="866">
        <f>SUM(K36+M36+O36)</f>
        <v>910</v>
      </c>
      <c r="R36" s="267">
        <f>IF(P36&lt;&gt;0,Q36/H36,"")</f>
        <v>60.666666666666664</v>
      </c>
      <c r="S36" s="360">
        <f>IF(P36&lt;&gt;0,P36/Q36,"")</f>
        <v>8.03956043956044</v>
      </c>
      <c r="T36" s="34">
        <v>10373</v>
      </c>
      <c r="U36" s="368">
        <f>IF(T36&lt;&gt;0,-(T36-P36)/T36,"")</f>
        <v>-0.29470741347729684</v>
      </c>
      <c r="V36" s="360">
        <f>X36-P36</f>
        <v>5483</v>
      </c>
      <c r="W36" s="267">
        <f>Y36-Q36</f>
        <v>780</v>
      </c>
      <c r="X36" s="916">
        <v>12799</v>
      </c>
      <c r="Y36" s="917">
        <v>1690</v>
      </c>
      <c r="Z36" s="368">
        <f>Q36*1/Y36</f>
        <v>0.5384615384615384</v>
      </c>
      <c r="AA36" s="368">
        <f>W36*1/Y36</f>
        <v>0.46153846153846156</v>
      </c>
      <c r="AB36" s="307">
        <f>Y36/H36</f>
        <v>112.66666666666667</v>
      </c>
      <c r="AC36" s="359">
        <f>X36/Y36</f>
        <v>7.573372781065089</v>
      </c>
      <c r="AD36" s="671">
        <v>185415.5</v>
      </c>
      <c r="AE36" s="521">
        <v>23461</v>
      </c>
      <c r="AF36" s="361">
        <f>AD36/AE36</f>
        <v>7.903137121179831</v>
      </c>
      <c r="AG36" s="749">
        <v>26</v>
      </c>
    </row>
    <row r="37" spans="1:33" s="94" customFormat="1" ht="9.75" customHeight="1">
      <c r="A37" s="391">
        <v>27</v>
      </c>
      <c r="B37" s="891"/>
      <c r="C37" s="882"/>
      <c r="D37" s="725" t="s">
        <v>63</v>
      </c>
      <c r="E37" s="117">
        <v>40669</v>
      </c>
      <c r="F37" s="713" t="s">
        <v>32</v>
      </c>
      <c r="G37" s="719">
        <v>58</v>
      </c>
      <c r="H37" s="719">
        <v>10</v>
      </c>
      <c r="I37" s="719">
        <v>13</v>
      </c>
      <c r="J37" s="853">
        <v>1299</v>
      </c>
      <c r="K37" s="720">
        <v>154</v>
      </c>
      <c r="L37" s="853">
        <v>2385</v>
      </c>
      <c r="M37" s="720">
        <v>257</v>
      </c>
      <c r="N37" s="853">
        <v>3127.5</v>
      </c>
      <c r="O37" s="720">
        <v>338</v>
      </c>
      <c r="P37" s="671">
        <f>SUM(J37+L37+N37)</f>
        <v>6811.5</v>
      </c>
      <c r="Q37" s="521">
        <f>SUM(K37+M37+O37)</f>
        <v>749</v>
      </c>
      <c r="R37" s="521">
        <f>Q37/H37</f>
        <v>74.9</v>
      </c>
      <c r="S37" s="360">
        <f>+P37/Q37</f>
        <v>9.094125500667557</v>
      </c>
      <c r="T37" s="671">
        <v>6539</v>
      </c>
      <c r="U37" s="368">
        <f>IF(T37&lt;&gt;0,-(T37-P37)/T37,"")</f>
        <v>0.041673038690931336</v>
      </c>
      <c r="V37" s="360">
        <f>X37-P37</f>
        <v>4275</v>
      </c>
      <c r="W37" s="267">
        <f>Y37-Q37</f>
        <v>606</v>
      </c>
      <c r="X37" s="912">
        <v>11086.5</v>
      </c>
      <c r="Y37" s="913">
        <v>1355</v>
      </c>
      <c r="Z37" s="368">
        <f>Q37*1/Y37</f>
        <v>0.5527675276752767</v>
      </c>
      <c r="AA37" s="368">
        <f>W37*1/Y37</f>
        <v>0.44723247232472324</v>
      </c>
      <c r="AB37" s="307">
        <f>Y37/H37</f>
        <v>135.5</v>
      </c>
      <c r="AC37" s="359">
        <f>X37/Y37</f>
        <v>8.181918819188192</v>
      </c>
      <c r="AD37" s="26">
        <f>283662.5+204713+63694+61522.5+37976+46923.5+23377.5+15917+7067.5+2523.5+6128.5+15179.5+11086.5</f>
        <v>779771.5</v>
      </c>
      <c r="AE37" s="27">
        <f>29595+21640+7444+8447+5671+7156+3524+2414+1006+405+822+1862+1355</f>
        <v>91341</v>
      </c>
      <c r="AF37" s="905">
        <f>+AD37/AE37</f>
        <v>8.536927557175858</v>
      </c>
      <c r="AG37" s="749">
        <v>27</v>
      </c>
    </row>
    <row r="38" spans="1:33" s="94" customFormat="1" ht="9.75" customHeight="1">
      <c r="A38" s="391">
        <v>28</v>
      </c>
      <c r="B38" s="874"/>
      <c r="C38" s="876"/>
      <c r="D38" s="730">
        <v>3</v>
      </c>
      <c r="E38" s="684">
        <v>40746</v>
      </c>
      <c r="F38" s="713" t="s">
        <v>32</v>
      </c>
      <c r="G38" s="719">
        <v>5</v>
      </c>
      <c r="H38" s="719">
        <v>5</v>
      </c>
      <c r="I38" s="719">
        <v>2</v>
      </c>
      <c r="J38" s="853">
        <v>1823.5</v>
      </c>
      <c r="K38" s="720">
        <v>170</v>
      </c>
      <c r="L38" s="853">
        <v>2489</v>
      </c>
      <c r="M38" s="720">
        <v>254</v>
      </c>
      <c r="N38" s="853">
        <v>2353</v>
      </c>
      <c r="O38" s="720">
        <v>231</v>
      </c>
      <c r="P38" s="34">
        <f>SUM(J38+L38+N38)</f>
        <v>6665.5</v>
      </c>
      <c r="Q38" s="866">
        <f>SUM(K38+M38+O38)</f>
        <v>655</v>
      </c>
      <c r="R38" s="267">
        <f>IF(P38&lt;&gt;0,Q38/H38,"")</f>
        <v>131</v>
      </c>
      <c r="S38" s="360">
        <f>IF(P38&lt;&gt;0,P38/Q38,"")</f>
        <v>10.176335877862595</v>
      </c>
      <c r="T38" s="731">
        <v>8610.5</v>
      </c>
      <c r="U38" s="368">
        <f>IF(T38&lt;&gt;0,-(T38-P38)/T38,"")</f>
        <v>-0.2258869984321468</v>
      </c>
      <c r="V38" s="360">
        <f>X38-P38</f>
        <v>4244</v>
      </c>
      <c r="W38" s="267">
        <f>Y38-Q38</f>
        <v>438</v>
      </c>
      <c r="X38" s="912">
        <v>10909.5</v>
      </c>
      <c r="Y38" s="913">
        <v>1093</v>
      </c>
      <c r="Z38" s="368">
        <f>Q38*1/Y38</f>
        <v>0.5992680695333943</v>
      </c>
      <c r="AA38" s="368">
        <f>W38*1/Y38</f>
        <v>0.40073193046660566</v>
      </c>
      <c r="AB38" s="307">
        <f>Y38/H38</f>
        <v>218.6</v>
      </c>
      <c r="AC38" s="359">
        <f>X38/Y38</f>
        <v>9.981244281793229</v>
      </c>
      <c r="AD38" s="26">
        <f>15287.5+10909.5</f>
        <v>26197</v>
      </c>
      <c r="AE38" s="27">
        <f>1370+1093</f>
        <v>2463</v>
      </c>
      <c r="AF38" s="905">
        <f>+AD38/AE38</f>
        <v>10.636215996751929</v>
      </c>
      <c r="AG38" s="749">
        <v>28</v>
      </c>
    </row>
    <row r="39" spans="1:33" s="94" customFormat="1" ht="9.75" customHeight="1">
      <c r="A39" s="391">
        <v>29</v>
      </c>
      <c r="B39" s="874"/>
      <c r="C39" s="896"/>
      <c r="D39" s="725" t="s">
        <v>265</v>
      </c>
      <c r="E39" s="564">
        <v>40725</v>
      </c>
      <c r="F39" s="713" t="s">
        <v>32</v>
      </c>
      <c r="G39" s="719">
        <v>6</v>
      </c>
      <c r="H39" s="719">
        <v>6</v>
      </c>
      <c r="I39" s="719">
        <v>5</v>
      </c>
      <c r="J39" s="853">
        <v>1408</v>
      </c>
      <c r="K39" s="720">
        <v>151</v>
      </c>
      <c r="L39" s="853">
        <v>1745</v>
      </c>
      <c r="M39" s="720">
        <v>193</v>
      </c>
      <c r="N39" s="853">
        <v>2620</v>
      </c>
      <c r="O39" s="720">
        <v>297</v>
      </c>
      <c r="P39" s="34">
        <f>SUM(J39+L39+N39)</f>
        <v>5773</v>
      </c>
      <c r="Q39" s="866">
        <f>SUM(K39+M39+O39)</f>
        <v>641</v>
      </c>
      <c r="R39" s="267">
        <f>IF(P39&lt;&gt;0,Q39/H39,"")</f>
        <v>106.83333333333333</v>
      </c>
      <c r="S39" s="360">
        <f>IF(P39&lt;&gt;0,P39/Q39,"")</f>
        <v>9.006240249609984</v>
      </c>
      <c r="T39" s="34">
        <v>5878.5</v>
      </c>
      <c r="U39" s="368">
        <f>IF(T39&lt;&gt;0,-(T39-P39)/T39,"")</f>
        <v>-0.01794675512460662</v>
      </c>
      <c r="V39" s="360">
        <f>X39-P39</f>
        <v>4625</v>
      </c>
      <c r="W39" s="267">
        <f>Y39-Q39</f>
        <v>542</v>
      </c>
      <c r="X39" s="912">
        <v>10398</v>
      </c>
      <c r="Y39" s="913">
        <v>1183</v>
      </c>
      <c r="Z39" s="368">
        <f>Q39*1/Y39</f>
        <v>0.5418427726120034</v>
      </c>
      <c r="AA39" s="368">
        <f>W39*1/Y39</f>
        <v>0.45815722738799664</v>
      </c>
      <c r="AB39" s="307">
        <f>Y39/H39</f>
        <v>197.16666666666666</v>
      </c>
      <c r="AC39" s="359">
        <f>X39/Y39</f>
        <v>8.789518174133558</v>
      </c>
      <c r="AD39" s="26">
        <f>16465+9500+5645+13030+10398</f>
        <v>55038</v>
      </c>
      <c r="AE39" s="27">
        <f>1904+1204+844+1431+1183</f>
        <v>6566</v>
      </c>
      <c r="AF39" s="905">
        <f>+AD39/AE39</f>
        <v>8.382272311909839</v>
      </c>
      <c r="AG39" s="749">
        <v>29</v>
      </c>
    </row>
    <row r="40" spans="1:33" s="94" customFormat="1" ht="9.75" customHeight="1">
      <c r="A40" s="391">
        <v>30</v>
      </c>
      <c r="B40" s="878"/>
      <c r="C40" s="870"/>
      <c r="D40" s="725" t="s">
        <v>53</v>
      </c>
      <c r="E40" s="117">
        <v>40662</v>
      </c>
      <c r="F40" s="713" t="s">
        <v>32</v>
      </c>
      <c r="G40" s="719">
        <v>19</v>
      </c>
      <c r="H40" s="719">
        <v>12</v>
      </c>
      <c r="I40" s="719">
        <v>14</v>
      </c>
      <c r="J40" s="853">
        <v>1335</v>
      </c>
      <c r="K40" s="720">
        <v>156</v>
      </c>
      <c r="L40" s="853">
        <v>2020</v>
      </c>
      <c r="M40" s="720">
        <v>235</v>
      </c>
      <c r="N40" s="853">
        <v>2640</v>
      </c>
      <c r="O40" s="720">
        <v>316</v>
      </c>
      <c r="P40" s="671">
        <f>SUM(J40+L40+N40)</f>
        <v>5995</v>
      </c>
      <c r="Q40" s="521">
        <f>SUM(K40+M40+O40)</f>
        <v>707</v>
      </c>
      <c r="R40" s="267">
        <f>IF(P40&lt;&gt;0,Q40/H40,"")</f>
        <v>58.916666666666664</v>
      </c>
      <c r="S40" s="360">
        <f>IF(P40&lt;&gt;0,P40/Q40,"")</f>
        <v>8.47949080622348</v>
      </c>
      <c r="T40" s="671">
        <v>1907</v>
      </c>
      <c r="U40" s="368">
        <f>IF(T40&lt;&gt;0,-(T40-P40)/T40,"")</f>
        <v>2.1436811746198217</v>
      </c>
      <c r="V40" s="360">
        <f>X40-P40</f>
        <v>3466</v>
      </c>
      <c r="W40" s="267">
        <f>Y40-Q40</f>
        <v>494</v>
      </c>
      <c r="X40" s="912">
        <v>9461</v>
      </c>
      <c r="Y40" s="913">
        <v>1201</v>
      </c>
      <c r="Z40" s="368">
        <f>Q40*1/Y40</f>
        <v>0.5886761032472939</v>
      </c>
      <c r="AA40" s="368">
        <f>W40*1/Y40</f>
        <v>0.4113238967527061</v>
      </c>
      <c r="AB40" s="307">
        <f>Y40/H40</f>
        <v>100.08333333333333</v>
      </c>
      <c r="AC40" s="359">
        <f>X40/Y40</f>
        <v>7.877601998334721</v>
      </c>
      <c r="AD40" s="26">
        <f>101742.25+50164.5+51750+9401+13450.5+18562.5+28682+16047.5+15912+8384+5213+12043+3980+9461</f>
        <v>344793.25</v>
      </c>
      <c r="AE40" s="27">
        <f>8064+3844+5093+985+1765+2797+3793+2133+2232+1161+795+1735+578+1201</f>
        <v>36176</v>
      </c>
      <c r="AF40" s="905">
        <f>+AD40/AE40</f>
        <v>9.530994305616984</v>
      </c>
      <c r="AG40" s="749">
        <v>30</v>
      </c>
    </row>
    <row r="41" spans="1:35" s="94" customFormat="1" ht="9.75" customHeight="1">
      <c r="A41" s="391">
        <v>31</v>
      </c>
      <c r="B41" s="869"/>
      <c r="C41" s="870"/>
      <c r="D41" s="727" t="s">
        <v>74</v>
      </c>
      <c r="E41" s="117">
        <v>40683</v>
      </c>
      <c r="F41" s="727" t="s">
        <v>75</v>
      </c>
      <c r="G41" s="727">
        <v>10</v>
      </c>
      <c r="H41" s="854">
        <v>10</v>
      </c>
      <c r="I41" s="854">
        <v>11</v>
      </c>
      <c r="J41" s="671">
        <v>1303</v>
      </c>
      <c r="K41" s="521">
        <v>170</v>
      </c>
      <c r="L41" s="671">
        <v>2021</v>
      </c>
      <c r="M41" s="521">
        <v>248</v>
      </c>
      <c r="N41" s="671">
        <v>2365</v>
      </c>
      <c r="O41" s="521">
        <v>292</v>
      </c>
      <c r="P41" s="34">
        <f>+J41+L41+N41</f>
        <v>5689</v>
      </c>
      <c r="Q41" s="866">
        <f>+K41+M41+O41</f>
        <v>710</v>
      </c>
      <c r="R41" s="267">
        <f>IF(P41&lt;&gt;0,Q41/H41,"")</f>
        <v>71</v>
      </c>
      <c r="S41" s="360">
        <f>IF(P41&lt;&gt;0,P41/Q41,"")</f>
        <v>8.012676056338028</v>
      </c>
      <c r="T41" s="34">
        <v>1721</v>
      </c>
      <c r="U41" s="368">
        <f>IF(T41&lt;&gt;0,-(T41-P41)/T41,"")</f>
        <v>2.305636257989541</v>
      </c>
      <c r="V41" s="360">
        <f>X41-P41</f>
        <v>3645</v>
      </c>
      <c r="W41" s="267">
        <f>Y41-Q41</f>
        <v>507</v>
      </c>
      <c r="X41" s="914">
        <v>9334</v>
      </c>
      <c r="Y41" s="915">
        <v>1217</v>
      </c>
      <c r="Z41" s="368">
        <f>Q41*1/Y41</f>
        <v>0.5834018077239113</v>
      </c>
      <c r="AA41" s="368">
        <f>W41*1/Y41</f>
        <v>0.41659819227608874</v>
      </c>
      <c r="AB41" s="307">
        <f>Y41/H41</f>
        <v>121.7</v>
      </c>
      <c r="AC41" s="359">
        <f>X41/Y41</f>
        <v>7.669679539852095</v>
      </c>
      <c r="AD41" s="23">
        <v>101497</v>
      </c>
      <c r="AE41" s="503">
        <v>12310</v>
      </c>
      <c r="AF41" s="361">
        <f>AD41/AE41</f>
        <v>8.245085296506906</v>
      </c>
      <c r="AG41" s="749">
        <v>31</v>
      </c>
      <c r="AI41" s="156"/>
    </row>
    <row r="42" spans="1:35" s="94" customFormat="1" ht="9.75" customHeight="1">
      <c r="A42" s="391">
        <v>32</v>
      </c>
      <c r="B42" s="871" t="s">
        <v>86</v>
      </c>
      <c r="C42" s="870"/>
      <c r="D42" s="729" t="s">
        <v>413</v>
      </c>
      <c r="E42" s="686">
        <v>40753</v>
      </c>
      <c r="F42" s="729" t="s">
        <v>65</v>
      </c>
      <c r="G42" s="728">
        <v>3</v>
      </c>
      <c r="H42" s="728">
        <v>3</v>
      </c>
      <c r="I42" s="728">
        <v>1</v>
      </c>
      <c r="J42" s="671">
        <v>1004</v>
      </c>
      <c r="K42" s="521">
        <v>68</v>
      </c>
      <c r="L42" s="671">
        <v>2311</v>
      </c>
      <c r="M42" s="521">
        <v>156</v>
      </c>
      <c r="N42" s="671">
        <v>2065.5</v>
      </c>
      <c r="O42" s="521">
        <v>143</v>
      </c>
      <c r="P42" s="34">
        <f>+J42+L42+N42</f>
        <v>5380.5</v>
      </c>
      <c r="Q42" s="866">
        <f>+K42+M42+O42</f>
        <v>367</v>
      </c>
      <c r="R42" s="711">
        <f>+Q42/H42</f>
        <v>122.33333333333333</v>
      </c>
      <c r="S42" s="360">
        <f>IF(P42&lt;&gt;0,P42/Q42,"")</f>
        <v>14.660762942779291</v>
      </c>
      <c r="T42" s="731"/>
      <c r="U42" s="368">
        <f>IF(T42&lt;&gt;0,-(T42-P42)/T42,"")</f>
      </c>
      <c r="V42" s="360">
        <f>X42-P42</f>
        <v>3629</v>
      </c>
      <c r="W42" s="267">
        <f>Y42-Q42</f>
        <v>293</v>
      </c>
      <c r="X42" s="916">
        <v>9009.5</v>
      </c>
      <c r="Y42" s="917">
        <v>660</v>
      </c>
      <c r="Z42" s="368">
        <f>Q42*1/Y42</f>
        <v>0.556060606060606</v>
      </c>
      <c r="AA42" s="368">
        <f>W42*1/Y42</f>
        <v>0.44393939393939397</v>
      </c>
      <c r="AB42" s="307">
        <f>Y42/H42</f>
        <v>220</v>
      </c>
      <c r="AC42" s="359">
        <f>X42/Y42</f>
        <v>13.650757575757575</v>
      </c>
      <c r="AD42" s="671">
        <v>9009.5</v>
      </c>
      <c r="AE42" s="521">
        <v>660</v>
      </c>
      <c r="AF42" s="905">
        <f>+AD42/AE42</f>
        <v>13.650757575757575</v>
      </c>
      <c r="AG42" s="749">
        <v>32</v>
      </c>
      <c r="AI42" s="156"/>
    </row>
    <row r="43" spans="1:35" s="94" customFormat="1" ht="9.75" customHeight="1">
      <c r="A43" s="391">
        <v>33</v>
      </c>
      <c r="B43" s="871" t="s">
        <v>86</v>
      </c>
      <c r="C43" s="870"/>
      <c r="D43" s="725" t="s">
        <v>412</v>
      </c>
      <c r="E43" s="117">
        <v>40753</v>
      </c>
      <c r="F43" s="713" t="s">
        <v>32</v>
      </c>
      <c r="G43" s="719">
        <v>1</v>
      </c>
      <c r="H43" s="719">
        <v>1</v>
      </c>
      <c r="I43" s="719">
        <v>1</v>
      </c>
      <c r="J43" s="853">
        <v>3780.5</v>
      </c>
      <c r="K43" s="720">
        <v>198</v>
      </c>
      <c r="L43" s="853">
        <v>2887.5</v>
      </c>
      <c r="M43" s="720">
        <v>154</v>
      </c>
      <c r="N43" s="853">
        <v>704</v>
      </c>
      <c r="O43" s="720">
        <v>42</v>
      </c>
      <c r="P43" s="671">
        <f>SUM(J43+L43+N43)</f>
        <v>7372</v>
      </c>
      <c r="Q43" s="521">
        <f>SUM(K43+M43+O43)</f>
        <v>394</v>
      </c>
      <c r="R43" s="521">
        <f>Q43/H43</f>
        <v>394</v>
      </c>
      <c r="S43" s="360">
        <f>IF(P43&lt;&gt;0,P43/Q43,"")</f>
        <v>18.710659898477157</v>
      </c>
      <c r="T43" s="671">
        <v>738</v>
      </c>
      <c r="U43" s="368">
        <f>IF(T43&lt;&gt;0,-(T43-P43)/T43,"")</f>
        <v>8.989159891598916</v>
      </c>
      <c r="V43" s="360">
        <f>X43-P43</f>
        <v>1094</v>
      </c>
      <c r="W43" s="267">
        <f>Y43-Q43</f>
        <v>78</v>
      </c>
      <c r="X43" s="912">
        <v>8466</v>
      </c>
      <c r="Y43" s="913">
        <v>472</v>
      </c>
      <c r="Z43" s="368">
        <f>Q43*1/Y43</f>
        <v>0.8347457627118644</v>
      </c>
      <c r="AA43" s="368">
        <f>W43*1/Y43</f>
        <v>0.1652542372881356</v>
      </c>
      <c r="AB43" s="307">
        <f>Y43/H43</f>
        <v>472</v>
      </c>
      <c r="AC43" s="359">
        <f>X43/Y43</f>
        <v>17.9364406779661</v>
      </c>
      <c r="AD43" s="26">
        <f>8466</f>
        <v>8466</v>
      </c>
      <c r="AE43" s="27">
        <f>472</f>
        <v>472</v>
      </c>
      <c r="AF43" s="361">
        <f>AD43/AE43</f>
        <v>17.9364406779661</v>
      </c>
      <c r="AG43" s="749">
        <v>33</v>
      </c>
      <c r="AI43" s="156"/>
    </row>
    <row r="44" spans="1:35" s="94" customFormat="1" ht="9.75" customHeight="1">
      <c r="A44" s="391">
        <v>34</v>
      </c>
      <c r="B44" s="878"/>
      <c r="C44" s="870"/>
      <c r="D44" s="726" t="s">
        <v>239</v>
      </c>
      <c r="E44" s="470">
        <v>40711</v>
      </c>
      <c r="F44" s="713" t="s">
        <v>32</v>
      </c>
      <c r="G44" s="719">
        <v>35</v>
      </c>
      <c r="H44" s="719">
        <v>16</v>
      </c>
      <c r="I44" s="719">
        <v>7</v>
      </c>
      <c r="J44" s="853">
        <v>960.5</v>
      </c>
      <c r="K44" s="720">
        <v>119</v>
      </c>
      <c r="L44" s="853">
        <v>1331</v>
      </c>
      <c r="M44" s="720">
        <v>158</v>
      </c>
      <c r="N44" s="853">
        <v>1604.5</v>
      </c>
      <c r="O44" s="720">
        <v>198</v>
      </c>
      <c r="P44" s="34">
        <f>SUM(J44+L44+N44)</f>
        <v>3896</v>
      </c>
      <c r="Q44" s="866">
        <f>SUM(K44+M44+O44)</f>
        <v>475</v>
      </c>
      <c r="R44" s="711">
        <f>+Q44/H44</f>
        <v>29.6875</v>
      </c>
      <c r="S44" s="360">
        <f>+P44/Q44</f>
        <v>8.202105263157895</v>
      </c>
      <c r="T44" s="34">
        <v>1960.5</v>
      </c>
      <c r="U44" s="368">
        <f>IF(T44&lt;&gt;0,-(T44-P44)/T44,"")</f>
        <v>0.9872481509818923</v>
      </c>
      <c r="V44" s="360">
        <f>X44-P44</f>
        <v>3557.5</v>
      </c>
      <c r="W44" s="267">
        <f>Y44-Q44</f>
        <v>444</v>
      </c>
      <c r="X44" s="912">
        <v>7453.5</v>
      </c>
      <c r="Y44" s="913">
        <v>919</v>
      </c>
      <c r="Z44" s="368">
        <f>Q44*1/Y44</f>
        <v>0.5168661588683352</v>
      </c>
      <c r="AA44" s="368">
        <f>W44*1/Y44</f>
        <v>0.48313384113166485</v>
      </c>
      <c r="AB44" s="307">
        <f>Y44/H44</f>
        <v>57.4375</v>
      </c>
      <c r="AC44" s="359">
        <f>X44/Y44</f>
        <v>8.11044613710555</v>
      </c>
      <c r="AD44" s="26">
        <f>42716+18359+6954+4671+7219+4213.5+7453.5</f>
        <v>91586</v>
      </c>
      <c r="AE44" s="27">
        <f>3820+1772+995+686+1245+656+919</f>
        <v>10093</v>
      </c>
      <c r="AF44" s="905">
        <f>+AD44/AE44</f>
        <v>9.074209848409788</v>
      </c>
      <c r="AG44" s="749">
        <v>34</v>
      </c>
      <c r="AI44" s="156"/>
    </row>
    <row r="45" spans="1:33" s="94" customFormat="1" ht="9.75" customHeight="1">
      <c r="A45" s="391">
        <v>35</v>
      </c>
      <c r="B45" s="873"/>
      <c r="C45" s="870"/>
      <c r="D45" s="728" t="s">
        <v>240</v>
      </c>
      <c r="E45" s="470">
        <v>40711</v>
      </c>
      <c r="F45" s="729" t="s">
        <v>65</v>
      </c>
      <c r="G45" s="728">
        <v>10</v>
      </c>
      <c r="H45" s="728">
        <v>10</v>
      </c>
      <c r="I45" s="728">
        <v>7</v>
      </c>
      <c r="J45" s="671">
        <v>527</v>
      </c>
      <c r="K45" s="521">
        <v>69</v>
      </c>
      <c r="L45" s="671">
        <v>1457</v>
      </c>
      <c r="M45" s="521">
        <v>195</v>
      </c>
      <c r="N45" s="671">
        <v>2244.5</v>
      </c>
      <c r="O45" s="521">
        <v>295</v>
      </c>
      <c r="P45" s="34">
        <f>SUM(J45+L45+N45)</f>
        <v>4228.5</v>
      </c>
      <c r="Q45" s="866">
        <f>SUM(K45+M45+O45)</f>
        <v>559</v>
      </c>
      <c r="R45" s="267">
        <f>IF(P45&lt;&gt;0,Q45/H45,"")</f>
        <v>55.9</v>
      </c>
      <c r="S45" s="360">
        <f>+P45/Q45</f>
        <v>7.564400715563506</v>
      </c>
      <c r="T45" s="34">
        <v>3951.5</v>
      </c>
      <c r="U45" s="368">
        <f>IF(T45&lt;&gt;0,-(T45-P45)/T45,"")</f>
        <v>0.07009996203973175</v>
      </c>
      <c r="V45" s="360">
        <f>X45-P45</f>
        <v>2877.5</v>
      </c>
      <c r="W45" s="267">
        <f>Y45-Q45</f>
        <v>397</v>
      </c>
      <c r="X45" s="916">
        <v>7106</v>
      </c>
      <c r="Y45" s="917">
        <v>956</v>
      </c>
      <c r="Z45" s="368">
        <f>Q45*1/Y45</f>
        <v>0.5847280334728033</v>
      </c>
      <c r="AA45" s="368">
        <f>W45*1/Y45</f>
        <v>0.41527196652719667</v>
      </c>
      <c r="AB45" s="307">
        <f>Y45/H45</f>
        <v>95.6</v>
      </c>
      <c r="AC45" s="359">
        <f>X45/Y45</f>
        <v>7.433054393305439</v>
      </c>
      <c r="AD45" s="671">
        <v>83689</v>
      </c>
      <c r="AE45" s="521">
        <v>8797</v>
      </c>
      <c r="AF45" s="361">
        <f>AD45/AE45</f>
        <v>9.513356826190746</v>
      </c>
      <c r="AG45" s="749">
        <v>35</v>
      </c>
    </row>
    <row r="46" spans="1:33" s="94" customFormat="1" ht="9.75" customHeight="1">
      <c r="A46" s="391">
        <v>36</v>
      </c>
      <c r="B46" s="875"/>
      <c r="C46" s="879" t="s">
        <v>85</v>
      </c>
      <c r="D46" s="727" t="s">
        <v>180</v>
      </c>
      <c r="E46" s="117">
        <v>40550</v>
      </c>
      <c r="F46" s="736" t="s">
        <v>29</v>
      </c>
      <c r="G46" s="31">
        <v>243</v>
      </c>
      <c r="H46" s="31">
        <v>3</v>
      </c>
      <c r="I46" s="31">
        <v>16</v>
      </c>
      <c r="J46" s="710">
        <v>2219</v>
      </c>
      <c r="K46" s="711">
        <v>369</v>
      </c>
      <c r="L46" s="710">
        <v>2215</v>
      </c>
      <c r="M46" s="711">
        <v>369</v>
      </c>
      <c r="N46" s="710">
        <v>2270</v>
      </c>
      <c r="O46" s="711">
        <v>376</v>
      </c>
      <c r="P46" s="710">
        <f>SUM(J46+L46+N46)</f>
        <v>6704</v>
      </c>
      <c r="Q46" s="711">
        <f>SUM(K46+M46+O46)</f>
        <v>1114</v>
      </c>
      <c r="R46" s="267">
        <f>IF(P46&lt;&gt;0,Q46/H46,"")</f>
        <v>371.3333333333333</v>
      </c>
      <c r="S46" s="360">
        <f>IF(P46&lt;&gt;0,P46/Q46,"")</f>
        <v>6.017953321364453</v>
      </c>
      <c r="T46" s="710"/>
      <c r="U46" s="368">
        <f>IF(T46&lt;&gt;0,-(T46-P46)/T46,"")</f>
      </c>
      <c r="V46" s="360">
        <f>X46-P46</f>
        <v>106</v>
      </c>
      <c r="W46" s="267">
        <f>Y46-Q46</f>
        <v>13</v>
      </c>
      <c r="X46" s="922">
        <v>6810</v>
      </c>
      <c r="Y46" s="911">
        <v>1127</v>
      </c>
      <c r="Z46" s="368">
        <f>Q46*1/Y46</f>
        <v>0.9884649511978705</v>
      </c>
      <c r="AA46" s="368">
        <f>W46*1/Y46</f>
        <v>0.011535048802129548</v>
      </c>
      <c r="AB46" s="307">
        <f>Y46/H46</f>
        <v>375.6666666666667</v>
      </c>
      <c r="AC46" s="359">
        <f>X46/Y46</f>
        <v>6.042590949423247</v>
      </c>
      <c r="AD46" s="886">
        <f>3050831.5+2178855.5+1196710.5+496983-200+210922.5+72277.5+4+43197.5+17348.5+5963-21+911+2090+3211+288+13851+660+6810</f>
        <v>7300693.5</v>
      </c>
      <c r="AE46" s="29">
        <f>393137+282255+156413+64920+60+27548+10641+7089+3227+1196+161+455+643+72+2547+132+1127</f>
        <v>951623</v>
      </c>
      <c r="AF46" s="905">
        <f>+AD46/AE46</f>
        <v>7.67183380393286</v>
      </c>
      <c r="AG46" s="749">
        <v>36</v>
      </c>
    </row>
    <row r="47" spans="1:33" s="94" customFormat="1" ht="9.75" customHeight="1">
      <c r="A47" s="391">
        <v>37</v>
      </c>
      <c r="B47" s="867"/>
      <c r="C47" s="870"/>
      <c r="D47" s="725" t="s">
        <v>133</v>
      </c>
      <c r="E47" s="117">
        <v>40613</v>
      </c>
      <c r="F47" s="713" t="s">
        <v>32</v>
      </c>
      <c r="G47" s="719">
        <v>22</v>
      </c>
      <c r="H47" s="719">
        <v>4</v>
      </c>
      <c r="I47" s="719">
        <v>16</v>
      </c>
      <c r="J47" s="853">
        <v>1142</v>
      </c>
      <c r="K47" s="720">
        <v>169</v>
      </c>
      <c r="L47" s="853">
        <v>1562</v>
      </c>
      <c r="M47" s="720">
        <v>187</v>
      </c>
      <c r="N47" s="853">
        <v>1924</v>
      </c>
      <c r="O47" s="720">
        <v>225</v>
      </c>
      <c r="P47" s="671">
        <f>SUM(J47+L47+N47)</f>
        <v>4628</v>
      </c>
      <c r="Q47" s="521">
        <f>SUM(K47+M47+O47)</f>
        <v>581</v>
      </c>
      <c r="R47" s="521">
        <f>Q47/H47</f>
        <v>145.25</v>
      </c>
      <c r="S47" s="360">
        <f>IF(P47&lt;&gt;0,P47/Q47,"")</f>
        <v>7.965576592082616</v>
      </c>
      <c r="T47" s="671">
        <v>598</v>
      </c>
      <c r="U47" s="368">
        <f>IF(T47&lt;&gt;0,-(T47-P47)/T47,"")</f>
        <v>6.739130434782608</v>
      </c>
      <c r="V47" s="360">
        <f>X47-P47</f>
        <v>2170</v>
      </c>
      <c r="W47" s="267">
        <f>Y47-Q47</f>
        <v>324</v>
      </c>
      <c r="X47" s="912">
        <v>6798</v>
      </c>
      <c r="Y47" s="913">
        <v>905</v>
      </c>
      <c r="Z47" s="368">
        <f>Q47*1/Y47</f>
        <v>0.6419889502762431</v>
      </c>
      <c r="AA47" s="368">
        <f>W47*1/Y47</f>
        <v>0.3580110497237569</v>
      </c>
      <c r="AB47" s="307">
        <f>Y47/H47</f>
        <v>226.25</v>
      </c>
      <c r="AC47" s="359">
        <f>X47/Y47</f>
        <v>7.511602209944751</v>
      </c>
      <c r="AD47" s="26">
        <f>116753+45641.5+1507+3664+4533+723.5+456.5+2184+2545+520.5+610+1419+1872+2025.5+1249+6798</f>
        <v>192501.5</v>
      </c>
      <c r="AE47" s="27">
        <f>8727+3759+162+393+667+140+67+296+333+73+92+210+173+255+140+905</f>
        <v>16392</v>
      </c>
      <c r="AF47" s="361">
        <f>AD47/AE47</f>
        <v>11.743624938994632</v>
      </c>
      <c r="AG47" s="749">
        <v>37</v>
      </c>
    </row>
    <row r="48" spans="1:33" s="94" customFormat="1" ht="9.75" customHeight="1">
      <c r="A48" s="391">
        <v>38</v>
      </c>
      <c r="B48" s="878"/>
      <c r="C48" s="870"/>
      <c r="D48" s="726" t="s">
        <v>224</v>
      </c>
      <c r="E48" s="206">
        <v>40697</v>
      </c>
      <c r="F48" s="713" t="s">
        <v>32</v>
      </c>
      <c r="G48" s="719">
        <v>71</v>
      </c>
      <c r="H48" s="719">
        <v>17</v>
      </c>
      <c r="I48" s="719">
        <v>9</v>
      </c>
      <c r="J48" s="853">
        <v>1101</v>
      </c>
      <c r="K48" s="720">
        <v>181</v>
      </c>
      <c r="L48" s="853">
        <v>1088</v>
      </c>
      <c r="M48" s="720">
        <v>169</v>
      </c>
      <c r="N48" s="853">
        <v>1112</v>
      </c>
      <c r="O48" s="720">
        <v>168</v>
      </c>
      <c r="P48" s="34">
        <f>SUM(J48+L48+N48)</f>
        <v>3301</v>
      </c>
      <c r="Q48" s="866">
        <f>SUM(K48+M48+O48)</f>
        <v>518</v>
      </c>
      <c r="R48" s="267">
        <f>IF(P48&lt;&gt;0,Q48/H48,"")</f>
        <v>30.470588235294116</v>
      </c>
      <c r="S48" s="360">
        <f>IF(P48&lt;&gt;0,P48/Q48,"")</f>
        <v>6.372586872586872</v>
      </c>
      <c r="T48" s="34">
        <v>3709.5</v>
      </c>
      <c r="U48" s="368">
        <f>IF(T48&lt;&gt;0,-(T48-P48)/T48,"")</f>
        <v>-0.11012265804016713</v>
      </c>
      <c r="V48" s="360">
        <f>X48-P48</f>
        <v>3480</v>
      </c>
      <c r="W48" s="267">
        <f>Y48-Q48</f>
        <v>514</v>
      </c>
      <c r="X48" s="912">
        <v>6781</v>
      </c>
      <c r="Y48" s="913">
        <v>1032</v>
      </c>
      <c r="Z48" s="368">
        <f>Q48*1/Y48</f>
        <v>0.501937984496124</v>
      </c>
      <c r="AA48" s="368">
        <f>W48*1/Y48</f>
        <v>0.49806201550387597</v>
      </c>
      <c r="AB48" s="307">
        <f>Y48/H48</f>
        <v>60.705882352941174</v>
      </c>
      <c r="AC48" s="359">
        <f>X48/Y48</f>
        <v>6.570736434108527</v>
      </c>
      <c r="AD48" s="26">
        <f>204018.5+92011.75+38624.5+27400+22817+12697.5+8373+8455.5+6781</f>
        <v>421178.75</v>
      </c>
      <c r="AE48" s="27">
        <f>20915+10991+4900+3855+3433+1986+1329+1415+1032</f>
        <v>49856</v>
      </c>
      <c r="AF48" s="905">
        <f>+AD48/AE48</f>
        <v>8.447904966302952</v>
      </c>
      <c r="AG48" s="749">
        <v>38</v>
      </c>
    </row>
    <row r="49" spans="1:33" s="94" customFormat="1" ht="9.75" customHeight="1">
      <c r="A49" s="391">
        <v>39</v>
      </c>
      <c r="B49" s="875"/>
      <c r="C49" s="879" t="s">
        <v>85</v>
      </c>
      <c r="D49" s="727" t="s">
        <v>383</v>
      </c>
      <c r="E49" s="117">
        <v>40571</v>
      </c>
      <c r="F49" s="736" t="s">
        <v>29</v>
      </c>
      <c r="G49" s="31">
        <v>364</v>
      </c>
      <c r="H49" s="31">
        <v>2</v>
      </c>
      <c r="I49" s="31">
        <v>18</v>
      </c>
      <c r="J49" s="710">
        <v>2209</v>
      </c>
      <c r="K49" s="711">
        <v>368</v>
      </c>
      <c r="L49" s="710">
        <v>2221</v>
      </c>
      <c r="M49" s="711">
        <v>370</v>
      </c>
      <c r="N49" s="710">
        <v>2215</v>
      </c>
      <c r="O49" s="711">
        <v>369</v>
      </c>
      <c r="P49" s="710">
        <f>SUM(J49+L49+N49)</f>
        <v>6645</v>
      </c>
      <c r="Q49" s="711">
        <f>SUM(K49+M49+O49)</f>
        <v>1107</v>
      </c>
      <c r="R49" s="267">
        <f>IF(P49&lt;&gt;0,Q49/H49,"")</f>
        <v>553.5</v>
      </c>
      <c r="S49" s="360">
        <f>IF(P49&lt;&gt;0,P49/Q49,"")</f>
        <v>6.002710027100271</v>
      </c>
      <c r="T49" s="710"/>
      <c r="U49" s="368">
        <f>IF(T49&lt;&gt;0,-(T49-P49)/T49,"")</f>
      </c>
      <c r="V49" s="360">
        <f>X49-P49</f>
        <v>0</v>
      </c>
      <c r="W49" s="267">
        <f>Y49-Q49</f>
        <v>0</v>
      </c>
      <c r="X49" s="922">
        <v>6645</v>
      </c>
      <c r="Y49" s="911">
        <v>1107</v>
      </c>
      <c r="Z49" s="368">
        <f>Q49*1/Y49</f>
        <v>1</v>
      </c>
      <c r="AA49" s="368">
        <f>W49*1/Y49</f>
        <v>0</v>
      </c>
      <c r="AB49" s="307">
        <f>Y49/H49</f>
        <v>553.5</v>
      </c>
      <c r="AC49" s="359">
        <f>X49/Y49</f>
        <v>6.002710027100271</v>
      </c>
      <c r="AD49" s="889">
        <f>9270289+4217769.25+1762200.5+76.25+863944.5+635392-7+421743.5+30+17848+42283+4475+2710+9188.5+236+9382+7318+3597+3597+3597+3048+6645</f>
        <v>17285362.5</v>
      </c>
      <c r="AE49" s="29">
        <f>1060415+493112+207846+16+104665+81570-1+60457+6+2952+6890+337+594+1519+29+1560+1216+600+600+600+508+1107</f>
        <v>2026598</v>
      </c>
      <c r="AF49" s="905">
        <f>+AD49/AE49</f>
        <v>8.529250744350877</v>
      </c>
      <c r="AG49" s="749">
        <v>39</v>
      </c>
    </row>
    <row r="50" spans="1:33" s="94" customFormat="1" ht="9.75" customHeight="1">
      <c r="A50" s="391">
        <v>40</v>
      </c>
      <c r="B50" s="883"/>
      <c r="C50" s="884"/>
      <c r="D50" s="22" t="s">
        <v>418</v>
      </c>
      <c r="E50" s="2">
        <v>40760</v>
      </c>
      <c r="F50" s="713" t="s">
        <v>10</v>
      </c>
      <c r="G50" s="31">
        <v>184</v>
      </c>
      <c r="H50" s="31">
        <v>1</v>
      </c>
      <c r="I50" s="31">
        <v>0</v>
      </c>
      <c r="J50" s="710">
        <v>0</v>
      </c>
      <c r="K50" s="711">
        <v>0</v>
      </c>
      <c r="L50" s="710">
        <v>0</v>
      </c>
      <c r="M50" s="711">
        <v>0</v>
      </c>
      <c r="N50" s="710">
        <v>0</v>
      </c>
      <c r="O50" s="711">
        <v>0</v>
      </c>
      <c r="P50" s="34">
        <f>SUM(J50+L50+N50)</f>
        <v>0</v>
      </c>
      <c r="Q50" s="866">
        <f>SUM(K50+M50+O50)</f>
        <v>0</v>
      </c>
      <c r="R50" s="267"/>
      <c r="S50" s="360"/>
      <c r="T50" s="34"/>
      <c r="U50" s="368"/>
      <c r="V50" s="360">
        <f>X50-P50</f>
        <v>6272</v>
      </c>
      <c r="W50" s="267">
        <f>Y50-Q50</f>
        <v>331</v>
      </c>
      <c r="X50" s="918">
        <v>6272</v>
      </c>
      <c r="Y50" s="919">
        <v>331</v>
      </c>
      <c r="Z50" s="368">
        <f>Q50*1/Y50</f>
        <v>0</v>
      </c>
      <c r="AA50" s="368">
        <f>W50*1/Y50</f>
        <v>1</v>
      </c>
      <c r="AB50" s="307">
        <f>Y50/H50</f>
        <v>331</v>
      </c>
      <c r="AC50" s="359">
        <f>X50/Y50</f>
        <v>18.948640483383684</v>
      </c>
      <c r="AD50" s="225">
        <v>6272</v>
      </c>
      <c r="AE50" s="362">
        <v>331</v>
      </c>
      <c r="AF50" s="361">
        <f>+AD50/AE50</f>
        <v>18.948640483383684</v>
      </c>
      <c r="AG50" s="749">
        <v>40</v>
      </c>
    </row>
    <row r="51" spans="1:33" s="94" customFormat="1" ht="9.75" customHeight="1">
      <c r="A51" s="391">
        <v>41</v>
      </c>
      <c r="B51" s="869"/>
      <c r="C51" s="882"/>
      <c r="D51" s="725" t="s">
        <v>31</v>
      </c>
      <c r="E51" s="117">
        <v>40641</v>
      </c>
      <c r="F51" s="713" t="s">
        <v>32</v>
      </c>
      <c r="G51" s="719">
        <v>137</v>
      </c>
      <c r="H51" s="719">
        <v>7</v>
      </c>
      <c r="I51" s="719">
        <v>17</v>
      </c>
      <c r="J51" s="853">
        <v>757.5</v>
      </c>
      <c r="K51" s="720">
        <v>88</v>
      </c>
      <c r="L51" s="853">
        <v>1211</v>
      </c>
      <c r="M51" s="720">
        <v>124</v>
      </c>
      <c r="N51" s="853">
        <v>1641</v>
      </c>
      <c r="O51" s="720">
        <v>179</v>
      </c>
      <c r="P51" s="34">
        <f>SUM(J51+L51+N51)</f>
        <v>3609.5</v>
      </c>
      <c r="Q51" s="866">
        <f>SUM(K51+M51+O51)</f>
        <v>391</v>
      </c>
      <c r="R51" s="267">
        <f>IF(P51&lt;&gt;0,Q51/H51,"")</f>
        <v>55.857142857142854</v>
      </c>
      <c r="S51" s="360">
        <f>IF(P51&lt;&gt;0,P51/Q51,"")</f>
        <v>9.231457800511508</v>
      </c>
      <c r="T51" s="34">
        <v>2048</v>
      </c>
      <c r="U51" s="368">
        <f>IF(T51&lt;&gt;0,-(T51-P51)/T51,"")</f>
        <v>0.762451171875</v>
      </c>
      <c r="V51" s="360">
        <f>X51-P51</f>
        <v>2536</v>
      </c>
      <c r="W51" s="267">
        <f>Y51-Q51</f>
        <v>345</v>
      </c>
      <c r="X51" s="912">
        <v>6145.5</v>
      </c>
      <c r="Y51" s="913">
        <v>736</v>
      </c>
      <c r="Z51" s="368">
        <f>Q51*1/Y51</f>
        <v>0.53125</v>
      </c>
      <c r="AA51" s="368">
        <f>W51*1/Y51</f>
        <v>0.46875</v>
      </c>
      <c r="AB51" s="307">
        <f>Y51/H51</f>
        <v>105.14285714285714</v>
      </c>
      <c r="AC51" s="359">
        <f>X51/Y51</f>
        <v>8.349864130434783</v>
      </c>
      <c r="AD51" s="26">
        <f>1093950.25+883807.25+882248.49+232093.5+101981.5+57830.5+19947.5+33359.5+10973.5+10465+4630+3501.5+10659+9758.5+3633+5790+6145.5</f>
        <v>3370774.49</v>
      </c>
      <c r="AE51" s="27">
        <f>103570+88345+90215+25333+13427+8958+3731+5336+2366+2057+997+691+1831+2140+654+1021+736</f>
        <v>351408</v>
      </c>
      <c r="AF51" s="361">
        <f>AD51/AE51</f>
        <v>9.592196222055275</v>
      </c>
      <c r="AG51" s="749">
        <v>41</v>
      </c>
    </row>
    <row r="52" spans="1:33" s="94" customFormat="1" ht="9.75" customHeight="1">
      <c r="A52" s="391">
        <v>42</v>
      </c>
      <c r="B52" s="874"/>
      <c r="C52" s="879" t="s">
        <v>85</v>
      </c>
      <c r="D52" s="724" t="s">
        <v>140</v>
      </c>
      <c r="E52" s="117">
        <v>40515</v>
      </c>
      <c r="F52" s="713" t="s">
        <v>10</v>
      </c>
      <c r="G52" s="727">
        <v>337</v>
      </c>
      <c r="H52" s="22">
        <v>1</v>
      </c>
      <c r="I52" s="22">
        <v>27</v>
      </c>
      <c r="J52" s="23">
        <v>740</v>
      </c>
      <c r="K52" s="503">
        <v>185</v>
      </c>
      <c r="L52" s="23">
        <v>1260</v>
      </c>
      <c r="M52" s="503">
        <v>315</v>
      </c>
      <c r="N52" s="23">
        <v>1572</v>
      </c>
      <c r="O52" s="503">
        <v>393</v>
      </c>
      <c r="P52" s="710">
        <f>SUM(J52+L52+N52)</f>
        <v>3572</v>
      </c>
      <c r="Q52" s="711">
        <f>SUM(K52+M52+O52)</f>
        <v>893</v>
      </c>
      <c r="R52" s="267">
        <f>IF(P52&lt;&gt;0,Q52/H52,"")</f>
        <v>893</v>
      </c>
      <c r="S52" s="360">
        <f>IF(P52&lt;&gt;0,P52/Q52,"")</f>
        <v>4</v>
      </c>
      <c r="T52" s="710">
        <v>1190</v>
      </c>
      <c r="U52" s="368">
        <f>IF(T52&lt;&gt;0,-(T52-P52)/T52,"")</f>
        <v>2.0016806722689076</v>
      </c>
      <c r="V52" s="360">
        <f>X52-P52</f>
        <v>2380</v>
      </c>
      <c r="W52" s="267">
        <f>Y52-Q52</f>
        <v>595</v>
      </c>
      <c r="X52" s="918">
        <v>5952</v>
      </c>
      <c r="Y52" s="919">
        <v>1488</v>
      </c>
      <c r="Z52" s="368">
        <f>Q52*1/Y52</f>
        <v>0.6001344086021505</v>
      </c>
      <c r="AA52" s="368">
        <f>W52*1/Y52</f>
        <v>0.39986559139784944</v>
      </c>
      <c r="AB52" s="307">
        <f>Y52/H52</f>
        <v>1488</v>
      </c>
      <c r="AC52" s="359">
        <f>X52/Y52</f>
        <v>4</v>
      </c>
      <c r="AD52" s="225">
        <v>19694229</v>
      </c>
      <c r="AE52" s="362">
        <v>2109644</v>
      </c>
      <c r="AF52" s="905">
        <f>+AD52/AE52</f>
        <v>9.335332880808325</v>
      </c>
      <c r="AG52" s="749">
        <v>42</v>
      </c>
    </row>
    <row r="53" spans="1:33" s="94" customFormat="1" ht="9.75" customHeight="1">
      <c r="A53" s="391">
        <v>43</v>
      </c>
      <c r="B53" s="878"/>
      <c r="C53" s="870"/>
      <c r="D53" s="725" t="s">
        <v>46</v>
      </c>
      <c r="E53" s="117">
        <v>40655</v>
      </c>
      <c r="F53" s="713" t="s">
        <v>32</v>
      </c>
      <c r="G53" s="719">
        <v>15</v>
      </c>
      <c r="H53" s="719">
        <v>11</v>
      </c>
      <c r="I53" s="719">
        <v>15</v>
      </c>
      <c r="J53" s="853">
        <v>573</v>
      </c>
      <c r="K53" s="720">
        <v>98</v>
      </c>
      <c r="L53" s="853">
        <v>1037</v>
      </c>
      <c r="M53" s="720">
        <v>137</v>
      </c>
      <c r="N53" s="853">
        <v>1546</v>
      </c>
      <c r="O53" s="720">
        <v>206</v>
      </c>
      <c r="P53" s="34">
        <f>SUM(J53+L53+N53)</f>
        <v>3156</v>
      </c>
      <c r="Q53" s="866">
        <f>SUM(K53+M53+O53)</f>
        <v>441</v>
      </c>
      <c r="R53" s="267">
        <f>IF(P53&lt;&gt;0,Q53/H53,"")</f>
        <v>40.09090909090909</v>
      </c>
      <c r="S53" s="360">
        <f>IF(P53&lt;&gt;0,P53/Q53,"")</f>
        <v>7.156462585034014</v>
      </c>
      <c r="T53" s="34">
        <v>5934</v>
      </c>
      <c r="U53" s="368">
        <f>IF(T53&lt;&gt;0,-(T53-P53)/T53,"")</f>
        <v>-0.46814964610717896</v>
      </c>
      <c r="V53" s="360">
        <f>X53-P53</f>
        <v>2531.5</v>
      </c>
      <c r="W53" s="267">
        <f>Y53-Q53</f>
        <v>444</v>
      </c>
      <c r="X53" s="912">
        <v>5687.5</v>
      </c>
      <c r="Y53" s="913">
        <v>885</v>
      </c>
      <c r="Z53" s="368">
        <f>Q53*1/Y53</f>
        <v>0.49830508474576274</v>
      </c>
      <c r="AA53" s="368">
        <f>W53*1/Y53</f>
        <v>0.5016949152542373</v>
      </c>
      <c r="AB53" s="307">
        <f>Y53/H53</f>
        <v>80.45454545454545</v>
      </c>
      <c r="AC53" s="359">
        <f>X53/Y53</f>
        <v>6.426553672316384</v>
      </c>
      <c r="AD53" s="26">
        <f>41594+16674.5+20041.5+21789.5+6150+7886+17173.5+27384+16704.5+16122.5+8157+5086+2378+11487+5687.5</f>
        <v>224315.5</v>
      </c>
      <c r="AE53" s="27">
        <f>4913+2342+2355+2524+869+1326+2610+3337+2297+2315+1175+747+414+1699+885</f>
        <v>29808</v>
      </c>
      <c r="AF53" s="361">
        <f>AD53/AE53</f>
        <v>7.5253455448201825</v>
      </c>
      <c r="AG53" s="749">
        <v>43</v>
      </c>
    </row>
    <row r="54" spans="1:35" s="94" customFormat="1" ht="9.75" customHeight="1">
      <c r="A54" s="391">
        <v>44</v>
      </c>
      <c r="B54" s="873"/>
      <c r="C54" s="870"/>
      <c r="D54" s="726" t="s">
        <v>34</v>
      </c>
      <c r="E54" s="206">
        <v>40641</v>
      </c>
      <c r="F54" s="713" t="s">
        <v>32</v>
      </c>
      <c r="G54" s="719">
        <v>22</v>
      </c>
      <c r="H54" s="719">
        <v>8</v>
      </c>
      <c r="I54" s="719">
        <v>16</v>
      </c>
      <c r="J54" s="853">
        <v>1363</v>
      </c>
      <c r="K54" s="720">
        <v>193</v>
      </c>
      <c r="L54" s="853">
        <v>856</v>
      </c>
      <c r="M54" s="720">
        <v>112</v>
      </c>
      <c r="N54" s="853">
        <v>1273</v>
      </c>
      <c r="O54" s="720">
        <v>170</v>
      </c>
      <c r="P54" s="735">
        <f>SUM(J54+L54+N54)</f>
        <v>3492</v>
      </c>
      <c r="Q54" s="732">
        <f>SUM(K54+M54+O54)</f>
        <v>475</v>
      </c>
      <c r="R54" s="722">
        <f>IF(P54&lt;&gt;0,Q54/H54,"")</f>
        <v>59.375</v>
      </c>
      <c r="S54" s="360">
        <f>+P54/Q54</f>
        <v>7.351578947368421</v>
      </c>
      <c r="T54" s="735">
        <v>2899</v>
      </c>
      <c r="U54" s="368">
        <f>IF(T54&lt;&gt;0,-(T54-P54)/T54,"")</f>
        <v>0.2045532942393929</v>
      </c>
      <c r="V54" s="360">
        <f>X54-P54</f>
        <v>1683</v>
      </c>
      <c r="W54" s="267">
        <f>Y54-Q54</f>
        <v>229</v>
      </c>
      <c r="X54" s="912">
        <v>5175</v>
      </c>
      <c r="Y54" s="913">
        <v>704</v>
      </c>
      <c r="Z54" s="368">
        <f>Q54*1/Y54</f>
        <v>0.6747159090909091</v>
      </c>
      <c r="AA54" s="368">
        <f>W54*1/Y54</f>
        <v>0.3252840909090909</v>
      </c>
      <c r="AB54" s="307">
        <f>Y54/H54</f>
        <v>88</v>
      </c>
      <c r="AC54" s="359">
        <f>X54/Y54</f>
        <v>7.3508522727272725</v>
      </c>
      <c r="AD54" s="26">
        <f>116634.25+59106.5+23134.5+13753.5+15970+8455.5+1576+1761+10125.5+2018+2376+1505+1606+4951.5+5289.5+5175</f>
        <v>273437.75</v>
      </c>
      <c r="AE54" s="27">
        <f>8833+4531+2274+1803+2249+1097+201+284+1149+305+594+210+182+582+643+704</f>
        <v>25641</v>
      </c>
      <c r="AF54" s="905">
        <f>+AD54/AE54</f>
        <v>10.664082914082915</v>
      </c>
      <c r="AG54" s="749">
        <v>44</v>
      </c>
      <c r="AI54" s="156"/>
    </row>
    <row r="55" spans="1:33" s="94" customFormat="1" ht="9.75" customHeight="1">
      <c r="A55" s="391">
        <v>45</v>
      </c>
      <c r="B55" s="874"/>
      <c r="C55" s="876"/>
      <c r="D55" s="725" t="s">
        <v>66</v>
      </c>
      <c r="E55" s="117">
        <v>40676</v>
      </c>
      <c r="F55" s="713" t="s">
        <v>32</v>
      </c>
      <c r="G55" s="719">
        <v>10</v>
      </c>
      <c r="H55" s="719">
        <v>9</v>
      </c>
      <c r="I55" s="719">
        <v>12</v>
      </c>
      <c r="J55" s="853">
        <v>654.5</v>
      </c>
      <c r="K55" s="720">
        <v>91</v>
      </c>
      <c r="L55" s="853">
        <v>1279.5</v>
      </c>
      <c r="M55" s="720">
        <v>165</v>
      </c>
      <c r="N55" s="853">
        <v>1270.5</v>
      </c>
      <c r="O55" s="720">
        <v>162</v>
      </c>
      <c r="P55" s="714">
        <f>SUM(J55+L55+N55)</f>
        <v>3204.5</v>
      </c>
      <c r="Q55" s="572">
        <f>SUM(K55+M55+O55)</f>
        <v>418</v>
      </c>
      <c r="R55" s="307">
        <f>IF(P55&lt;&gt;0,Q55/H55,"")</f>
        <v>46.44444444444444</v>
      </c>
      <c r="S55" s="360">
        <f>IF(P55&lt;&gt;0,P55/Q55,"")</f>
        <v>7.666267942583732</v>
      </c>
      <c r="T55" s="714">
        <v>4106</v>
      </c>
      <c r="U55" s="368">
        <f>IF(T55&lt;&gt;0,-(T55-P55)/T55,"")</f>
        <v>-0.21955674622503654</v>
      </c>
      <c r="V55" s="360">
        <f>X55-P55</f>
        <v>1856</v>
      </c>
      <c r="W55" s="267">
        <f>Y55-Q55</f>
        <v>280</v>
      </c>
      <c r="X55" s="912">
        <v>5060.5</v>
      </c>
      <c r="Y55" s="913">
        <v>698</v>
      </c>
      <c r="Z55" s="368">
        <f>Q55*1/Y55</f>
        <v>0.5988538681948424</v>
      </c>
      <c r="AA55" s="368">
        <f>W55*1/Y55</f>
        <v>0.40114613180515757</v>
      </c>
      <c r="AB55" s="307">
        <f>Y55/H55</f>
        <v>77.55555555555556</v>
      </c>
      <c r="AC55" s="359">
        <f>X55/Y55</f>
        <v>7.25</v>
      </c>
      <c r="AD55" s="26">
        <f>25538+8567.5+9964.5+12234+14938.5+9476+11986.5+8134.5+5758+8917.5+7919+5060.5</f>
        <v>128494.5</v>
      </c>
      <c r="AE55" s="27">
        <f>2653+1137+1115+1743+2142+1338+1216+1069+896+1180+1242+698</f>
        <v>16429</v>
      </c>
      <c r="AF55" s="361">
        <f>AD55/AE55</f>
        <v>7.821200316513482</v>
      </c>
      <c r="AG55" s="749">
        <v>45</v>
      </c>
    </row>
    <row r="56" spans="1:33" s="94" customFormat="1" ht="9.75" customHeight="1">
      <c r="A56" s="391">
        <v>46</v>
      </c>
      <c r="B56" s="874"/>
      <c r="C56" s="870"/>
      <c r="D56" s="729" t="s">
        <v>267</v>
      </c>
      <c r="E56" s="117">
        <v>40725</v>
      </c>
      <c r="F56" s="729" t="s">
        <v>65</v>
      </c>
      <c r="G56" s="728">
        <v>3</v>
      </c>
      <c r="H56" s="728">
        <v>3</v>
      </c>
      <c r="I56" s="728">
        <v>5</v>
      </c>
      <c r="J56" s="671">
        <v>756</v>
      </c>
      <c r="K56" s="521">
        <v>66</v>
      </c>
      <c r="L56" s="671">
        <v>872.5</v>
      </c>
      <c r="M56" s="521">
        <v>80</v>
      </c>
      <c r="N56" s="671">
        <v>992</v>
      </c>
      <c r="O56" s="521">
        <v>86</v>
      </c>
      <c r="P56" s="714">
        <f>SUM(J56+L56+N56)</f>
        <v>2620.5</v>
      </c>
      <c r="Q56" s="572">
        <f>SUM(K56+M56+O56)</f>
        <v>232</v>
      </c>
      <c r="R56" s="307">
        <f>IF(P56&lt;&gt;0,Q56/H56,"")</f>
        <v>77.33333333333333</v>
      </c>
      <c r="S56" s="360">
        <f>+P56/Q56</f>
        <v>11.295258620689655</v>
      </c>
      <c r="T56" s="733">
        <v>1575</v>
      </c>
      <c r="U56" s="368">
        <f>IF(T56&lt;&gt;0,-(T56-P56)/T56,"")</f>
        <v>0.6638095238095238</v>
      </c>
      <c r="V56" s="360">
        <f>X56-P56</f>
        <v>2250.5</v>
      </c>
      <c r="W56" s="267">
        <f>Y56-Q56</f>
        <v>233</v>
      </c>
      <c r="X56" s="916">
        <v>4871</v>
      </c>
      <c r="Y56" s="917">
        <v>465</v>
      </c>
      <c r="Z56" s="368">
        <f>Q56*1/Y56</f>
        <v>0.4989247311827957</v>
      </c>
      <c r="AA56" s="368">
        <f>W56*1/Y56</f>
        <v>0.5010752688172043</v>
      </c>
      <c r="AB56" s="307">
        <f>Y56/H56</f>
        <v>155</v>
      </c>
      <c r="AC56" s="359">
        <f>X56/Y56</f>
        <v>10.4752688172043</v>
      </c>
      <c r="AD56" s="671">
        <v>30920</v>
      </c>
      <c r="AE56" s="521">
        <v>3263</v>
      </c>
      <c r="AF56" s="361">
        <f>AD56/AE56</f>
        <v>9.475942384308919</v>
      </c>
      <c r="AG56" s="749">
        <v>46</v>
      </c>
    </row>
    <row r="57" spans="1:33" s="94" customFormat="1" ht="9.75" customHeight="1">
      <c r="A57" s="391">
        <v>47</v>
      </c>
      <c r="B57" s="874"/>
      <c r="C57" s="870"/>
      <c r="D57" s="726" t="s">
        <v>223</v>
      </c>
      <c r="E57" s="206">
        <v>40697</v>
      </c>
      <c r="F57" s="713" t="s">
        <v>32</v>
      </c>
      <c r="G57" s="719">
        <v>111</v>
      </c>
      <c r="H57" s="719">
        <v>15</v>
      </c>
      <c r="I57" s="719">
        <v>9</v>
      </c>
      <c r="J57" s="853">
        <v>745.5</v>
      </c>
      <c r="K57" s="720">
        <v>106</v>
      </c>
      <c r="L57" s="853">
        <v>792</v>
      </c>
      <c r="M57" s="720">
        <v>110</v>
      </c>
      <c r="N57" s="853">
        <v>1036</v>
      </c>
      <c r="O57" s="720">
        <v>145</v>
      </c>
      <c r="P57" s="714">
        <f>SUM(J57+L57+N57)</f>
        <v>2573.5</v>
      </c>
      <c r="Q57" s="572">
        <f>SUM(K57+M57+O57)</f>
        <v>361</v>
      </c>
      <c r="R57" s="307">
        <f>IF(P57&lt;&gt;0,Q57/H57,"")</f>
        <v>24.066666666666666</v>
      </c>
      <c r="S57" s="360">
        <f>IF(P57&lt;&gt;0,P57/Q57,"")</f>
        <v>7.128808864265928</v>
      </c>
      <c r="T57" s="714">
        <v>4316.5</v>
      </c>
      <c r="U57" s="368">
        <f>IF(T57&lt;&gt;0,-(T57-P57)/T57,"")</f>
        <v>-0.4037993744932237</v>
      </c>
      <c r="V57" s="360">
        <f>X57-P57</f>
        <v>1944</v>
      </c>
      <c r="W57" s="267">
        <f>Y57-Q57</f>
        <v>292</v>
      </c>
      <c r="X57" s="912">
        <v>4517.5</v>
      </c>
      <c r="Y57" s="913">
        <v>653</v>
      </c>
      <c r="Z57" s="368">
        <f>Q57*1/Y57</f>
        <v>0.552833078101072</v>
      </c>
      <c r="AA57" s="368">
        <f>W57*1/Y57</f>
        <v>0.44716692189892804</v>
      </c>
      <c r="AB57" s="307">
        <f>Y57/H57</f>
        <v>43.53333333333333</v>
      </c>
      <c r="AC57" s="359">
        <f>X57/Y57</f>
        <v>6.918070444104135</v>
      </c>
      <c r="AD57" s="26">
        <f>1292+812789+521835.5+296398.75+210726.75+106359.5+46956.5+15908+8715+4517.5</f>
        <v>2025498.5</v>
      </c>
      <c r="AE57" s="27">
        <f>124+79271+51753+30277+22107+12041+6459+2442+1421+653</f>
        <v>206548</v>
      </c>
      <c r="AF57" s="905">
        <f>+AD57/AE57</f>
        <v>9.806429982376978</v>
      </c>
      <c r="AG57" s="749">
        <v>47</v>
      </c>
    </row>
    <row r="58" spans="1:33" s="94" customFormat="1" ht="9.75" customHeight="1">
      <c r="A58" s="391">
        <v>48</v>
      </c>
      <c r="B58" s="875"/>
      <c r="C58" s="870"/>
      <c r="D58" s="724" t="s">
        <v>62</v>
      </c>
      <c r="E58" s="117">
        <v>40676</v>
      </c>
      <c r="F58" s="713" t="s">
        <v>23</v>
      </c>
      <c r="G58" s="31">
        <v>100</v>
      </c>
      <c r="H58" s="31">
        <v>7</v>
      </c>
      <c r="I58" s="31">
        <v>12</v>
      </c>
      <c r="J58" s="710">
        <v>731</v>
      </c>
      <c r="K58" s="711">
        <v>67</v>
      </c>
      <c r="L58" s="710">
        <v>1104</v>
      </c>
      <c r="M58" s="711">
        <v>104</v>
      </c>
      <c r="N58" s="710">
        <v>951</v>
      </c>
      <c r="O58" s="711">
        <v>93</v>
      </c>
      <c r="P58" s="714">
        <f>SUM(J58+L58+N58)</f>
        <v>2786</v>
      </c>
      <c r="Q58" s="572">
        <f>SUM(K58+M58+O58)</f>
        <v>264</v>
      </c>
      <c r="R58" s="307">
        <f>IF(P58&lt;&gt;0,Q58/H58,"")</f>
        <v>37.714285714285715</v>
      </c>
      <c r="S58" s="360">
        <f>IF(P58&lt;&gt;0,P58/Q58,"")</f>
        <v>10.553030303030303</v>
      </c>
      <c r="T58" s="714">
        <v>3262</v>
      </c>
      <c r="U58" s="368">
        <f>IF(T58&lt;&gt;0,-(T58-P58)/T58,"")</f>
        <v>-0.1459227467811159</v>
      </c>
      <c r="V58" s="360">
        <f>X58-P58</f>
        <v>1488</v>
      </c>
      <c r="W58" s="267">
        <f>Y58-Q58</f>
        <v>135</v>
      </c>
      <c r="X58" s="910">
        <v>4274</v>
      </c>
      <c r="Y58" s="911">
        <v>399</v>
      </c>
      <c r="Z58" s="368">
        <f>Q58*1/Y58</f>
        <v>0.6616541353383458</v>
      </c>
      <c r="AA58" s="368">
        <f>W58*1/Y58</f>
        <v>0.3383458646616541</v>
      </c>
      <c r="AB58" s="307">
        <f>Y58/H58</f>
        <v>57</v>
      </c>
      <c r="AC58" s="359">
        <f>X58/Y58</f>
        <v>10.711779448621554</v>
      </c>
      <c r="AD58" s="28">
        <v>1169833</v>
      </c>
      <c r="AE58" s="521">
        <v>127442</v>
      </c>
      <c r="AF58" s="905">
        <f>+AD58/AE58</f>
        <v>9.179336482478304</v>
      </c>
      <c r="AG58" s="749">
        <v>48</v>
      </c>
    </row>
    <row r="59" spans="1:33" s="94" customFormat="1" ht="9.75" customHeight="1">
      <c r="A59" s="391">
        <v>49</v>
      </c>
      <c r="B59" s="893"/>
      <c r="C59" s="870"/>
      <c r="D59" s="713" t="s">
        <v>358</v>
      </c>
      <c r="E59" s="117">
        <v>40690</v>
      </c>
      <c r="F59" s="713" t="s">
        <v>32</v>
      </c>
      <c r="G59" s="719">
        <v>11</v>
      </c>
      <c r="H59" s="719">
        <v>11</v>
      </c>
      <c r="I59" s="719">
        <v>10</v>
      </c>
      <c r="J59" s="853">
        <v>626.5</v>
      </c>
      <c r="K59" s="720">
        <v>82</v>
      </c>
      <c r="L59" s="853">
        <v>926.5</v>
      </c>
      <c r="M59" s="720">
        <v>127</v>
      </c>
      <c r="N59" s="853">
        <v>1076</v>
      </c>
      <c r="O59" s="720">
        <v>149</v>
      </c>
      <c r="P59" s="714">
        <f>SUM(J59+L59+N59)</f>
        <v>2629</v>
      </c>
      <c r="Q59" s="572">
        <f>SUM(K59+M59+O59)</f>
        <v>358</v>
      </c>
      <c r="R59" s="307">
        <f>IF(P59&lt;&gt;0,Q59/H59,"")</f>
        <v>32.54545454545455</v>
      </c>
      <c r="S59" s="360">
        <f>IF(P59&lt;&gt;0,P59/Q59,"")</f>
        <v>7.343575418994414</v>
      </c>
      <c r="T59" s="714">
        <v>1167.5</v>
      </c>
      <c r="U59" s="368">
        <f>IF(T59&lt;&gt;0,-(T59-P59)/T59,"")</f>
        <v>1.2518201284796573</v>
      </c>
      <c r="V59" s="360">
        <f>X59-P59</f>
        <v>1639</v>
      </c>
      <c r="W59" s="267">
        <f>Y59-Q59</f>
        <v>254</v>
      </c>
      <c r="X59" s="912">
        <v>4268</v>
      </c>
      <c r="Y59" s="913">
        <v>612</v>
      </c>
      <c r="Z59" s="368">
        <f>Q59*1/Y59</f>
        <v>0.5849673202614379</v>
      </c>
      <c r="AA59" s="368">
        <f>W59*1/Y59</f>
        <v>0.4150326797385621</v>
      </c>
      <c r="AB59" s="307">
        <f>Y59/H59</f>
        <v>55.63636363636363</v>
      </c>
      <c r="AC59" s="359">
        <f>X59/Y59</f>
        <v>6.973856209150327</v>
      </c>
      <c r="AD59" s="26">
        <f>21135+10001+7203+6368+7720+4884+7428.5+4294.5+2616+4268</f>
        <v>75918</v>
      </c>
      <c r="AE59" s="27">
        <f>2229+1334+989+996+1479+737+886+576+402+612</f>
        <v>10240</v>
      </c>
      <c r="AF59" s="361">
        <f>AD59/AE59</f>
        <v>7.4138671875</v>
      </c>
      <c r="AG59" s="749">
        <v>49</v>
      </c>
    </row>
    <row r="60" spans="1:33" s="94" customFormat="1" ht="9.75" customHeight="1">
      <c r="A60" s="391">
        <v>50</v>
      </c>
      <c r="B60" s="874"/>
      <c r="C60" s="870"/>
      <c r="D60" s="726" t="s">
        <v>401</v>
      </c>
      <c r="E60" s="686">
        <v>40746</v>
      </c>
      <c r="F60" s="713" t="s">
        <v>32</v>
      </c>
      <c r="G60" s="719">
        <v>1</v>
      </c>
      <c r="H60" s="719">
        <v>1</v>
      </c>
      <c r="I60" s="719">
        <v>2</v>
      </c>
      <c r="J60" s="853">
        <v>602</v>
      </c>
      <c r="K60" s="720">
        <v>34</v>
      </c>
      <c r="L60" s="853">
        <v>865</v>
      </c>
      <c r="M60" s="720">
        <v>50</v>
      </c>
      <c r="N60" s="853">
        <v>858</v>
      </c>
      <c r="O60" s="720">
        <v>50</v>
      </c>
      <c r="P60" s="714">
        <f>SUM(J60+L60+N60)</f>
        <v>2325</v>
      </c>
      <c r="Q60" s="572">
        <f>SUM(K60+M60+O60)</f>
        <v>134</v>
      </c>
      <c r="R60" s="307">
        <f>IF(P60&lt;&gt;0,Q60/H60,"")</f>
        <v>134</v>
      </c>
      <c r="S60" s="360">
        <f>IF(P60&lt;&gt;0,P60/Q60,"")</f>
        <v>17.350746268656717</v>
      </c>
      <c r="T60" s="733"/>
      <c r="U60" s="368">
        <f>IF(T60&lt;&gt;0,-(T60-P60)/T60,"")</f>
      </c>
      <c r="V60" s="360">
        <f>X60-P60</f>
        <v>1286</v>
      </c>
      <c r="W60" s="267">
        <f>Y60-Q60</f>
        <v>91</v>
      </c>
      <c r="X60" s="912">
        <v>3611</v>
      </c>
      <c r="Y60" s="913">
        <v>225</v>
      </c>
      <c r="Z60" s="368">
        <f>Q60*1/Y60</f>
        <v>0.5955555555555555</v>
      </c>
      <c r="AA60" s="368">
        <f>W60*1/Y60</f>
        <v>0.40444444444444444</v>
      </c>
      <c r="AB60" s="307">
        <f>Y60/H60</f>
        <v>225</v>
      </c>
      <c r="AC60" s="359">
        <f>X60/Y60</f>
        <v>16.04888888888889</v>
      </c>
      <c r="AD60" s="26">
        <f>5298+3611</f>
        <v>8909</v>
      </c>
      <c r="AE60" s="27">
        <f>334+225</f>
        <v>559</v>
      </c>
      <c r="AF60" s="361">
        <f>+AD60/AE60</f>
        <v>15.937388193202146</v>
      </c>
      <c r="AG60" s="749">
        <v>50</v>
      </c>
    </row>
    <row r="61" spans="1:33" s="94" customFormat="1" ht="9.75" customHeight="1">
      <c r="A61" s="391">
        <v>51</v>
      </c>
      <c r="B61" s="867"/>
      <c r="C61" s="870"/>
      <c r="D61" s="724" t="s">
        <v>218</v>
      </c>
      <c r="E61" s="117">
        <v>40606</v>
      </c>
      <c r="F61" s="713" t="s">
        <v>23</v>
      </c>
      <c r="G61" s="31">
        <v>35</v>
      </c>
      <c r="H61" s="31">
        <v>2</v>
      </c>
      <c r="I61" s="31">
        <v>9</v>
      </c>
      <c r="J61" s="710">
        <v>0</v>
      </c>
      <c r="K61" s="711">
        <v>0</v>
      </c>
      <c r="L61" s="710">
        <v>174</v>
      </c>
      <c r="M61" s="711">
        <v>22</v>
      </c>
      <c r="N61" s="710">
        <v>2009</v>
      </c>
      <c r="O61" s="711">
        <v>558</v>
      </c>
      <c r="P61" s="714">
        <f>SUM(J61+L61+N61)</f>
        <v>2183</v>
      </c>
      <c r="Q61" s="572">
        <f>SUM(K61+M61+O61)</f>
        <v>580</v>
      </c>
      <c r="R61" s="307">
        <f>IF(P61&lt;&gt;0,Q61/H61,"")</f>
        <v>290</v>
      </c>
      <c r="S61" s="360">
        <f>IF(P61&lt;&gt;0,P61/Q61,"")</f>
        <v>3.763793103448276</v>
      </c>
      <c r="T61" s="714">
        <v>384</v>
      </c>
      <c r="U61" s="368">
        <f>IF(T61&lt;&gt;0,-(T61-P61)/T61,"")</f>
        <v>4.684895833333333</v>
      </c>
      <c r="V61" s="360">
        <f>X61-P61</f>
        <v>1371</v>
      </c>
      <c r="W61" s="267">
        <f>Y61-Q61</f>
        <v>157</v>
      </c>
      <c r="X61" s="910">
        <v>3554</v>
      </c>
      <c r="Y61" s="911">
        <v>737</v>
      </c>
      <c r="Z61" s="368">
        <f>Q61*1/Y61</f>
        <v>0.7869742198100407</v>
      </c>
      <c r="AA61" s="368">
        <f>W61*1/Y61</f>
        <v>0.2130257801899593</v>
      </c>
      <c r="AB61" s="307">
        <f>Y61/H61</f>
        <v>368.5</v>
      </c>
      <c r="AC61" s="359">
        <f>X61/Y61</f>
        <v>4.82225237449118</v>
      </c>
      <c r="AD61" s="28">
        <v>216940</v>
      </c>
      <c r="AE61" s="521">
        <v>21633</v>
      </c>
      <c r="AF61" s="905">
        <f>+AD61/AE61</f>
        <v>10.02819766098091</v>
      </c>
      <c r="AG61" s="749">
        <v>51</v>
      </c>
    </row>
    <row r="62" spans="1:33" s="94" customFormat="1" ht="9.75" customHeight="1">
      <c r="A62" s="391">
        <v>52</v>
      </c>
      <c r="B62" s="875"/>
      <c r="C62" s="876"/>
      <c r="D62" s="729" t="s">
        <v>390</v>
      </c>
      <c r="E62" s="686">
        <v>40739</v>
      </c>
      <c r="F62" s="729" t="s">
        <v>65</v>
      </c>
      <c r="G62" s="728">
        <v>3</v>
      </c>
      <c r="H62" s="728">
        <v>3</v>
      </c>
      <c r="I62" s="728">
        <v>3</v>
      </c>
      <c r="J62" s="671">
        <v>366</v>
      </c>
      <c r="K62" s="521">
        <v>42</v>
      </c>
      <c r="L62" s="671">
        <v>652</v>
      </c>
      <c r="M62" s="521">
        <v>76</v>
      </c>
      <c r="N62" s="671">
        <v>884</v>
      </c>
      <c r="O62" s="521">
        <v>102</v>
      </c>
      <c r="P62" s="714">
        <f>SUM(J62+L62+N62)</f>
        <v>1902</v>
      </c>
      <c r="Q62" s="572">
        <f>SUM(K62+M62+O62)</f>
        <v>220</v>
      </c>
      <c r="R62" s="307">
        <f>IF(P62&lt;&gt;0,Q62/H62,"")</f>
        <v>73.33333333333333</v>
      </c>
      <c r="S62" s="360">
        <f>IF(P62&lt;&gt;0,P62/Q62,"")</f>
        <v>8.645454545454545</v>
      </c>
      <c r="T62" s="733">
        <v>3545</v>
      </c>
      <c r="U62" s="368">
        <f>IF(T62&lt;&gt;0,-(T62-P62)/T62,"")</f>
        <v>-0.4634696755994358</v>
      </c>
      <c r="V62" s="360">
        <f>X62-P62</f>
        <v>1551</v>
      </c>
      <c r="W62" s="267">
        <f>Y62-Q62</f>
        <v>208</v>
      </c>
      <c r="X62" s="916">
        <v>3453</v>
      </c>
      <c r="Y62" s="917">
        <v>428</v>
      </c>
      <c r="Z62" s="368">
        <f>Q62*1/Y62</f>
        <v>0.514018691588785</v>
      </c>
      <c r="AA62" s="368">
        <f>W62*1/Y62</f>
        <v>0.48598130841121495</v>
      </c>
      <c r="AB62" s="307">
        <f>Y62/H62</f>
        <v>142.66666666666666</v>
      </c>
      <c r="AC62" s="359">
        <f>X62/Y62</f>
        <v>8.067757009345794</v>
      </c>
      <c r="AD62" s="671">
        <v>20136.5</v>
      </c>
      <c r="AE62" s="521">
        <v>1957</v>
      </c>
      <c r="AF62" s="361">
        <f>+AD62/AE62</f>
        <v>10.289473684210526</v>
      </c>
      <c r="AG62" s="749">
        <v>52</v>
      </c>
    </row>
    <row r="63" spans="1:33" s="94" customFormat="1" ht="9.75" customHeight="1">
      <c r="A63" s="391">
        <v>53</v>
      </c>
      <c r="B63" s="878"/>
      <c r="C63" s="870"/>
      <c r="D63" s="726" t="s">
        <v>129</v>
      </c>
      <c r="E63" s="206">
        <v>40543</v>
      </c>
      <c r="F63" s="713" t="s">
        <v>32</v>
      </c>
      <c r="G63" s="719">
        <v>99</v>
      </c>
      <c r="H63" s="719">
        <v>3</v>
      </c>
      <c r="I63" s="719">
        <v>22</v>
      </c>
      <c r="J63" s="853">
        <v>0</v>
      </c>
      <c r="K63" s="720">
        <v>0</v>
      </c>
      <c r="L63" s="853">
        <v>0</v>
      </c>
      <c r="M63" s="720">
        <v>0</v>
      </c>
      <c r="N63" s="853">
        <v>0</v>
      </c>
      <c r="O63" s="720">
        <v>0</v>
      </c>
      <c r="P63" s="714">
        <f>SUM(J63+L63+N63)</f>
        <v>0</v>
      </c>
      <c r="Q63" s="572">
        <f>SUM(K63+M63+O63)</f>
        <v>0</v>
      </c>
      <c r="R63" s="307">
        <f>IF(P63&lt;&gt;0,Q63/H63,"")</f>
      </c>
      <c r="S63" s="360">
        <f>IF(P63&lt;&gt;0,P63/Q63,"")</f>
      </c>
      <c r="T63" s="714"/>
      <c r="U63" s="368"/>
      <c r="V63" s="360">
        <f>X63-P63</f>
        <v>3340</v>
      </c>
      <c r="W63" s="267">
        <f>Y63-Q63</f>
        <v>668</v>
      </c>
      <c r="X63" s="912">
        <v>3340</v>
      </c>
      <c r="Y63" s="913">
        <v>668</v>
      </c>
      <c r="Z63" s="368">
        <f>Q63*1/Y63</f>
        <v>0</v>
      </c>
      <c r="AA63" s="368">
        <f>W63*1/Y63</f>
        <v>1</v>
      </c>
      <c r="AB63" s="307">
        <f>Y63/H63</f>
        <v>222.66666666666666</v>
      </c>
      <c r="AC63" s="359">
        <f>X63/Y63</f>
        <v>5</v>
      </c>
      <c r="AD63" s="26">
        <f>74157.5+721285.5+410076+112730.5+28262.5+6646+19483.5+940+1245+2674.5+7128+1782+331+245+6545.5+694+1782+1782+1782+1188+306+1188+3340</f>
        <v>1405594.5</v>
      </c>
      <c r="AE63" s="27">
        <f>7361+62279+35611+10987+4077+689+3901+125+178+502+1781+445+78+59+1496+114+446+446+446+297+61+297+668</f>
        <v>132344</v>
      </c>
      <c r="AF63" s="361">
        <f>+AD63/AE63</f>
        <v>10.620764825001512</v>
      </c>
      <c r="AG63" s="749">
        <v>53</v>
      </c>
    </row>
    <row r="64" spans="1:33" s="94" customFormat="1" ht="9.75" customHeight="1">
      <c r="A64" s="391">
        <v>54</v>
      </c>
      <c r="B64" s="872"/>
      <c r="C64" s="870"/>
      <c r="D64" s="727" t="s">
        <v>363</v>
      </c>
      <c r="E64" s="117">
        <v>40732</v>
      </c>
      <c r="F64" s="736" t="s">
        <v>8</v>
      </c>
      <c r="G64" s="24">
        <v>1</v>
      </c>
      <c r="H64" s="24">
        <v>1</v>
      </c>
      <c r="I64" s="24">
        <v>4</v>
      </c>
      <c r="J64" s="23">
        <v>683</v>
      </c>
      <c r="K64" s="503">
        <v>47</v>
      </c>
      <c r="L64" s="23">
        <v>707</v>
      </c>
      <c r="M64" s="503">
        <v>48</v>
      </c>
      <c r="N64" s="23">
        <v>950</v>
      </c>
      <c r="O64" s="503">
        <v>65</v>
      </c>
      <c r="P64" s="714">
        <f>+J64+L64+N64</f>
        <v>2340</v>
      </c>
      <c r="Q64" s="572">
        <f>+K64+M64+O64</f>
        <v>160</v>
      </c>
      <c r="R64" s="307">
        <f>IF(P64&lt;&gt;0,Q64/H64,"")</f>
        <v>160</v>
      </c>
      <c r="S64" s="360">
        <f>IF(P64&lt;&gt;0,P64/Q64,"")</f>
        <v>14.625</v>
      </c>
      <c r="T64" s="714">
        <v>1949</v>
      </c>
      <c r="U64" s="368">
        <f>IF(T64&lt;&gt;0,-(T64-P64)/T64,"")</f>
        <v>0.20061570035915854</v>
      </c>
      <c r="V64" s="360">
        <f>X64-P64</f>
        <v>912</v>
      </c>
      <c r="W64" s="267">
        <f>Y64-Q64</f>
        <v>72</v>
      </c>
      <c r="X64" s="914">
        <v>3252</v>
      </c>
      <c r="Y64" s="915">
        <v>232</v>
      </c>
      <c r="Z64" s="368">
        <f>Q64*1/Y64</f>
        <v>0.6896551724137931</v>
      </c>
      <c r="AA64" s="368">
        <f>W64*1/Y64</f>
        <v>0.3103448275862069</v>
      </c>
      <c r="AB64" s="307">
        <f>Y64/H64</f>
        <v>232</v>
      </c>
      <c r="AC64" s="359">
        <f>X64/Y64</f>
        <v>14.017241379310345</v>
      </c>
      <c r="AD64" s="23">
        <v>12803</v>
      </c>
      <c r="AE64" s="503">
        <v>908</v>
      </c>
      <c r="AF64" s="361">
        <f>AD64/AE64</f>
        <v>14.10022026431718</v>
      </c>
      <c r="AG64" s="749">
        <v>54</v>
      </c>
    </row>
    <row r="65" spans="1:33" s="94" customFormat="1" ht="9.75" customHeight="1">
      <c r="A65" s="391">
        <v>55</v>
      </c>
      <c r="B65" s="869"/>
      <c r="C65" s="870"/>
      <c r="D65" s="729" t="s">
        <v>73</v>
      </c>
      <c r="E65" s="686">
        <v>40683</v>
      </c>
      <c r="F65" s="729" t="s">
        <v>65</v>
      </c>
      <c r="G65" s="728">
        <v>15</v>
      </c>
      <c r="H65" s="728">
        <v>8</v>
      </c>
      <c r="I65" s="728">
        <v>11</v>
      </c>
      <c r="J65" s="671">
        <v>554</v>
      </c>
      <c r="K65" s="521">
        <v>69</v>
      </c>
      <c r="L65" s="671">
        <v>498.5</v>
      </c>
      <c r="M65" s="521">
        <v>56</v>
      </c>
      <c r="N65" s="671">
        <v>827.5</v>
      </c>
      <c r="O65" s="521">
        <v>103</v>
      </c>
      <c r="P65" s="714">
        <f>SUM(J65+L65+N65)</f>
        <v>1880</v>
      </c>
      <c r="Q65" s="572">
        <f>SUM(K65+M65+O65)</f>
        <v>228</v>
      </c>
      <c r="R65" s="307">
        <f>IF(P65&lt;&gt;0,Q65/H65,"")</f>
        <v>28.5</v>
      </c>
      <c r="S65" s="360">
        <f>+P65/Q65</f>
        <v>8.24561403508772</v>
      </c>
      <c r="T65" s="714">
        <v>1495</v>
      </c>
      <c r="U65" s="368">
        <f>IF(T65&lt;&gt;0,-(T65-P65)/T65,"")</f>
        <v>0.25752508361204013</v>
      </c>
      <c r="V65" s="360">
        <f>X65-P65</f>
        <v>1235.5</v>
      </c>
      <c r="W65" s="267">
        <f>Y65-Q65</f>
        <v>169</v>
      </c>
      <c r="X65" s="916">
        <v>3115.5</v>
      </c>
      <c r="Y65" s="917">
        <v>397</v>
      </c>
      <c r="Z65" s="368">
        <f>Q65*1/Y65</f>
        <v>0.5743073047858942</v>
      </c>
      <c r="AA65" s="368">
        <f>W65*1/Y65</f>
        <v>0.4256926952141058</v>
      </c>
      <c r="AB65" s="307">
        <f>Y65/H65</f>
        <v>49.625</v>
      </c>
      <c r="AC65" s="359">
        <f>X65/Y65</f>
        <v>7.847607052896725</v>
      </c>
      <c r="AD65" s="671">
        <v>75815.25</v>
      </c>
      <c r="AE65" s="521">
        <v>7000</v>
      </c>
      <c r="AF65" s="905">
        <f>+AD65/AE65</f>
        <v>10.83075</v>
      </c>
      <c r="AG65" s="749">
        <v>55</v>
      </c>
    </row>
    <row r="66" spans="1:33" s="94" customFormat="1" ht="9.75" customHeight="1">
      <c r="A66" s="391">
        <v>56</v>
      </c>
      <c r="B66" s="875"/>
      <c r="C66" s="879" t="s">
        <v>85</v>
      </c>
      <c r="D66" s="724" t="s">
        <v>24</v>
      </c>
      <c r="E66" s="470">
        <v>40550</v>
      </c>
      <c r="F66" s="713" t="s">
        <v>23</v>
      </c>
      <c r="G66" s="31">
        <v>356</v>
      </c>
      <c r="H66" s="31">
        <v>3</v>
      </c>
      <c r="I66" s="31">
        <v>30</v>
      </c>
      <c r="J66" s="710">
        <v>102</v>
      </c>
      <c r="K66" s="711">
        <v>18</v>
      </c>
      <c r="L66" s="710">
        <v>177</v>
      </c>
      <c r="M66" s="711">
        <v>32</v>
      </c>
      <c r="N66" s="710">
        <v>678</v>
      </c>
      <c r="O66" s="711">
        <v>89</v>
      </c>
      <c r="P66" s="714">
        <f>SUM(J66+L66+N66)</f>
        <v>957</v>
      </c>
      <c r="Q66" s="572">
        <f>SUM(K66+M66+O66)</f>
        <v>139</v>
      </c>
      <c r="R66" s="307">
        <f>IF(P66&lt;&gt;0,Q66/H66,"")</f>
        <v>46.333333333333336</v>
      </c>
      <c r="S66" s="360">
        <f>+P66/Q66</f>
        <v>6.884892086330935</v>
      </c>
      <c r="T66" s="714">
        <v>4597</v>
      </c>
      <c r="U66" s="368">
        <f>IF(T66&lt;&gt;0,-(T66-P66)/T66,"")</f>
        <v>-0.7918207526647814</v>
      </c>
      <c r="V66" s="360">
        <f>X66-P66</f>
        <v>2127</v>
      </c>
      <c r="W66" s="267">
        <f>Y66-Q66</f>
        <v>485</v>
      </c>
      <c r="X66" s="910">
        <v>3084</v>
      </c>
      <c r="Y66" s="911">
        <v>624</v>
      </c>
      <c r="Z66" s="368">
        <f>Q66*1/Y66</f>
        <v>0.22275641025641027</v>
      </c>
      <c r="AA66" s="368">
        <f>W66*1/Y66</f>
        <v>0.7772435897435898</v>
      </c>
      <c r="AB66" s="307">
        <f>Y66/H66</f>
        <v>208</v>
      </c>
      <c r="AC66" s="359">
        <f>X66/Y66</f>
        <v>4.9423076923076925</v>
      </c>
      <c r="AD66" s="28">
        <v>36629956</v>
      </c>
      <c r="AE66" s="521">
        <v>3948136</v>
      </c>
      <c r="AF66" s="905">
        <f>+AD66/AE66</f>
        <v>9.277784757161355</v>
      </c>
      <c r="AG66" s="749">
        <v>56</v>
      </c>
    </row>
    <row r="67" spans="1:33" s="94" customFormat="1" ht="9.75" customHeight="1">
      <c r="A67" s="391">
        <v>57</v>
      </c>
      <c r="B67" s="878"/>
      <c r="C67" s="870"/>
      <c r="D67" s="726" t="s">
        <v>298</v>
      </c>
      <c r="E67" s="206">
        <v>39995</v>
      </c>
      <c r="F67" s="713" t="s">
        <v>32</v>
      </c>
      <c r="G67" s="719">
        <v>209</v>
      </c>
      <c r="H67" s="719">
        <v>1</v>
      </c>
      <c r="I67" s="719">
        <v>67</v>
      </c>
      <c r="J67" s="853">
        <v>0</v>
      </c>
      <c r="K67" s="720">
        <v>0</v>
      </c>
      <c r="L67" s="853">
        <v>0</v>
      </c>
      <c r="M67" s="720">
        <v>0</v>
      </c>
      <c r="N67" s="853">
        <v>0</v>
      </c>
      <c r="O67" s="720">
        <v>0</v>
      </c>
      <c r="P67" s="714">
        <f>SUM(J67+L67+N67)</f>
        <v>0</v>
      </c>
      <c r="Q67" s="572">
        <f>SUM(K67+M67+O67)</f>
        <v>0</v>
      </c>
      <c r="R67" s="307"/>
      <c r="S67" s="359"/>
      <c r="T67" s="714"/>
      <c r="U67" s="368"/>
      <c r="V67" s="360">
        <f>X67-P67</f>
        <v>2852</v>
      </c>
      <c r="W67" s="267">
        <f>Y67-Q67</f>
        <v>713</v>
      </c>
      <c r="X67" s="912">
        <v>2852</v>
      </c>
      <c r="Y67" s="913">
        <v>713</v>
      </c>
      <c r="Z67" s="368">
        <f>Q67*1/Y67</f>
        <v>0</v>
      </c>
      <c r="AA67" s="368">
        <f>W67*1/Y67</f>
        <v>1</v>
      </c>
      <c r="AB67" s="307">
        <f>Y67/H67</f>
        <v>713</v>
      </c>
      <c r="AC67" s="359">
        <f>X67/Y67</f>
        <v>4</v>
      </c>
      <c r="AD67" s="26">
        <f>11405777.5+385+1188+6614+2968+1417+277+2612+1424+952+1780+952+364.5+1188+1188+2852</f>
        <v>11431939</v>
      </c>
      <c r="AE67" s="27">
        <f>1424397+63+297+1638+742+364+66+653+356+238+445+238+27+297+297+713</f>
        <v>1430831</v>
      </c>
      <c r="AF67" s="361">
        <f>+AD67/AE67</f>
        <v>7.989719959939364</v>
      </c>
      <c r="AG67" s="749">
        <v>57</v>
      </c>
    </row>
    <row r="68" spans="1:33" s="94" customFormat="1" ht="9.75" customHeight="1">
      <c r="A68" s="391">
        <v>58</v>
      </c>
      <c r="B68" s="878"/>
      <c r="C68" s="870"/>
      <c r="D68" s="713" t="s">
        <v>217</v>
      </c>
      <c r="E68" s="117">
        <v>40690</v>
      </c>
      <c r="F68" s="713" t="s">
        <v>10</v>
      </c>
      <c r="G68" s="22">
        <v>65</v>
      </c>
      <c r="H68" s="22">
        <v>6</v>
      </c>
      <c r="I68" s="22">
        <v>10</v>
      </c>
      <c r="J68" s="23">
        <v>301</v>
      </c>
      <c r="K68" s="503">
        <v>47</v>
      </c>
      <c r="L68" s="23">
        <v>521</v>
      </c>
      <c r="M68" s="503">
        <v>85</v>
      </c>
      <c r="N68" s="23">
        <v>571</v>
      </c>
      <c r="O68" s="503">
        <v>83</v>
      </c>
      <c r="P68" s="714">
        <f>SUM(J68+L68+N68)</f>
        <v>1393</v>
      </c>
      <c r="Q68" s="572">
        <f>SUM(K68+M68+O68)</f>
        <v>215</v>
      </c>
      <c r="R68" s="737">
        <f>+Q68/H68</f>
        <v>35.833333333333336</v>
      </c>
      <c r="S68" s="359">
        <f>IF(P68&lt;&gt;0,P68/Q68,"")</f>
        <v>6.47906976744186</v>
      </c>
      <c r="T68" s="714">
        <v>2031</v>
      </c>
      <c r="U68" s="368">
        <f>IF(T68&lt;&gt;0,-(T68-P68)/T68,"")</f>
        <v>-0.31413096996553425</v>
      </c>
      <c r="V68" s="360">
        <f>X68-P68</f>
        <v>1450</v>
      </c>
      <c r="W68" s="267">
        <f>Y68-Q68</f>
        <v>241</v>
      </c>
      <c r="X68" s="918">
        <v>2843</v>
      </c>
      <c r="Y68" s="919">
        <v>456</v>
      </c>
      <c r="Z68" s="368">
        <f>Q68*1/Y68</f>
        <v>0.47149122807017546</v>
      </c>
      <c r="AA68" s="368">
        <f>W68*1/Y68</f>
        <v>0.5285087719298246</v>
      </c>
      <c r="AB68" s="307">
        <f>Y68/H68</f>
        <v>76</v>
      </c>
      <c r="AC68" s="359">
        <f>X68/Y68</f>
        <v>6.234649122807017</v>
      </c>
      <c r="AD68" s="225">
        <v>767208</v>
      </c>
      <c r="AE68" s="362">
        <v>80521</v>
      </c>
      <c r="AF68" s="361">
        <f>AD68/AE68</f>
        <v>9.52804858359931</v>
      </c>
      <c r="AG68" s="749">
        <v>58</v>
      </c>
    </row>
    <row r="69" spans="1:33" s="94" customFormat="1" ht="9.75" customHeight="1">
      <c r="A69" s="391">
        <v>59</v>
      </c>
      <c r="B69" s="892"/>
      <c r="C69" s="879" t="s">
        <v>85</v>
      </c>
      <c r="D69" s="724" t="s">
        <v>22</v>
      </c>
      <c r="E69" s="117">
        <v>40578</v>
      </c>
      <c r="F69" s="713" t="s">
        <v>23</v>
      </c>
      <c r="G69" s="31">
        <v>224</v>
      </c>
      <c r="H69" s="31">
        <v>2</v>
      </c>
      <c r="I69" s="31">
        <v>26</v>
      </c>
      <c r="J69" s="710">
        <v>1799</v>
      </c>
      <c r="K69" s="711">
        <v>889</v>
      </c>
      <c r="L69" s="710">
        <v>60</v>
      </c>
      <c r="M69" s="711">
        <v>10</v>
      </c>
      <c r="N69" s="710">
        <v>138</v>
      </c>
      <c r="O69" s="711">
        <v>23</v>
      </c>
      <c r="P69" s="735">
        <f>SUM(J69+L69+N69)</f>
        <v>1997</v>
      </c>
      <c r="Q69" s="732">
        <f>SUM(K69+M69+O69)</f>
        <v>922</v>
      </c>
      <c r="R69" s="732">
        <f>Q69/H69</f>
        <v>461</v>
      </c>
      <c r="S69" s="359">
        <f>IF(P69&lt;&gt;0,P69/Q69,"")</f>
        <v>2.165943600867679</v>
      </c>
      <c r="T69" s="735">
        <v>7795</v>
      </c>
      <c r="U69" s="368">
        <f>IF(T69&lt;&gt;0,-(T69-P69)/T69,"")</f>
        <v>-0.7438101347017319</v>
      </c>
      <c r="V69" s="360">
        <f>X69-P69</f>
        <v>826</v>
      </c>
      <c r="W69" s="267">
        <f>Y69-Q69</f>
        <v>21</v>
      </c>
      <c r="X69" s="910">
        <v>2823</v>
      </c>
      <c r="Y69" s="911">
        <v>943</v>
      </c>
      <c r="Z69" s="368">
        <f>Q69*1/Y69</f>
        <v>0.9777306468716861</v>
      </c>
      <c r="AA69" s="368">
        <f>W69*1/Y69</f>
        <v>0.022269353128313893</v>
      </c>
      <c r="AB69" s="307">
        <f>Y69/H69</f>
        <v>471.5</v>
      </c>
      <c r="AC69" s="359">
        <f>X69/Y69</f>
        <v>2.9936373276776247</v>
      </c>
      <c r="AD69" s="28">
        <v>21872517</v>
      </c>
      <c r="AE69" s="521">
        <v>2407653</v>
      </c>
      <c r="AF69" s="361">
        <f>+AD69/AE69</f>
        <v>9.08458029458564</v>
      </c>
      <c r="AG69" s="749">
        <v>59</v>
      </c>
    </row>
    <row r="70" spans="1:33" s="94" customFormat="1" ht="9.75" customHeight="1">
      <c r="A70" s="391">
        <v>60</v>
      </c>
      <c r="B70" s="867"/>
      <c r="C70" s="876"/>
      <c r="D70" s="727" t="s">
        <v>391</v>
      </c>
      <c r="E70" s="117">
        <v>40620</v>
      </c>
      <c r="F70" s="736" t="s">
        <v>8</v>
      </c>
      <c r="G70" s="24">
        <v>51</v>
      </c>
      <c r="H70" s="24">
        <v>3</v>
      </c>
      <c r="I70" s="24">
        <v>13</v>
      </c>
      <c r="J70" s="23">
        <v>272</v>
      </c>
      <c r="K70" s="503">
        <v>46</v>
      </c>
      <c r="L70" s="23">
        <v>1337</v>
      </c>
      <c r="M70" s="503">
        <v>156</v>
      </c>
      <c r="N70" s="23">
        <v>243</v>
      </c>
      <c r="O70" s="503">
        <v>45</v>
      </c>
      <c r="P70" s="714">
        <f>SUM(J70+L70+N70)</f>
        <v>1852</v>
      </c>
      <c r="Q70" s="572">
        <f>SUM(K70+M70+O70)</f>
        <v>247</v>
      </c>
      <c r="R70" s="307">
        <f>IF(P70&lt;&gt;0,Q70/H70,"")</f>
        <v>82.33333333333333</v>
      </c>
      <c r="S70" s="359">
        <f>IF(P70&lt;&gt;0,P70/Q70,"")</f>
        <v>7.497975708502024</v>
      </c>
      <c r="T70" s="714">
        <v>643</v>
      </c>
      <c r="U70" s="368">
        <f>IF(T70&lt;&gt;0,-(T70-P70)/T70,"")</f>
        <v>1.880248833592535</v>
      </c>
      <c r="V70" s="360">
        <f>X70-P70</f>
        <v>775</v>
      </c>
      <c r="W70" s="267">
        <f>Y70-Q70</f>
        <v>141</v>
      </c>
      <c r="X70" s="914">
        <v>2627</v>
      </c>
      <c r="Y70" s="915">
        <v>388</v>
      </c>
      <c r="Z70" s="368">
        <f>Q70*1/Y70</f>
        <v>0.6365979381443299</v>
      </c>
      <c r="AA70" s="368">
        <f>W70*1/Y70</f>
        <v>0.3634020618556701</v>
      </c>
      <c r="AB70" s="307">
        <f>Y70/H70</f>
        <v>129.33333333333334</v>
      </c>
      <c r="AC70" s="359">
        <f>X70/Y70</f>
        <v>6.770618556701031</v>
      </c>
      <c r="AD70" s="23">
        <v>471066</v>
      </c>
      <c r="AE70" s="503">
        <v>47895</v>
      </c>
      <c r="AF70" s="905">
        <f>+AD70/AE70</f>
        <v>9.835389915440025</v>
      </c>
      <c r="AG70" s="749">
        <v>60</v>
      </c>
    </row>
    <row r="71" spans="1:33" s="94" customFormat="1" ht="9.75" customHeight="1">
      <c r="A71" s="391">
        <v>61</v>
      </c>
      <c r="B71" s="869"/>
      <c r="C71" s="870"/>
      <c r="D71" s="729" t="s">
        <v>400</v>
      </c>
      <c r="E71" s="686">
        <v>40746</v>
      </c>
      <c r="F71" s="729" t="s">
        <v>65</v>
      </c>
      <c r="G71" s="728">
        <v>35</v>
      </c>
      <c r="H71" s="728">
        <v>3</v>
      </c>
      <c r="I71" s="728">
        <v>2</v>
      </c>
      <c r="J71" s="671">
        <v>339</v>
      </c>
      <c r="K71" s="521">
        <v>35</v>
      </c>
      <c r="L71" s="671">
        <v>485.5</v>
      </c>
      <c r="M71" s="521">
        <v>46</v>
      </c>
      <c r="N71" s="671">
        <v>828</v>
      </c>
      <c r="O71" s="521">
        <v>72</v>
      </c>
      <c r="P71" s="714">
        <f>SUM(J71+L71+N71)</f>
        <v>1652.5</v>
      </c>
      <c r="Q71" s="572">
        <f>SUM(K71+M71+O71)</f>
        <v>153</v>
      </c>
      <c r="R71" s="732">
        <f>Q71/H71</f>
        <v>51</v>
      </c>
      <c r="S71" s="359">
        <f>+P71/Q71</f>
        <v>10.800653594771243</v>
      </c>
      <c r="T71" s="714">
        <v>3673.5</v>
      </c>
      <c r="U71" s="368">
        <f>IF(T71&lt;&gt;0,-(T71-P71)/T71,"")</f>
        <v>-0.5501565264733905</v>
      </c>
      <c r="V71" s="360">
        <f>X71-P71</f>
        <v>867.5</v>
      </c>
      <c r="W71" s="267">
        <f>Y71-Q71</f>
        <v>89</v>
      </c>
      <c r="X71" s="916">
        <v>2520</v>
      </c>
      <c r="Y71" s="917">
        <v>242</v>
      </c>
      <c r="Z71" s="368">
        <f>Q71*1/Y71</f>
        <v>0.6322314049586777</v>
      </c>
      <c r="AA71" s="368">
        <f>W71*1/Y71</f>
        <v>0.3677685950413223</v>
      </c>
      <c r="AB71" s="307">
        <f>Y71/H71</f>
        <v>80.66666666666667</v>
      </c>
      <c r="AC71" s="359">
        <f>X71/Y71</f>
        <v>10.413223140495868</v>
      </c>
      <c r="AD71" s="671">
        <v>8422.5</v>
      </c>
      <c r="AE71" s="521">
        <v>719</v>
      </c>
      <c r="AF71" s="361">
        <f>AD71/AE71</f>
        <v>11.714186369958275</v>
      </c>
      <c r="AG71" s="749">
        <v>61</v>
      </c>
    </row>
    <row r="72" spans="1:33" s="94" customFormat="1" ht="9.75" customHeight="1">
      <c r="A72" s="391">
        <v>62</v>
      </c>
      <c r="B72" s="878"/>
      <c r="C72" s="870"/>
      <c r="D72" s="729" t="s">
        <v>220</v>
      </c>
      <c r="E72" s="686">
        <v>40690</v>
      </c>
      <c r="F72" s="729" t="s">
        <v>65</v>
      </c>
      <c r="G72" s="728">
        <v>17</v>
      </c>
      <c r="H72" s="728">
        <v>9</v>
      </c>
      <c r="I72" s="728">
        <v>10</v>
      </c>
      <c r="J72" s="671">
        <v>254</v>
      </c>
      <c r="K72" s="521">
        <v>37</v>
      </c>
      <c r="L72" s="671">
        <v>464</v>
      </c>
      <c r="M72" s="521">
        <v>63</v>
      </c>
      <c r="N72" s="671">
        <v>915</v>
      </c>
      <c r="O72" s="521">
        <v>121</v>
      </c>
      <c r="P72" s="714">
        <f>SUM(J72+L72+N72)</f>
        <v>1633</v>
      </c>
      <c r="Q72" s="572">
        <f>SUM(K72+M72+O72)</f>
        <v>221</v>
      </c>
      <c r="R72" s="737">
        <f>+Q72/H72</f>
        <v>24.555555555555557</v>
      </c>
      <c r="S72" s="359">
        <f>IF(P72&lt;&gt;0,P72/Q72,"")</f>
        <v>7.389140271493213</v>
      </c>
      <c r="T72" s="714">
        <v>914</v>
      </c>
      <c r="U72" s="368">
        <f>IF(T72&lt;&gt;0,-(T72-P72)/T72,"")</f>
        <v>0.7866520787746171</v>
      </c>
      <c r="V72" s="360">
        <f>X72-P72</f>
        <v>832</v>
      </c>
      <c r="W72" s="267">
        <f>Y72-Q72</f>
        <v>125</v>
      </c>
      <c r="X72" s="916">
        <v>2465</v>
      </c>
      <c r="Y72" s="917">
        <v>346</v>
      </c>
      <c r="Z72" s="368">
        <f>Q72*1/Y72</f>
        <v>0.638728323699422</v>
      </c>
      <c r="AA72" s="368">
        <f>W72*1/Y72</f>
        <v>0.36127167630057805</v>
      </c>
      <c r="AB72" s="307">
        <f>Y72/H72</f>
        <v>38.44444444444444</v>
      </c>
      <c r="AC72" s="359">
        <f>X72/Y72</f>
        <v>7.124277456647399</v>
      </c>
      <c r="AD72" s="671">
        <v>84239.5</v>
      </c>
      <c r="AE72" s="521">
        <v>10402</v>
      </c>
      <c r="AF72" s="905">
        <f>+AD72/AE72</f>
        <v>8.098394539511633</v>
      </c>
      <c r="AG72" s="749">
        <v>62</v>
      </c>
    </row>
    <row r="73" spans="1:33" s="94" customFormat="1" ht="9.75" customHeight="1">
      <c r="A73" s="391">
        <v>63</v>
      </c>
      <c r="B73" s="883"/>
      <c r="C73" s="879" t="s">
        <v>85</v>
      </c>
      <c r="D73" s="22" t="s">
        <v>15</v>
      </c>
      <c r="E73" s="536">
        <v>40599</v>
      </c>
      <c r="F73" s="713" t="s">
        <v>10</v>
      </c>
      <c r="G73" s="31">
        <v>246</v>
      </c>
      <c r="H73" s="31">
        <v>1</v>
      </c>
      <c r="I73" s="31">
        <v>19</v>
      </c>
      <c r="J73" s="710">
        <v>0</v>
      </c>
      <c r="K73" s="711">
        <v>0</v>
      </c>
      <c r="L73" s="710">
        <v>0</v>
      </c>
      <c r="M73" s="711">
        <v>0</v>
      </c>
      <c r="N73" s="710">
        <v>0</v>
      </c>
      <c r="O73" s="711">
        <v>0</v>
      </c>
      <c r="P73" s="714">
        <f>SUM(J73+L73+N73)</f>
        <v>0</v>
      </c>
      <c r="Q73" s="572">
        <f>SUM(K73+M73+O73)</f>
        <v>0</v>
      </c>
      <c r="R73" s="307"/>
      <c r="S73" s="359"/>
      <c r="T73" s="714"/>
      <c r="U73" s="368"/>
      <c r="V73" s="360">
        <f>X73-P73</f>
        <v>2380</v>
      </c>
      <c r="W73" s="267">
        <f>Y73-Q73</f>
        <v>595</v>
      </c>
      <c r="X73" s="918">
        <v>2380</v>
      </c>
      <c r="Y73" s="919">
        <v>595</v>
      </c>
      <c r="Z73" s="368">
        <f>Q73*1/Y73</f>
        <v>0</v>
      </c>
      <c r="AA73" s="368">
        <f>W73*1/Y73</f>
        <v>1</v>
      </c>
      <c r="AB73" s="307">
        <f>Y73/H73</f>
        <v>595</v>
      </c>
      <c r="AC73" s="359">
        <f>X73/Y73</f>
        <v>4</v>
      </c>
      <c r="AD73" s="225">
        <v>7536675</v>
      </c>
      <c r="AE73" s="362">
        <v>844470</v>
      </c>
      <c r="AF73" s="361">
        <f>+AD73/AE73</f>
        <v>8.924739777611993</v>
      </c>
      <c r="AG73" s="749">
        <v>63</v>
      </c>
    </row>
    <row r="74" spans="1:33" s="94" customFormat="1" ht="9.75" customHeight="1">
      <c r="A74" s="391">
        <v>64</v>
      </c>
      <c r="B74" s="867"/>
      <c r="C74" s="870"/>
      <c r="D74" s="729" t="s">
        <v>59</v>
      </c>
      <c r="E74" s="684">
        <v>40669</v>
      </c>
      <c r="F74" s="729" t="s">
        <v>65</v>
      </c>
      <c r="G74" s="728">
        <v>10</v>
      </c>
      <c r="H74" s="728">
        <v>6</v>
      </c>
      <c r="I74" s="728">
        <v>10</v>
      </c>
      <c r="J74" s="671">
        <v>456.5</v>
      </c>
      <c r="K74" s="521">
        <v>76</v>
      </c>
      <c r="L74" s="671">
        <v>504</v>
      </c>
      <c r="M74" s="521">
        <v>76</v>
      </c>
      <c r="N74" s="671">
        <v>580</v>
      </c>
      <c r="O74" s="521">
        <v>85</v>
      </c>
      <c r="P74" s="714">
        <f>SUM(J74+L74+N74)</f>
        <v>1540.5</v>
      </c>
      <c r="Q74" s="572">
        <f>SUM(K74+M74+O74)</f>
        <v>237</v>
      </c>
      <c r="R74" s="307">
        <f>IF(P74&lt;&gt;0,Q74/H74,"")</f>
        <v>39.5</v>
      </c>
      <c r="S74" s="359">
        <f>IF(P74&lt;&gt;0,P74/Q74,"")</f>
        <v>6.5</v>
      </c>
      <c r="T74" s="733"/>
      <c r="U74" s="368">
        <f>IF(T74&lt;&gt;0,-(T74-P74)/T74,"")</f>
      </c>
      <c r="V74" s="360">
        <f>X74-P74</f>
        <v>816.5</v>
      </c>
      <c r="W74" s="267">
        <f>Y74-Q74</f>
        <v>128</v>
      </c>
      <c r="X74" s="916">
        <v>2357</v>
      </c>
      <c r="Y74" s="917">
        <v>365</v>
      </c>
      <c r="Z74" s="368">
        <f>Q74*1/Y74</f>
        <v>0.6493150684931507</v>
      </c>
      <c r="AA74" s="368">
        <f>W74*1/Y74</f>
        <v>0.3506849315068493</v>
      </c>
      <c r="AB74" s="307">
        <f>Y74/H74</f>
        <v>60.833333333333336</v>
      </c>
      <c r="AC74" s="359">
        <f>X74/Y74</f>
        <v>6.457534246575342</v>
      </c>
      <c r="AD74" s="671">
        <v>51151.25</v>
      </c>
      <c r="AE74" s="521">
        <v>4395</v>
      </c>
      <c r="AF74" s="361">
        <f>AD74/AE74</f>
        <v>11.638509670079635</v>
      </c>
      <c r="AG74" s="749">
        <v>64</v>
      </c>
    </row>
    <row r="75" spans="1:33" s="94" customFormat="1" ht="9.75" customHeight="1">
      <c r="A75" s="391">
        <v>65</v>
      </c>
      <c r="B75" s="875"/>
      <c r="C75" s="870"/>
      <c r="D75" s="729" t="s">
        <v>64</v>
      </c>
      <c r="E75" s="686">
        <v>40676</v>
      </c>
      <c r="F75" s="729" t="s">
        <v>65</v>
      </c>
      <c r="G75" s="728">
        <v>15</v>
      </c>
      <c r="H75" s="728">
        <v>6</v>
      </c>
      <c r="I75" s="728">
        <v>12</v>
      </c>
      <c r="J75" s="671">
        <v>372</v>
      </c>
      <c r="K75" s="521">
        <v>45</v>
      </c>
      <c r="L75" s="671">
        <v>607.5</v>
      </c>
      <c r="M75" s="521">
        <v>77</v>
      </c>
      <c r="N75" s="671">
        <v>421</v>
      </c>
      <c r="O75" s="521">
        <v>54</v>
      </c>
      <c r="P75" s="714">
        <f>SUM(J75+L75+N75)</f>
        <v>1400.5</v>
      </c>
      <c r="Q75" s="572">
        <f>SUM(K75+M75+O75)</f>
        <v>176</v>
      </c>
      <c r="R75" s="307">
        <f>IF(P75&lt;&gt;0,Q75/H75,"")</f>
        <v>29.333333333333332</v>
      </c>
      <c r="S75" s="359">
        <f>IF(P75&lt;&gt;0,P75/Q75,"")</f>
        <v>7.957386363636363</v>
      </c>
      <c r="T75" s="714">
        <v>1380</v>
      </c>
      <c r="U75" s="368">
        <f>IF(T75&lt;&gt;0,-(T75-P75)/T75,"")</f>
        <v>0.014855072463768116</v>
      </c>
      <c r="V75" s="360">
        <f>X75-P75</f>
        <v>890</v>
      </c>
      <c r="W75" s="267">
        <f>Y75-Q75</f>
        <v>134</v>
      </c>
      <c r="X75" s="916">
        <v>2290.5</v>
      </c>
      <c r="Y75" s="917">
        <v>310</v>
      </c>
      <c r="Z75" s="368">
        <f>Q75*1/Y75</f>
        <v>0.567741935483871</v>
      </c>
      <c r="AA75" s="368">
        <f>W75*1/Y75</f>
        <v>0.432258064516129</v>
      </c>
      <c r="AB75" s="307">
        <f>Y75/H75</f>
        <v>51.666666666666664</v>
      </c>
      <c r="AC75" s="359">
        <f>X75/Y75</f>
        <v>7.388709677419355</v>
      </c>
      <c r="AD75" s="671">
        <v>106549.25</v>
      </c>
      <c r="AE75" s="521">
        <v>9709</v>
      </c>
      <c r="AF75" s="361">
        <f>AD75/AE75</f>
        <v>10.974276444535997</v>
      </c>
      <c r="AG75" s="749">
        <v>65</v>
      </c>
    </row>
    <row r="76" spans="1:33" s="94" customFormat="1" ht="9.75" customHeight="1">
      <c r="A76" s="391">
        <v>66</v>
      </c>
      <c r="B76" s="878"/>
      <c r="C76" s="870"/>
      <c r="D76" s="726" t="s">
        <v>36</v>
      </c>
      <c r="E76" s="505">
        <v>40648</v>
      </c>
      <c r="F76" s="713" t="s">
        <v>32</v>
      </c>
      <c r="G76" s="719">
        <v>72</v>
      </c>
      <c r="H76" s="719">
        <v>4</v>
      </c>
      <c r="I76" s="719">
        <v>16</v>
      </c>
      <c r="J76" s="853">
        <v>0</v>
      </c>
      <c r="K76" s="720">
        <v>0</v>
      </c>
      <c r="L76" s="853">
        <v>0</v>
      </c>
      <c r="M76" s="720">
        <v>0</v>
      </c>
      <c r="N76" s="853">
        <v>0</v>
      </c>
      <c r="O76" s="720">
        <v>0</v>
      </c>
      <c r="P76" s="714">
        <f>SUM(J76+L76+N76)</f>
        <v>0</v>
      </c>
      <c r="Q76" s="572">
        <f>SUM(K76+M76+O76)</f>
        <v>0</v>
      </c>
      <c r="R76" s="307"/>
      <c r="S76" s="359"/>
      <c r="T76" s="714"/>
      <c r="U76" s="368"/>
      <c r="V76" s="360">
        <f>X76-P76</f>
        <v>2257</v>
      </c>
      <c r="W76" s="267">
        <f>Y76-Q76</f>
        <v>329</v>
      </c>
      <c r="X76" s="912">
        <v>2257</v>
      </c>
      <c r="Y76" s="913">
        <v>329</v>
      </c>
      <c r="Z76" s="368">
        <f>Q76*1/Y76</f>
        <v>0</v>
      </c>
      <c r="AA76" s="368">
        <f>W76*1/Y76</f>
        <v>1</v>
      </c>
      <c r="AB76" s="307">
        <f>Y76/H76</f>
        <v>82.25</v>
      </c>
      <c r="AC76" s="359">
        <f>X76/Y76</f>
        <v>6.860182370820668</v>
      </c>
      <c r="AD76" s="26">
        <f>313705+218661+94172+73484.5+60319.5+15976+18868+7512+25645.5+15093+6591+2599+2683+1937.5+1629+2257</f>
        <v>861133</v>
      </c>
      <c r="AE76" s="27">
        <f>29673+21437+10530+10169+8845+2631+2981+1155+3600+2641+1030+393+512+262+251+329</f>
        <v>96439</v>
      </c>
      <c r="AF76" s="361">
        <f>+AD76/AE76</f>
        <v>8.929302460622777</v>
      </c>
      <c r="AG76" s="749">
        <v>66</v>
      </c>
    </row>
    <row r="77" spans="1:33" s="94" customFormat="1" ht="9.75" customHeight="1">
      <c r="A77" s="391">
        <v>67</v>
      </c>
      <c r="B77" s="873"/>
      <c r="C77" s="882"/>
      <c r="D77" s="713" t="s">
        <v>188</v>
      </c>
      <c r="E77" s="117">
        <v>40571</v>
      </c>
      <c r="F77" s="713" t="s">
        <v>141</v>
      </c>
      <c r="G77" s="727">
        <v>20</v>
      </c>
      <c r="H77" s="31">
        <v>2</v>
      </c>
      <c r="I77" s="31">
        <v>11</v>
      </c>
      <c r="J77" s="738">
        <v>566</v>
      </c>
      <c r="K77" s="739">
        <v>53</v>
      </c>
      <c r="L77" s="738">
        <v>773</v>
      </c>
      <c r="M77" s="739">
        <v>72</v>
      </c>
      <c r="N77" s="738">
        <v>881</v>
      </c>
      <c r="O77" s="739">
        <v>84</v>
      </c>
      <c r="P77" s="740">
        <f>SUM(J77+L77+N77)</f>
        <v>2220</v>
      </c>
      <c r="Q77" s="737">
        <f>SUM(K77+M77+O77)</f>
        <v>209</v>
      </c>
      <c r="R77" s="307">
        <f>IF(P77&lt;&gt;0,Q77/H77,"")</f>
        <v>104.5</v>
      </c>
      <c r="S77" s="359">
        <f>+P77/Q77</f>
        <v>10.62200956937799</v>
      </c>
      <c r="T77" s="714">
        <v>1898</v>
      </c>
      <c r="U77" s="368">
        <f>IF(T77&lt;&gt;0,-(T77-P77)/T77,"")</f>
        <v>0.1696522655426765</v>
      </c>
      <c r="V77" s="360">
        <f>X77-P77</f>
        <v>0</v>
      </c>
      <c r="W77" s="267">
        <f>Y77-Q77</f>
        <v>0</v>
      </c>
      <c r="X77" s="916">
        <v>2220</v>
      </c>
      <c r="Y77" s="917">
        <v>209</v>
      </c>
      <c r="Z77" s="368">
        <f>Q77*1/Y77</f>
        <v>1</v>
      </c>
      <c r="AA77" s="368">
        <f>W77*1/Y77</f>
        <v>0</v>
      </c>
      <c r="AB77" s="307">
        <f>Y77/H77</f>
        <v>104.5</v>
      </c>
      <c r="AC77" s="359">
        <f>X77/Y77</f>
        <v>10.62200956937799</v>
      </c>
      <c r="AD77" s="855">
        <v>94854</v>
      </c>
      <c r="AE77" s="856">
        <v>7697</v>
      </c>
      <c r="AF77" s="905">
        <f>+AD77/AE77</f>
        <v>12.323502663375342</v>
      </c>
      <c r="AG77" s="749">
        <v>67</v>
      </c>
    </row>
    <row r="78" spans="1:33" s="94" customFormat="1" ht="9.75" customHeight="1">
      <c r="A78" s="391">
        <v>68</v>
      </c>
      <c r="B78" s="878"/>
      <c r="C78" s="870"/>
      <c r="D78" s="726" t="s">
        <v>131</v>
      </c>
      <c r="E78" s="206">
        <v>40606</v>
      </c>
      <c r="F78" s="713" t="s">
        <v>32</v>
      </c>
      <c r="G78" s="719">
        <v>6</v>
      </c>
      <c r="H78" s="719">
        <v>3</v>
      </c>
      <c r="I78" s="719">
        <v>18</v>
      </c>
      <c r="J78" s="853">
        <v>0</v>
      </c>
      <c r="K78" s="720">
        <v>0</v>
      </c>
      <c r="L78" s="853">
        <v>0</v>
      </c>
      <c r="M78" s="720">
        <v>0</v>
      </c>
      <c r="N78" s="853">
        <v>0</v>
      </c>
      <c r="O78" s="720">
        <v>0</v>
      </c>
      <c r="P78" s="714">
        <f>SUM(J78+L78+N78)</f>
        <v>0</v>
      </c>
      <c r="Q78" s="572">
        <f>SUM(K78+M78+O78)</f>
        <v>0</v>
      </c>
      <c r="R78" s="307"/>
      <c r="S78" s="359"/>
      <c r="T78" s="714"/>
      <c r="U78" s="368"/>
      <c r="V78" s="360">
        <f>X78-P78</f>
        <v>2206</v>
      </c>
      <c r="W78" s="267">
        <f>Y78-Q78</f>
        <v>306</v>
      </c>
      <c r="X78" s="912">
        <v>2206</v>
      </c>
      <c r="Y78" s="913">
        <v>306</v>
      </c>
      <c r="Z78" s="368">
        <f>Q78*1/Y78</f>
        <v>0</v>
      </c>
      <c r="AA78" s="368">
        <f>W78*1/Y78</f>
        <v>1</v>
      </c>
      <c r="AB78" s="307">
        <f>Y78/H78</f>
        <v>102</v>
      </c>
      <c r="AC78" s="359">
        <f>X78/Y78</f>
        <v>7.209150326797386</v>
      </c>
      <c r="AD78" s="26">
        <f>23509.5+4775.5+1638+419+8818.5+506+3133+2970+2646+2538+107+2062+2879.5+1195+1956+1584+3301+2206</f>
        <v>66244</v>
      </c>
      <c r="AE78" s="27">
        <f>1642+339+312+83+823+52+341+742+437+351+14+315+704+136+274+191+392+306</f>
        <v>7454</v>
      </c>
      <c r="AF78" s="361">
        <f>+AD78/AE78</f>
        <v>8.887040515159645</v>
      </c>
      <c r="AG78" s="749">
        <v>68</v>
      </c>
    </row>
    <row r="79" spans="1:33" s="94" customFormat="1" ht="9.75" customHeight="1">
      <c r="A79" s="391">
        <v>69</v>
      </c>
      <c r="B79" s="878"/>
      <c r="C79" s="870"/>
      <c r="D79" s="725" t="s">
        <v>76</v>
      </c>
      <c r="E79" s="117">
        <v>40683</v>
      </c>
      <c r="F79" s="713" t="s">
        <v>32</v>
      </c>
      <c r="G79" s="719">
        <v>6</v>
      </c>
      <c r="H79" s="719">
        <v>3</v>
      </c>
      <c r="I79" s="719">
        <v>11</v>
      </c>
      <c r="J79" s="853">
        <v>538</v>
      </c>
      <c r="K79" s="720">
        <v>61</v>
      </c>
      <c r="L79" s="853">
        <v>334</v>
      </c>
      <c r="M79" s="720">
        <v>39</v>
      </c>
      <c r="N79" s="853">
        <v>404</v>
      </c>
      <c r="O79" s="720">
        <v>48</v>
      </c>
      <c r="P79" s="735">
        <f>SUM(J79+L79+N79)</f>
        <v>1276</v>
      </c>
      <c r="Q79" s="732">
        <f>SUM(K79+M79+O79)</f>
        <v>148</v>
      </c>
      <c r="R79" s="734">
        <f>IF(P79&lt;&gt;0,Q79/H79,"")</f>
        <v>49.333333333333336</v>
      </c>
      <c r="S79" s="359">
        <f>IF(P79&lt;&gt;0,P79/Q79,"")</f>
        <v>8.621621621621621</v>
      </c>
      <c r="T79" s="735">
        <v>206.5</v>
      </c>
      <c r="U79" s="368">
        <f>IF(T79&lt;&gt;0,-(T79-P79)/T79,"")</f>
        <v>5.1791767554479415</v>
      </c>
      <c r="V79" s="360">
        <f>X79-P79</f>
        <v>863</v>
      </c>
      <c r="W79" s="267">
        <f>Y79-Q79</f>
        <v>119</v>
      </c>
      <c r="X79" s="912">
        <v>2139</v>
      </c>
      <c r="Y79" s="913">
        <v>267</v>
      </c>
      <c r="Z79" s="368">
        <f>Q79*1/Y79</f>
        <v>0.5543071161048689</v>
      </c>
      <c r="AA79" s="368">
        <f>W79*1/Y79</f>
        <v>0.44569288389513106</v>
      </c>
      <c r="AB79" s="307">
        <f>Y79/H79</f>
        <v>89</v>
      </c>
      <c r="AC79" s="359">
        <f>X79/Y79</f>
        <v>8.01123595505618</v>
      </c>
      <c r="AD79" s="26">
        <f>16905.5+10044+3710+2342+9911.5+7248+6024+1678+1960+374+2139</f>
        <v>62336</v>
      </c>
      <c r="AE79" s="27">
        <f>1241+811+837+224+905+1125+738+283+277+57+267</f>
        <v>6765</v>
      </c>
      <c r="AF79" s="361">
        <f>AD79/AE79</f>
        <v>9.214486326681449</v>
      </c>
      <c r="AG79" s="749">
        <v>69</v>
      </c>
    </row>
    <row r="80" spans="1:33" s="94" customFormat="1" ht="9.75" customHeight="1">
      <c r="A80" s="391">
        <v>70</v>
      </c>
      <c r="B80" s="875"/>
      <c r="C80" s="870"/>
      <c r="D80" s="729" t="s">
        <v>212</v>
      </c>
      <c r="E80" s="686">
        <v>40662</v>
      </c>
      <c r="F80" s="729" t="s">
        <v>32</v>
      </c>
      <c r="G80" s="742">
        <v>10</v>
      </c>
      <c r="H80" s="719">
        <v>4</v>
      </c>
      <c r="I80" s="719">
        <v>13</v>
      </c>
      <c r="J80" s="853">
        <v>310</v>
      </c>
      <c r="K80" s="720">
        <v>34</v>
      </c>
      <c r="L80" s="853">
        <v>416</v>
      </c>
      <c r="M80" s="720">
        <v>47</v>
      </c>
      <c r="N80" s="853">
        <v>574</v>
      </c>
      <c r="O80" s="720">
        <v>63</v>
      </c>
      <c r="P80" s="714">
        <f>+J80+L80+N80</f>
        <v>1300</v>
      </c>
      <c r="Q80" s="572">
        <f>+K80+M80+O80</f>
        <v>144</v>
      </c>
      <c r="R80" s="307">
        <f>IF(P80&lt;&gt;0,Q80/H80,"")</f>
        <v>36</v>
      </c>
      <c r="S80" s="359">
        <f>IF(P80&lt;&gt;0,P80/Q80,"")</f>
        <v>9.027777777777779</v>
      </c>
      <c r="T80" s="714">
        <v>188</v>
      </c>
      <c r="U80" s="368">
        <f>IF(T80&lt;&gt;0,-(T80-P80)/T80,"")</f>
        <v>5.914893617021277</v>
      </c>
      <c r="V80" s="360">
        <f>X80-P80</f>
        <v>816</v>
      </c>
      <c r="W80" s="267">
        <f>Y80-Q80</f>
        <v>98</v>
      </c>
      <c r="X80" s="912">
        <v>2116</v>
      </c>
      <c r="Y80" s="913">
        <v>242</v>
      </c>
      <c r="Z80" s="368">
        <f>Q80*1/Y80</f>
        <v>0.5950413223140496</v>
      </c>
      <c r="AA80" s="368">
        <f>W80*1/Y80</f>
        <v>0.4049586776859504</v>
      </c>
      <c r="AB80" s="307">
        <f>Y80/H80</f>
        <v>60.5</v>
      </c>
      <c r="AC80" s="359">
        <f>X80/Y80</f>
        <v>8.743801652892563</v>
      </c>
      <c r="AD80" s="26">
        <f>12741+4425+5437.5+2837.5+1398+7610.5+2745+1373+5773+1526+509+395+2116</f>
        <v>48886.5</v>
      </c>
      <c r="AE80" s="27">
        <f>1277+498+629+407+231+902+351+177+635+249+80+61+242</f>
        <v>5739</v>
      </c>
      <c r="AF80" s="361">
        <f>AD80/AE80</f>
        <v>8.51829587036069</v>
      </c>
      <c r="AG80" s="749">
        <v>70</v>
      </c>
    </row>
    <row r="81" spans="1:33" s="94" customFormat="1" ht="9.75" customHeight="1">
      <c r="A81" s="391">
        <v>71</v>
      </c>
      <c r="B81" s="869"/>
      <c r="C81" s="879" t="s">
        <v>85</v>
      </c>
      <c r="D81" s="726" t="s">
        <v>25</v>
      </c>
      <c r="E81" s="564">
        <v>40627</v>
      </c>
      <c r="F81" s="713" t="s">
        <v>32</v>
      </c>
      <c r="G81" s="719">
        <v>137</v>
      </c>
      <c r="H81" s="719">
        <v>4</v>
      </c>
      <c r="I81" s="719">
        <v>19</v>
      </c>
      <c r="J81" s="853">
        <v>435</v>
      </c>
      <c r="K81" s="720">
        <v>64</v>
      </c>
      <c r="L81" s="853">
        <v>440</v>
      </c>
      <c r="M81" s="720">
        <v>63</v>
      </c>
      <c r="N81" s="853">
        <v>560</v>
      </c>
      <c r="O81" s="720">
        <v>76</v>
      </c>
      <c r="P81" s="34">
        <f>SUM(J81+L81+N81)</f>
        <v>1435</v>
      </c>
      <c r="Q81" s="866">
        <f>SUM(K81+M81+O81)</f>
        <v>203</v>
      </c>
      <c r="R81" s="267">
        <f>IF(P81&lt;&gt;0,Q81/H81,"")</f>
        <v>50.75</v>
      </c>
      <c r="S81" s="359">
        <f>IF(P81&lt;&gt;0,P81/Q81,"")</f>
        <v>7.068965517241379</v>
      </c>
      <c r="T81" s="34">
        <v>912</v>
      </c>
      <c r="U81" s="368">
        <f>IF(T81&lt;&gt;0,-(T81-P81)/T81,"")</f>
        <v>0.5734649122807017</v>
      </c>
      <c r="V81" s="360">
        <f>X81-P81</f>
        <v>566</v>
      </c>
      <c r="W81" s="267">
        <f>Y81-Q81</f>
        <v>69</v>
      </c>
      <c r="X81" s="912">
        <v>2001</v>
      </c>
      <c r="Y81" s="913">
        <v>272</v>
      </c>
      <c r="Z81" s="368">
        <f>Q81*1/Y81</f>
        <v>0.7463235294117647</v>
      </c>
      <c r="AA81" s="368">
        <f>W81*1/Y81</f>
        <v>0.2536764705882353</v>
      </c>
      <c r="AB81" s="307">
        <f>Y81/H81</f>
        <v>68</v>
      </c>
      <c r="AC81" s="359">
        <f>X81/Y81</f>
        <v>7.356617647058823</v>
      </c>
      <c r="AD81" s="26">
        <f>1066061.5+1061275+813239.75+606216+468367.5+266511+137274.5+89937.5+9478+4671.5+2215.5+593.5+2273.5+2234+1858+10514.5+2603+2122+2001</f>
        <v>4549447.25</v>
      </c>
      <c r="AE81" s="27">
        <f>110278+106719+82858+62672+50883+32012+17904+13463+1427+637+352+91+261+268+240+2410+402+325+272</f>
        <v>483474</v>
      </c>
      <c r="AF81" s="361">
        <f>AD81/AE81</f>
        <v>9.409910874214539</v>
      </c>
      <c r="AG81" s="749">
        <v>71</v>
      </c>
    </row>
    <row r="82" spans="1:33" s="94" customFormat="1" ht="9.75" customHeight="1">
      <c r="A82" s="391">
        <v>72</v>
      </c>
      <c r="B82" s="878"/>
      <c r="C82" s="879" t="s">
        <v>85</v>
      </c>
      <c r="D82" s="726" t="s">
        <v>40</v>
      </c>
      <c r="E82" s="505">
        <v>40648</v>
      </c>
      <c r="F82" s="713" t="s">
        <v>32</v>
      </c>
      <c r="G82" s="719">
        <v>28</v>
      </c>
      <c r="H82" s="719">
        <v>2</v>
      </c>
      <c r="I82" s="719">
        <v>15</v>
      </c>
      <c r="J82" s="853">
        <v>0</v>
      </c>
      <c r="K82" s="720">
        <v>0</v>
      </c>
      <c r="L82" s="853">
        <v>0</v>
      </c>
      <c r="M82" s="720">
        <v>0</v>
      </c>
      <c r="N82" s="853">
        <v>0</v>
      </c>
      <c r="O82" s="720">
        <v>0</v>
      </c>
      <c r="P82" s="34">
        <f>SUM(J82+L82+N82)</f>
        <v>0</v>
      </c>
      <c r="Q82" s="866">
        <f>SUM(K82+M82+O82)</f>
        <v>0</v>
      </c>
      <c r="R82" s="267"/>
      <c r="S82" s="359"/>
      <c r="T82" s="34"/>
      <c r="U82" s="368"/>
      <c r="V82" s="360">
        <f>X82-P82</f>
        <v>1818</v>
      </c>
      <c r="W82" s="267">
        <f>Y82-Q82</f>
        <v>400</v>
      </c>
      <c r="X82" s="912">
        <v>1818</v>
      </c>
      <c r="Y82" s="913">
        <v>400</v>
      </c>
      <c r="Z82" s="368">
        <f>Q82*1/Y82</f>
        <v>0</v>
      </c>
      <c r="AA82" s="368">
        <f>W82*1/Y82</f>
        <v>1</v>
      </c>
      <c r="AB82" s="307">
        <f>Y82/H82</f>
        <v>200</v>
      </c>
      <c r="AC82" s="359">
        <f>X82/Y82</f>
        <v>4.545</v>
      </c>
      <c r="AD82" s="26">
        <f>67573+47761.5+14206.5+4949+3617+1080.5+492+714+1413.5+3743.5+735+1502.5+825+1147+1818</f>
        <v>151578</v>
      </c>
      <c r="AE82" s="27">
        <f>6695+4901+2068+559+504+215+178+122+205+836+119+235+131+174+400</f>
        <v>17342</v>
      </c>
      <c r="AF82" s="361">
        <f>+AD82/AE82</f>
        <v>8.740514358205512</v>
      </c>
      <c r="AG82" s="749">
        <v>72</v>
      </c>
    </row>
    <row r="83" spans="1:33" s="94" customFormat="1" ht="9.75" customHeight="1">
      <c r="A83" s="391">
        <v>73</v>
      </c>
      <c r="B83" s="874"/>
      <c r="C83" s="879" t="s">
        <v>85</v>
      </c>
      <c r="D83" s="713" t="s">
        <v>226</v>
      </c>
      <c r="E83" s="117">
        <v>40697</v>
      </c>
      <c r="F83" s="713" t="s">
        <v>47</v>
      </c>
      <c r="G83" s="22">
        <v>49</v>
      </c>
      <c r="H83" s="22">
        <v>1</v>
      </c>
      <c r="I83" s="22">
        <v>7</v>
      </c>
      <c r="J83" s="23">
        <v>0</v>
      </c>
      <c r="K83" s="503">
        <v>0</v>
      </c>
      <c r="L83" s="23">
        <v>0</v>
      </c>
      <c r="M83" s="503">
        <v>0</v>
      </c>
      <c r="N83" s="23">
        <v>0</v>
      </c>
      <c r="O83" s="503">
        <v>0</v>
      </c>
      <c r="P83" s="671">
        <f>SUM(J83+L83+N83)</f>
        <v>0</v>
      </c>
      <c r="Q83" s="521">
        <f>SUM(K83+M83+O83)</f>
        <v>0</v>
      </c>
      <c r="R83" s="521"/>
      <c r="S83" s="359">
        <f>IF(P83&lt;&gt;0,P83/Q83,"")</f>
      </c>
      <c r="T83" s="671"/>
      <c r="U83" s="368"/>
      <c r="V83" s="360">
        <f>X83-P83</f>
        <v>1785</v>
      </c>
      <c r="W83" s="267">
        <f>Y83-Q83</f>
        <v>352</v>
      </c>
      <c r="X83" s="910">
        <v>1785</v>
      </c>
      <c r="Y83" s="911">
        <v>352</v>
      </c>
      <c r="Z83" s="368">
        <f>Q83*1/Y83</f>
        <v>0</v>
      </c>
      <c r="AA83" s="368">
        <f>W83*1/Y83</f>
        <v>1</v>
      </c>
      <c r="AB83" s="307">
        <f>Y83/H83</f>
        <v>352</v>
      </c>
      <c r="AC83" s="359">
        <f>X83/Y83</f>
        <v>5.0710227272727275</v>
      </c>
      <c r="AD83" s="28">
        <v>63967</v>
      </c>
      <c r="AE83" s="29">
        <v>8542</v>
      </c>
      <c r="AF83" s="905">
        <f>+AD83/AE83</f>
        <v>7.488527276984313</v>
      </c>
      <c r="AG83" s="749">
        <v>73</v>
      </c>
    </row>
    <row r="84" spans="1:33" s="94" customFormat="1" ht="9.75" customHeight="1">
      <c r="A84" s="391">
        <v>74</v>
      </c>
      <c r="B84" s="869"/>
      <c r="C84" s="870"/>
      <c r="D84" s="713" t="s">
        <v>235</v>
      </c>
      <c r="E84" s="470">
        <v>40704</v>
      </c>
      <c r="F84" s="736" t="s">
        <v>29</v>
      </c>
      <c r="G84" s="31">
        <v>25</v>
      </c>
      <c r="H84" s="31">
        <v>7</v>
      </c>
      <c r="I84" s="31">
        <v>8</v>
      </c>
      <c r="J84" s="710">
        <v>366</v>
      </c>
      <c r="K84" s="711">
        <v>62</v>
      </c>
      <c r="L84" s="710">
        <v>338.5</v>
      </c>
      <c r="M84" s="711">
        <v>55</v>
      </c>
      <c r="N84" s="710">
        <v>307</v>
      </c>
      <c r="O84" s="711">
        <v>47</v>
      </c>
      <c r="P84" s="710">
        <f>J84+L84+N84</f>
        <v>1011.5</v>
      </c>
      <c r="Q84" s="711">
        <f>K84+M84+O84</f>
        <v>164</v>
      </c>
      <c r="R84" s="267">
        <f>IF(P84&lt;&gt;0,Q84/H84,"")</f>
        <v>23.428571428571427</v>
      </c>
      <c r="S84" s="359">
        <f>IF(P84&lt;&gt;0,P84/Q84,"")</f>
        <v>6.1676829268292686</v>
      </c>
      <c r="T84" s="710">
        <v>1029</v>
      </c>
      <c r="U84" s="368">
        <f>IF(T84&lt;&gt;0,-(T84-P84)/T84,"")</f>
        <v>-0.017006802721088437</v>
      </c>
      <c r="V84" s="360">
        <f>X84-P84</f>
        <v>754.5</v>
      </c>
      <c r="W84" s="267">
        <f>Y84-Q84</f>
        <v>120</v>
      </c>
      <c r="X84" s="922">
        <v>1766</v>
      </c>
      <c r="Y84" s="911">
        <v>284</v>
      </c>
      <c r="Z84" s="368">
        <f>Q84*1/Y84</f>
        <v>0.5774647887323944</v>
      </c>
      <c r="AA84" s="368">
        <f>W84*1/Y84</f>
        <v>0.4225352112676056</v>
      </c>
      <c r="AB84" s="307">
        <f>Y84/H84</f>
        <v>40.57142857142857</v>
      </c>
      <c r="AC84" s="359">
        <f>X84/Y84</f>
        <v>6.21830985915493</v>
      </c>
      <c r="AD84" s="886">
        <f>43219+22056.5+14006+11048+8484+3910+2043+1766</f>
        <v>106532.5</v>
      </c>
      <c r="AE84" s="29">
        <f>5354+2999+1948+1502+1234+633+338+284</f>
        <v>14292</v>
      </c>
      <c r="AF84" s="905">
        <f>+AD84/AE84</f>
        <v>7.4539952420934785</v>
      </c>
      <c r="AG84" s="749">
        <v>74</v>
      </c>
    </row>
    <row r="85" spans="1:33" s="94" customFormat="1" ht="9.75" customHeight="1">
      <c r="A85" s="391">
        <v>75</v>
      </c>
      <c r="B85" s="883"/>
      <c r="C85" s="884"/>
      <c r="D85" s="728" t="s">
        <v>356</v>
      </c>
      <c r="E85" s="907">
        <v>40508</v>
      </c>
      <c r="F85" s="713" t="s">
        <v>23</v>
      </c>
      <c r="G85" s="31">
        <v>11</v>
      </c>
      <c r="H85" s="31">
        <v>1</v>
      </c>
      <c r="I85" s="31">
        <v>37</v>
      </c>
      <c r="J85" s="710">
        <v>0</v>
      </c>
      <c r="K85" s="711">
        <v>0</v>
      </c>
      <c r="L85" s="710">
        <v>0</v>
      </c>
      <c r="M85" s="711">
        <v>0</v>
      </c>
      <c r="N85" s="710">
        <v>0</v>
      </c>
      <c r="O85" s="711">
        <v>0</v>
      </c>
      <c r="P85" s="34">
        <f>SUM(J85+L85+N85)</f>
        <v>0</v>
      </c>
      <c r="Q85" s="866">
        <f>SUM(K85+M85+O85)</f>
        <v>0</v>
      </c>
      <c r="R85" s="267">
        <f>IF(P85&lt;&gt;0,Q85/H85,"")</f>
      </c>
      <c r="S85" s="359">
        <f>IF(P85&lt;&gt;0,P85/Q85,"")</f>
      </c>
      <c r="T85" s="34"/>
      <c r="U85" s="368"/>
      <c r="V85" s="360">
        <f>X85-P85</f>
        <v>1750</v>
      </c>
      <c r="W85" s="267">
        <f>Y85-Q85</f>
        <v>525</v>
      </c>
      <c r="X85" s="910">
        <v>1750</v>
      </c>
      <c r="Y85" s="911">
        <v>525</v>
      </c>
      <c r="Z85" s="368">
        <f>Q85*1/Y85</f>
        <v>0</v>
      </c>
      <c r="AA85" s="368">
        <f>W85*1/Y85</f>
        <v>1</v>
      </c>
      <c r="AB85" s="307">
        <f>Y85/H85</f>
        <v>525</v>
      </c>
      <c r="AC85" s="359">
        <f>X85/Y85</f>
        <v>3.3333333333333335</v>
      </c>
      <c r="AD85" s="28">
        <v>110667</v>
      </c>
      <c r="AE85" s="521">
        <v>9527</v>
      </c>
      <c r="AF85" s="361">
        <f>+AD85/AE85</f>
        <v>11.616143591896714</v>
      </c>
      <c r="AG85" s="749">
        <v>75</v>
      </c>
    </row>
    <row r="86" spans="1:33" s="94" customFormat="1" ht="9.75" customHeight="1">
      <c r="A86" s="391">
        <v>76</v>
      </c>
      <c r="B86" s="874"/>
      <c r="C86" s="879" t="s">
        <v>85</v>
      </c>
      <c r="D86" s="713" t="s">
        <v>60</v>
      </c>
      <c r="E86" s="117">
        <v>40669</v>
      </c>
      <c r="F86" s="713" t="s">
        <v>21</v>
      </c>
      <c r="G86" s="22">
        <v>9</v>
      </c>
      <c r="H86" s="22">
        <v>3</v>
      </c>
      <c r="I86" s="22">
        <v>13</v>
      </c>
      <c r="J86" s="23">
        <v>177</v>
      </c>
      <c r="K86" s="503">
        <v>20</v>
      </c>
      <c r="L86" s="23">
        <v>414</v>
      </c>
      <c r="M86" s="503">
        <v>44</v>
      </c>
      <c r="N86" s="23">
        <v>637</v>
      </c>
      <c r="O86" s="503">
        <v>68</v>
      </c>
      <c r="P86" s="34">
        <f>+J86+L86+N86</f>
        <v>1228</v>
      </c>
      <c r="Q86" s="866">
        <f>+K86+M86+O86</f>
        <v>132</v>
      </c>
      <c r="R86" s="711">
        <f>+Q86/H86</f>
        <v>44</v>
      </c>
      <c r="S86" s="359">
        <f>IF(P86&lt;&gt;0,P86/Q86,"")</f>
        <v>9.303030303030303</v>
      </c>
      <c r="T86" s="34">
        <v>24</v>
      </c>
      <c r="U86" s="368">
        <f>IF(T86&lt;&gt;0,-(T86-P86)/T86,"")</f>
        <v>50.166666666666664</v>
      </c>
      <c r="V86" s="360">
        <f>X86-P86</f>
        <v>453</v>
      </c>
      <c r="W86" s="267">
        <f>Y86-Q86</f>
        <v>57</v>
      </c>
      <c r="X86" s="920">
        <v>1681</v>
      </c>
      <c r="Y86" s="921">
        <v>189</v>
      </c>
      <c r="Z86" s="368">
        <f>Q86*1/Y86</f>
        <v>0.6984126984126984</v>
      </c>
      <c r="AA86" s="368">
        <f>W86*1/Y86</f>
        <v>0.30158730158730157</v>
      </c>
      <c r="AB86" s="307">
        <f>Y86/H86</f>
        <v>63</v>
      </c>
      <c r="AC86" s="359">
        <f>X86/Y86</f>
        <v>8.894179894179894</v>
      </c>
      <c r="AD86" s="34">
        <f>10611.5+6246+3879+1660+2650+3829+1318+645+1041+24+977.5+84+1681</f>
        <v>34646</v>
      </c>
      <c r="AE86" s="29">
        <f>1405+909+512+224+387+611+221+87+151+4+128+14+189</f>
        <v>4842</v>
      </c>
      <c r="AF86" s="361">
        <f>AD86/AE86</f>
        <v>7.155307724080958</v>
      </c>
      <c r="AG86" s="749">
        <v>76</v>
      </c>
    </row>
    <row r="87" spans="1:33" s="94" customFormat="1" ht="9.75" customHeight="1">
      <c r="A87" s="391">
        <v>77</v>
      </c>
      <c r="B87" s="875"/>
      <c r="C87" s="870"/>
      <c r="D87" s="724" t="s">
        <v>54</v>
      </c>
      <c r="E87" s="117">
        <v>40662</v>
      </c>
      <c r="F87" s="713" t="s">
        <v>23</v>
      </c>
      <c r="G87" s="31">
        <v>172</v>
      </c>
      <c r="H87" s="31">
        <v>1</v>
      </c>
      <c r="I87" s="31">
        <v>14</v>
      </c>
      <c r="J87" s="710">
        <v>50</v>
      </c>
      <c r="K87" s="711">
        <v>10</v>
      </c>
      <c r="L87" s="710">
        <v>79</v>
      </c>
      <c r="M87" s="711">
        <v>15</v>
      </c>
      <c r="N87" s="710">
        <v>65</v>
      </c>
      <c r="O87" s="711">
        <v>12</v>
      </c>
      <c r="P87" s="34">
        <f>SUM(J87+L87+N87)</f>
        <v>194</v>
      </c>
      <c r="Q87" s="866">
        <f>SUM(K87+M87+O87)</f>
        <v>37</v>
      </c>
      <c r="R87" s="267">
        <f>IF(P87&lt;&gt;0,Q87/H87,"")</f>
        <v>37</v>
      </c>
      <c r="S87" s="359">
        <f>IF(P87&lt;&gt;0,P87/Q87,"")</f>
        <v>5.243243243243243</v>
      </c>
      <c r="T87" s="34">
        <v>213</v>
      </c>
      <c r="U87" s="368">
        <f>IF(T87&lt;&gt;0,-(T87-P87)/T87,"")</f>
        <v>-0.0892018779342723</v>
      </c>
      <c r="V87" s="360">
        <f>X87-P87</f>
        <v>1270</v>
      </c>
      <c r="W87" s="267">
        <f>Y87-Q87</f>
        <v>363</v>
      </c>
      <c r="X87" s="910">
        <v>1464</v>
      </c>
      <c r="Y87" s="911">
        <v>400</v>
      </c>
      <c r="Z87" s="368">
        <f>Q87*1/Y87</f>
        <v>0.0925</v>
      </c>
      <c r="AA87" s="368">
        <f>W87*1/Y87</f>
        <v>0.9075</v>
      </c>
      <c r="AB87" s="307">
        <f>Y87/H87</f>
        <v>400</v>
      </c>
      <c r="AC87" s="359">
        <f>X87/Y87</f>
        <v>3.66</v>
      </c>
      <c r="AD87" s="28">
        <v>6028921</v>
      </c>
      <c r="AE87" s="521">
        <v>664138</v>
      </c>
      <c r="AF87" s="361">
        <f>AD87/AE87</f>
        <v>9.077813647163692</v>
      </c>
      <c r="AG87" s="749">
        <v>77</v>
      </c>
    </row>
    <row r="88" spans="1:33" s="94" customFormat="1" ht="9.75" customHeight="1">
      <c r="A88" s="391">
        <v>78</v>
      </c>
      <c r="B88" s="880"/>
      <c r="C88" s="870"/>
      <c r="D88" s="713" t="s">
        <v>71</v>
      </c>
      <c r="E88" s="117">
        <v>40682</v>
      </c>
      <c r="F88" s="713" t="s">
        <v>21</v>
      </c>
      <c r="G88" s="22">
        <v>45</v>
      </c>
      <c r="H88" s="22">
        <v>5</v>
      </c>
      <c r="I88" s="22">
        <v>11</v>
      </c>
      <c r="J88" s="23">
        <v>166</v>
      </c>
      <c r="K88" s="503">
        <v>22</v>
      </c>
      <c r="L88" s="23">
        <v>404</v>
      </c>
      <c r="M88" s="503">
        <v>54</v>
      </c>
      <c r="N88" s="23">
        <v>216</v>
      </c>
      <c r="O88" s="503">
        <v>27</v>
      </c>
      <c r="P88" s="710">
        <f>SUM(J88+L88+N88)</f>
        <v>786</v>
      </c>
      <c r="Q88" s="711">
        <f>SUM(K88+M88+O88)</f>
        <v>103</v>
      </c>
      <c r="R88" s="267">
        <f>IF(P88&lt;&gt;0,Q88/H88,"")</f>
        <v>20.6</v>
      </c>
      <c r="S88" s="359">
        <f>IF(P88&lt;&gt;0,P88/Q88,"")</f>
        <v>7.631067961165049</v>
      </c>
      <c r="T88" s="710">
        <v>710</v>
      </c>
      <c r="U88" s="368">
        <f>IF(T88&lt;&gt;0,-(T88-P88)/T88,"")</f>
        <v>0.10704225352112676</v>
      </c>
      <c r="V88" s="360">
        <f>X88-P88</f>
        <v>674</v>
      </c>
      <c r="W88" s="267">
        <f>Y88-Q88</f>
        <v>88</v>
      </c>
      <c r="X88" s="920">
        <v>1460</v>
      </c>
      <c r="Y88" s="921">
        <v>191</v>
      </c>
      <c r="Z88" s="368">
        <f>Q88*1/Y88</f>
        <v>0.5392670157068062</v>
      </c>
      <c r="AA88" s="368">
        <f>W88*1/Y88</f>
        <v>0.4607329842931937</v>
      </c>
      <c r="AB88" s="307">
        <f>Y88/H88</f>
        <v>38.2</v>
      </c>
      <c r="AC88" s="359">
        <f>X88/Y88</f>
        <v>7.643979057591623</v>
      </c>
      <c r="AD88" s="34">
        <f>13185+73231+37777+23268.5+18693.5+7384+9469.5+1890+288+1214+2255+1460</f>
        <v>190115.5</v>
      </c>
      <c r="AE88" s="29">
        <f>1138+8298+4612+3436+2782+1275+1363+239+41+242+308+191</f>
        <v>23925</v>
      </c>
      <c r="AF88" s="361">
        <f>AD88/AE88</f>
        <v>7.946311389759666</v>
      </c>
      <c r="AG88" s="749">
        <v>78</v>
      </c>
    </row>
    <row r="89" spans="1:33" s="94" customFormat="1" ht="9.75" customHeight="1">
      <c r="A89" s="391">
        <v>79</v>
      </c>
      <c r="B89" s="878"/>
      <c r="C89" s="870"/>
      <c r="D89" s="729" t="s">
        <v>244</v>
      </c>
      <c r="E89" s="470">
        <v>40711</v>
      </c>
      <c r="F89" s="729" t="s">
        <v>65</v>
      </c>
      <c r="G89" s="728">
        <v>4</v>
      </c>
      <c r="H89" s="728">
        <v>4</v>
      </c>
      <c r="I89" s="728">
        <v>7</v>
      </c>
      <c r="J89" s="671">
        <v>247</v>
      </c>
      <c r="K89" s="521">
        <v>32</v>
      </c>
      <c r="L89" s="671">
        <v>293</v>
      </c>
      <c r="M89" s="521">
        <v>35</v>
      </c>
      <c r="N89" s="671">
        <v>451</v>
      </c>
      <c r="O89" s="521">
        <v>55</v>
      </c>
      <c r="P89" s="735">
        <f>SUM(J89+L89+N89)</f>
        <v>991</v>
      </c>
      <c r="Q89" s="732">
        <f>SUM(K89+M89+O89)</f>
        <v>122</v>
      </c>
      <c r="R89" s="732">
        <f>Q89/H89</f>
        <v>30.5</v>
      </c>
      <c r="S89" s="735">
        <f>P89/Q89</f>
        <v>8.12295081967213</v>
      </c>
      <c r="T89" s="735">
        <v>1553.5</v>
      </c>
      <c r="U89" s="368">
        <f>IF(T89&lt;&gt;0,-(T89-P89)/T89,"")</f>
        <v>-0.36208561313163823</v>
      </c>
      <c r="V89" s="360">
        <f>X89-P89</f>
        <v>469</v>
      </c>
      <c r="W89" s="267">
        <f>Y89-Q89</f>
        <v>62</v>
      </c>
      <c r="X89" s="916">
        <v>1460</v>
      </c>
      <c r="Y89" s="917">
        <v>184</v>
      </c>
      <c r="Z89" s="368">
        <f>Q89*1/Y89</f>
        <v>0.6630434782608695</v>
      </c>
      <c r="AA89" s="368">
        <f>W89*1/Y89</f>
        <v>0.33695652173913043</v>
      </c>
      <c r="AB89" s="307">
        <f>Y89/H89</f>
        <v>46</v>
      </c>
      <c r="AC89" s="359">
        <f>X89/Y89</f>
        <v>7.934782608695652</v>
      </c>
      <c r="AD89" s="671">
        <v>23625.5</v>
      </c>
      <c r="AE89" s="521">
        <v>2130</v>
      </c>
      <c r="AF89" s="905">
        <f>+AD89/AE89</f>
        <v>11.091784037558686</v>
      </c>
      <c r="AG89" s="749">
        <v>79</v>
      </c>
    </row>
    <row r="90" spans="1:33" s="94" customFormat="1" ht="9.75" customHeight="1">
      <c r="A90" s="391">
        <v>80</v>
      </c>
      <c r="B90" s="875"/>
      <c r="C90" s="870"/>
      <c r="D90" s="726" t="s">
        <v>365</v>
      </c>
      <c r="E90" s="206">
        <v>40732</v>
      </c>
      <c r="F90" s="713" t="s">
        <v>32</v>
      </c>
      <c r="G90" s="719">
        <v>2</v>
      </c>
      <c r="H90" s="719">
        <v>2</v>
      </c>
      <c r="I90" s="719">
        <v>4</v>
      </c>
      <c r="J90" s="853">
        <v>189</v>
      </c>
      <c r="K90" s="720">
        <v>24</v>
      </c>
      <c r="L90" s="853">
        <v>359</v>
      </c>
      <c r="M90" s="720">
        <v>41</v>
      </c>
      <c r="N90" s="853">
        <v>413</v>
      </c>
      <c r="O90" s="720">
        <v>48</v>
      </c>
      <c r="P90" s="735">
        <f>SUM(J90+L90+N90)</f>
        <v>961</v>
      </c>
      <c r="Q90" s="732">
        <f>SUM(K90+M90+O90)</f>
        <v>113</v>
      </c>
      <c r="R90" s="734">
        <f>IF(P90&lt;&gt;0,Q90/H90,"")</f>
        <v>56.5</v>
      </c>
      <c r="S90" s="359">
        <f>IF(P90&lt;&gt;0,P90/Q90,"")</f>
        <v>8.504424778761061</v>
      </c>
      <c r="T90" s="735">
        <v>426</v>
      </c>
      <c r="U90" s="368">
        <f>IF(T90&lt;&gt;0,-(T90-P90)/T90,"")</f>
        <v>1.255868544600939</v>
      </c>
      <c r="V90" s="360">
        <f>X90-P90</f>
        <v>435</v>
      </c>
      <c r="W90" s="267">
        <f>Y90-Q90</f>
        <v>52</v>
      </c>
      <c r="X90" s="912">
        <v>1396</v>
      </c>
      <c r="Y90" s="913">
        <v>165</v>
      </c>
      <c r="Z90" s="368">
        <f>Q90*1/Y90</f>
        <v>0.6848484848484848</v>
      </c>
      <c r="AA90" s="368">
        <f>W90*1/Y90</f>
        <v>0.3151515151515151</v>
      </c>
      <c r="AB90" s="307">
        <f>Y90/H90</f>
        <v>82.5</v>
      </c>
      <c r="AC90" s="359">
        <f>X90/Y90</f>
        <v>8.460606060606061</v>
      </c>
      <c r="AD90" s="26">
        <f>3347.5+953+825.5+1396</f>
        <v>6522</v>
      </c>
      <c r="AE90" s="27">
        <f>237+71+61+165</f>
        <v>534</v>
      </c>
      <c r="AF90" s="905">
        <f>+AD90/AE90</f>
        <v>12.213483146067416</v>
      </c>
      <c r="AG90" s="749">
        <v>80</v>
      </c>
    </row>
    <row r="91" spans="1:33" s="94" customFormat="1" ht="9.75" customHeight="1">
      <c r="A91" s="391">
        <v>81</v>
      </c>
      <c r="B91" s="867"/>
      <c r="C91" s="870"/>
      <c r="D91" s="728" t="s">
        <v>228</v>
      </c>
      <c r="E91" s="470">
        <v>40697</v>
      </c>
      <c r="F91" s="729" t="s">
        <v>65</v>
      </c>
      <c r="G91" s="728">
        <v>2</v>
      </c>
      <c r="H91" s="728">
        <v>2</v>
      </c>
      <c r="I91" s="728">
        <v>9</v>
      </c>
      <c r="J91" s="671">
        <v>168</v>
      </c>
      <c r="K91" s="521">
        <v>23</v>
      </c>
      <c r="L91" s="671">
        <v>339</v>
      </c>
      <c r="M91" s="521">
        <v>47</v>
      </c>
      <c r="N91" s="671">
        <v>461</v>
      </c>
      <c r="O91" s="521">
        <v>62</v>
      </c>
      <c r="P91" s="714">
        <f>+J91+L91+N91</f>
        <v>968</v>
      </c>
      <c r="Q91" s="572">
        <f>+K91+M91+O91</f>
        <v>132</v>
      </c>
      <c r="R91" s="737">
        <f>+Q91/H91</f>
        <v>66</v>
      </c>
      <c r="S91" s="359">
        <f>IF(P91&lt;&gt;0,P91/Q91,"")</f>
        <v>7.333333333333333</v>
      </c>
      <c r="T91" s="34">
        <v>738</v>
      </c>
      <c r="U91" s="368">
        <f>IF(T91&lt;&gt;0,-(T91-P91)/T91,"")</f>
        <v>0.3116531165311653</v>
      </c>
      <c r="V91" s="360">
        <f>X91-P91</f>
        <v>414</v>
      </c>
      <c r="W91" s="267">
        <f>Y91-Q91</f>
        <v>69</v>
      </c>
      <c r="X91" s="916">
        <v>1382</v>
      </c>
      <c r="Y91" s="917">
        <v>201</v>
      </c>
      <c r="Z91" s="368">
        <f>Q91*1/Y91</f>
        <v>0.6567164179104478</v>
      </c>
      <c r="AA91" s="368">
        <f>W91*1/Y91</f>
        <v>0.34328358208955223</v>
      </c>
      <c r="AB91" s="307">
        <f>Y91/H91</f>
        <v>100.5</v>
      </c>
      <c r="AC91" s="359">
        <f>X91/Y91</f>
        <v>6.875621890547263</v>
      </c>
      <c r="AD91" s="671">
        <v>24598</v>
      </c>
      <c r="AE91" s="521">
        <v>2731</v>
      </c>
      <c r="AF91" s="361">
        <f>+AD91/AE91</f>
        <v>9.006957158549982</v>
      </c>
      <c r="AG91" s="749">
        <v>81</v>
      </c>
    </row>
    <row r="92" spans="1:33" s="94" customFormat="1" ht="9.75" customHeight="1">
      <c r="A92" s="391">
        <v>82</v>
      </c>
      <c r="B92" s="873"/>
      <c r="C92" s="879" t="s">
        <v>85</v>
      </c>
      <c r="D92" s="741" t="s">
        <v>55</v>
      </c>
      <c r="E92" s="680">
        <v>40669</v>
      </c>
      <c r="F92" s="713" t="s">
        <v>32</v>
      </c>
      <c r="G92" s="742">
        <v>31</v>
      </c>
      <c r="H92" s="719">
        <v>5</v>
      </c>
      <c r="I92" s="719">
        <v>13</v>
      </c>
      <c r="J92" s="853">
        <v>179.5</v>
      </c>
      <c r="K92" s="720">
        <v>26</v>
      </c>
      <c r="L92" s="853">
        <v>246</v>
      </c>
      <c r="M92" s="720">
        <v>35</v>
      </c>
      <c r="N92" s="853">
        <v>311</v>
      </c>
      <c r="O92" s="720">
        <v>44</v>
      </c>
      <c r="P92" s="735">
        <f>SUM(J92+L92+N92)</f>
        <v>736.5</v>
      </c>
      <c r="Q92" s="732">
        <f>SUM(K92+M92+O92)</f>
        <v>105</v>
      </c>
      <c r="R92" s="734">
        <f>IF(P92&lt;&gt;0,Q92/H92,"")</f>
        <v>21</v>
      </c>
      <c r="S92" s="359">
        <f>IF(P92&lt;&gt;0,P92/Q92,"")</f>
        <v>7.014285714285714</v>
      </c>
      <c r="T92" s="671">
        <v>707.5</v>
      </c>
      <c r="U92" s="368">
        <f>IF(T92&lt;&gt;0,-(T92-P92)/T92,"")</f>
        <v>0.04098939929328622</v>
      </c>
      <c r="V92" s="360">
        <f>X92-P92</f>
        <v>606</v>
      </c>
      <c r="W92" s="267">
        <f>Y92-Q92</f>
        <v>114</v>
      </c>
      <c r="X92" s="912">
        <v>1342.5</v>
      </c>
      <c r="Y92" s="913">
        <v>219</v>
      </c>
      <c r="Z92" s="368">
        <f>Q92*1/Y92</f>
        <v>0.4794520547945205</v>
      </c>
      <c r="AA92" s="368">
        <f>W92*1/Y92</f>
        <v>0.5205479452054794</v>
      </c>
      <c r="AB92" s="307">
        <f>Y92/H92</f>
        <v>43.8</v>
      </c>
      <c r="AC92" s="359">
        <f>X92/Y92</f>
        <v>6.13013698630137</v>
      </c>
      <c r="AD92" s="26">
        <f>175019+105176.5+33821+39610.5+24959.5+21794.5+6227+4449+362+706+2230+1369.5+1342.5</f>
        <v>417067</v>
      </c>
      <c r="AE92" s="27">
        <f>19673+11998+4200+5352+3807+3790+1054+773+55+128+469+229+219</f>
        <v>51747</v>
      </c>
      <c r="AF92" s="361">
        <f>AD92/AE92</f>
        <v>8.059732931377665</v>
      </c>
      <c r="AG92" s="749">
        <v>82</v>
      </c>
    </row>
    <row r="93" spans="1:33" s="94" customFormat="1" ht="9.75" customHeight="1">
      <c r="A93" s="391">
        <v>83</v>
      </c>
      <c r="B93" s="875"/>
      <c r="C93" s="879" t="s">
        <v>85</v>
      </c>
      <c r="D93" s="713" t="s">
        <v>216</v>
      </c>
      <c r="E93" s="117">
        <v>40592</v>
      </c>
      <c r="F93" s="713" t="s">
        <v>47</v>
      </c>
      <c r="G93" s="31">
        <v>6</v>
      </c>
      <c r="H93" s="31">
        <v>2</v>
      </c>
      <c r="I93" s="31">
        <v>9</v>
      </c>
      <c r="J93" s="710">
        <v>122</v>
      </c>
      <c r="K93" s="711">
        <v>12</v>
      </c>
      <c r="L93" s="710">
        <v>334</v>
      </c>
      <c r="M93" s="711">
        <v>40</v>
      </c>
      <c r="N93" s="710">
        <v>383</v>
      </c>
      <c r="O93" s="711">
        <v>43</v>
      </c>
      <c r="P93" s="740">
        <f>J93+L93+N93</f>
        <v>839</v>
      </c>
      <c r="Q93" s="737">
        <f>K93+M93+O93</f>
        <v>95</v>
      </c>
      <c r="R93" s="307">
        <f>IF(P93&lt;&gt;0,Q93/H93,"")</f>
        <v>47.5</v>
      </c>
      <c r="S93" s="359">
        <f>IF(P93&lt;&gt;0,P93/Q93,"")</f>
        <v>8.83157894736842</v>
      </c>
      <c r="T93" s="710">
        <v>1309</v>
      </c>
      <c r="U93" s="368">
        <f>IF(T93&lt;&gt;0,-(T93-P93)/T93,"")</f>
        <v>-0.35905271199388844</v>
      </c>
      <c r="V93" s="360">
        <f>X93-P93</f>
        <v>500</v>
      </c>
      <c r="W93" s="267">
        <f>Y93-Q93</f>
        <v>70</v>
      </c>
      <c r="X93" s="910">
        <v>1339</v>
      </c>
      <c r="Y93" s="911">
        <v>165</v>
      </c>
      <c r="Z93" s="368">
        <f>Q93*1/Y93</f>
        <v>0.5757575757575758</v>
      </c>
      <c r="AA93" s="368">
        <f>W93*1/Y93</f>
        <v>0.42424242424242425</v>
      </c>
      <c r="AB93" s="307">
        <f>Y93/H93</f>
        <v>82.5</v>
      </c>
      <c r="AC93" s="359">
        <f>X93/Y93</f>
        <v>8.115151515151515</v>
      </c>
      <c r="AD93" s="28">
        <v>17306</v>
      </c>
      <c r="AE93" s="29">
        <v>2342</v>
      </c>
      <c r="AF93" s="905">
        <f>+AD93/AE93</f>
        <v>7.389410760034159</v>
      </c>
      <c r="AG93" s="749">
        <v>83</v>
      </c>
    </row>
    <row r="94" spans="1:33" s="94" customFormat="1" ht="9.75" customHeight="1">
      <c r="A94" s="391">
        <v>84</v>
      </c>
      <c r="B94" s="878"/>
      <c r="C94" s="879" t="s">
        <v>85</v>
      </c>
      <c r="D94" s="726" t="s">
        <v>214</v>
      </c>
      <c r="E94" s="206">
        <v>40662</v>
      </c>
      <c r="F94" s="713" t="s">
        <v>32</v>
      </c>
      <c r="G94" s="719">
        <v>10</v>
      </c>
      <c r="H94" s="719">
        <v>4</v>
      </c>
      <c r="I94" s="719">
        <v>10</v>
      </c>
      <c r="J94" s="853">
        <v>0</v>
      </c>
      <c r="K94" s="720">
        <v>0</v>
      </c>
      <c r="L94" s="853">
        <v>0</v>
      </c>
      <c r="M94" s="720">
        <v>0</v>
      </c>
      <c r="N94" s="853">
        <v>0</v>
      </c>
      <c r="O94" s="720">
        <v>0</v>
      </c>
      <c r="P94" s="714">
        <f>SUM(J94+L94+N94)</f>
        <v>0</v>
      </c>
      <c r="Q94" s="572">
        <f>SUM(K94+M94+O94)</f>
        <v>0</v>
      </c>
      <c r="R94" s="307"/>
      <c r="S94" s="359"/>
      <c r="T94" s="34"/>
      <c r="U94" s="368"/>
      <c r="V94" s="360">
        <f>X94-P94</f>
        <v>1335</v>
      </c>
      <c r="W94" s="267">
        <f>Y94-Q94</f>
        <v>169</v>
      </c>
      <c r="X94" s="912">
        <v>1335</v>
      </c>
      <c r="Y94" s="913">
        <v>169</v>
      </c>
      <c r="Z94" s="368">
        <f>Q94*1/Y94</f>
        <v>0</v>
      </c>
      <c r="AA94" s="368">
        <f>W94*1/Y94</f>
        <v>1</v>
      </c>
      <c r="AB94" s="307">
        <f>Y94/H94</f>
        <v>42.25</v>
      </c>
      <c r="AC94" s="359">
        <f>X94/Y94</f>
        <v>7.899408284023669</v>
      </c>
      <c r="AD94" s="26">
        <f>12563.75+2983.5+2680+354+641+412+470+299+1405.5+1335</f>
        <v>23143.75</v>
      </c>
      <c r="AE94" s="27">
        <f>1693+350+279+68+81+51+66+35+228+169</f>
        <v>3020</v>
      </c>
      <c r="AF94" s="361">
        <f>+AD94/AE94</f>
        <v>7.6634933774834435</v>
      </c>
      <c r="AG94" s="749">
        <v>84</v>
      </c>
    </row>
    <row r="95" spans="1:33" s="94" customFormat="1" ht="9.75" customHeight="1">
      <c r="A95" s="391">
        <v>85</v>
      </c>
      <c r="B95" s="867"/>
      <c r="C95" s="870"/>
      <c r="D95" s="713" t="s">
        <v>234</v>
      </c>
      <c r="E95" s="117">
        <v>40704</v>
      </c>
      <c r="F95" s="713" t="s">
        <v>10</v>
      </c>
      <c r="G95" s="22">
        <v>70</v>
      </c>
      <c r="H95" s="22">
        <v>5</v>
      </c>
      <c r="I95" s="22">
        <v>8</v>
      </c>
      <c r="J95" s="23">
        <v>220</v>
      </c>
      <c r="K95" s="503">
        <v>51</v>
      </c>
      <c r="L95" s="23">
        <v>344</v>
      </c>
      <c r="M95" s="503">
        <v>80</v>
      </c>
      <c r="N95" s="23">
        <v>379</v>
      </c>
      <c r="O95" s="503">
        <v>91</v>
      </c>
      <c r="P95" s="714">
        <f>+J95+L95+N95</f>
        <v>943</v>
      </c>
      <c r="Q95" s="572">
        <f>+K95+M95+O95</f>
        <v>222</v>
      </c>
      <c r="R95" s="307">
        <f>IF(P95&lt;&gt;0,Q95/H95,"")</f>
        <v>44.4</v>
      </c>
      <c r="S95" s="359">
        <f>IF(P95&lt;&gt;0,P95/Q95,"")</f>
        <v>4.247747747747748</v>
      </c>
      <c r="T95" s="34">
        <v>1475</v>
      </c>
      <c r="U95" s="368">
        <f>IF(T95&lt;&gt;0,-(T95-P95)/T95,"")</f>
        <v>-0.3606779661016949</v>
      </c>
      <c r="V95" s="360">
        <f>X95-P95</f>
        <v>373</v>
      </c>
      <c r="W95" s="267">
        <f>Y95-Q95</f>
        <v>93</v>
      </c>
      <c r="X95" s="918">
        <v>1316</v>
      </c>
      <c r="Y95" s="919">
        <v>315</v>
      </c>
      <c r="Z95" s="368">
        <f>Q95*1/Y95</f>
        <v>0.7047619047619048</v>
      </c>
      <c r="AA95" s="368">
        <f>W95*1/Y95</f>
        <v>0.29523809523809524</v>
      </c>
      <c r="AB95" s="307">
        <f>Y95/H95</f>
        <v>63</v>
      </c>
      <c r="AC95" s="359">
        <f>X95/Y95</f>
        <v>4.177777777777778</v>
      </c>
      <c r="AD95" s="225">
        <v>565331</v>
      </c>
      <c r="AE95" s="362">
        <v>57913</v>
      </c>
      <c r="AF95" s="905">
        <f>+AD95/AE95</f>
        <v>9.761728800096696</v>
      </c>
      <c r="AG95" s="749">
        <v>85</v>
      </c>
    </row>
    <row r="96" spans="1:33" s="94" customFormat="1" ht="9.75" customHeight="1">
      <c r="A96" s="391">
        <v>86</v>
      </c>
      <c r="B96" s="878"/>
      <c r="C96" s="870"/>
      <c r="D96" s="713" t="s">
        <v>247</v>
      </c>
      <c r="E96" s="117">
        <v>40718</v>
      </c>
      <c r="F96" s="713" t="s">
        <v>65</v>
      </c>
      <c r="G96" s="728">
        <v>5</v>
      </c>
      <c r="H96" s="728">
        <v>5</v>
      </c>
      <c r="I96" s="728">
        <v>6</v>
      </c>
      <c r="J96" s="671">
        <v>194</v>
      </c>
      <c r="K96" s="521">
        <v>29</v>
      </c>
      <c r="L96" s="671">
        <v>230</v>
      </c>
      <c r="M96" s="521">
        <v>31</v>
      </c>
      <c r="N96" s="671">
        <v>274</v>
      </c>
      <c r="O96" s="521">
        <v>37</v>
      </c>
      <c r="P96" s="714">
        <f>SUM(J96+L96+N96)</f>
        <v>698</v>
      </c>
      <c r="Q96" s="572">
        <f>SUM(K96+M96+O96)</f>
        <v>97</v>
      </c>
      <c r="R96" s="732">
        <f>Q96/H96</f>
        <v>19.4</v>
      </c>
      <c r="S96" s="359">
        <f>+P96/Q96</f>
        <v>7.195876288659794</v>
      </c>
      <c r="T96" s="34">
        <v>2038</v>
      </c>
      <c r="U96" s="368">
        <f>IF(T96&lt;&gt;0,-(T96-P96)/T96,"")</f>
        <v>-0.6575073601570167</v>
      </c>
      <c r="V96" s="360">
        <f>X96-P96</f>
        <v>588</v>
      </c>
      <c r="W96" s="267">
        <f>Y96-Q96</f>
        <v>87</v>
      </c>
      <c r="X96" s="916">
        <v>1286</v>
      </c>
      <c r="Y96" s="917">
        <v>184</v>
      </c>
      <c r="Z96" s="368">
        <f>Q96*1/Y96</f>
        <v>0.5271739130434783</v>
      </c>
      <c r="AA96" s="368">
        <f>W96*1/Y96</f>
        <v>0.47282608695652173</v>
      </c>
      <c r="AB96" s="307">
        <f>Y96/H96</f>
        <v>36.8</v>
      </c>
      <c r="AC96" s="359">
        <f>X96/Y96</f>
        <v>6.989130434782608</v>
      </c>
      <c r="AD96" s="671">
        <v>23933.75</v>
      </c>
      <c r="AE96" s="521">
        <v>2263</v>
      </c>
      <c r="AF96" s="361">
        <f>AD96/AE96</f>
        <v>10.576115775519222</v>
      </c>
      <c r="AG96" s="749">
        <v>86</v>
      </c>
    </row>
    <row r="97" spans="1:33" s="94" customFormat="1" ht="9.75" customHeight="1">
      <c r="A97" s="391">
        <v>87</v>
      </c>
      <c r="B97" s="878"/>
      <c r="C97" s="870"/>
      <c r="D97" s="726" t="s">
        <v>236</v>
      </c>
      <c r="E97" s="470">
        <v>40704</v>
      </c>
      <c r="F97" s="713" t="s">
        <v>32</v>
      </c>
      <c r="G97" s="719">
        <v>5</v>
      </c>
      <c r="H97" s="719">
        <v>4</v>
      </c>
      <c r="I97" s="719">
        <v>8</v>
      </c>
      <c r="J97" s="853">
        <v>217</v>
      </c>
      <c r="K97" s="720">
        <v>28</v>
      </c>
      <c r="L97" s="853">
        <v>249</v>
      </c>
      <c r="M97" s="720">
        <v>29</v>
      </c>
      <c r="N97" s="853">
        <v>201.5</v>
      </c>
      <c r="O97" s="720">
        <v>23</v>
      </c>
      <c r="P97" s="714">
        <f>SUM(J97+L97+N97)</f>
        <v>667.5</v>
      </c>
      <c r="Q97" s="572">
        <f>SUM(K97+M97+O97)</f>
        <v>80</v>
      </c>
      <c r="R97" s="307">
        <f>IF(P97&lt;&gt;0,Q97/H97,"")</f>
        <v>20</v>
      </c>
      <c r="S97" s="359">
        <f>IF(P97&lt;&gt;0,P97/Q97,"")</f>
        <v>8.34375</v>
      </c>
      <c r="T97" s="34">
        <v>300</v>
      </c>
      <c r="U97" s="368">
        <f>IF(T97&lt;&gt;0,-(T97-P97)/T97,"")</f>
        <v>1.225</v>
      </c>
      <c r="V97" s="360">
        <f>X97-P97</f>
        <v>571</v>
      </c>
      <c r="W97" s="267">
        <f>Y97-Q97</f>
        <v>79</v>
      </c>
      <c r="X97" s="912">
        <v>1238.5</v>
      </c>
      <c r="Y97" s="913">
        <v>159</v>
      </c>
      <c r="Z97" s="368">
        <f>Q97*1/Y97</f>
        <v>0.5031446540880503</v>
      </c>
      <c r="AA97" s="368">
        <f>W97*1/Y97</f>
        <v>0.4968553459119497</v>
      </c>
      <c r="AB97" s="307">
        <f>Y97/H97</f>
        <v>39.75</v>
      </c>
      <c r="AC97" s="359">
        <f>X97/Y97</f>
        <v>7.789308176100629</v>
      </c>
      <c r="AD97" s="26">
        <f>20401.5+5027+2422+1135.5+4917+1138.5+597+1238.5</f>
        <v>36877</v>
      </c>
      <c r="AE97" s="27">
        <f>1380+485+214+81+460+135+75+159</f>
        <v>2989</v>
      </c>
      <c r="AF97" s="361">
        <f>+AD97/AE97</f>
        <v>12.337571094011375</v>
      </c>
      <c r="AG97" s="749">
        <v>87</v>
      </c>
    </row>
    <row r="98" spans="1:33" s="94" customFormat="1" ht="9.75" customHeight="1">
      <c r="A98" s="391">
        <v>88</v>
      </c>
      <c r="B98" s="883"/>
      <c r="C98" s="879" t="s">
        <v>85</v>
      </c>
      <c r="D98" s="728" t="s">
        <v>417</v>
      </c>
      <c r="E98" s="907">
        <v>40543</v>
      </c>
      <c r="F98" s="713" t="s">
        <v>23</v>
      </c>
      <c r="G98" s="31">
        <v>118</v>
      </c>
      <c r="H98" s="31">
        <v>1</v>
      </c>
      <c r="I98" s="31">
        <v>31</v>
      </c>
      <c r="J98" s="710">
        <v>0</v>
      </c>
      <c r="K98" s="711">
        <v>0</v>
      </c>
      <c r="L98" s="710">
        <v>0</v>
      </c>
      <c r="M98" s="711">
        <v>0</v>
      </c>
      <c r="N98" s="710">
        <v>0</v>
      </c>
      <c r="O98" s="711">
        <v>0</v>
      </c>
      <c r="P98" s="714">
        <f>SUM(J98+L98+N98)</f>
        <v>0</v>
      </c>
      <c r="Q98" s="572">
        <f>SUM(K98+M98+O98)</f>
        <v>0</v>
      </c>
      <c r="R98" s="307"/>
      <c r="S98" s="359"/>
      <c r="T98" s="34"/>
      <c r="U98" s="368"/>
      <c r="V98" s="360">
        <f>X98-P98</f>
        <v>1204</v>
      </c>
      <c r="W98" s="267">
        <f>Y98-Q98</f>
        <v>350</v>
      </c>
      <c r="X98" s="910">
        <v>1204</v>
      </c>
      <c r="Y98" s="911">
        <v>350</v>
      </c>
      <c r="Z98" s="368">
        <f>Q98*1/Y98</f>
        <v>0</v>
      </c>
      <c r="AA98" s="368">
        <f>W98*1/Y98</f>
        <v>1</v>
      </c>
      <c r="AB98" s="307">
        <f>Y98/H98</f>
        <v>350</v>
      </c>
      <c r="AC98" s="359">
        <f>X98/Y98</f>
        <v>3.44</v>
      </c>
      <c r="AD98" s="28">
        <v>203048</v>
      </c>
      <c r="AE98" s="521">
        <v>22699</v>
      </c>
      <c r="AF98" s="361">
        <f>+AD98/AE98</f>
        <v>8.94523987840874</v>
      </c>
      <c r="AG98" s="749">
        <v>88</v>
      </c>
    </row>
    <row r="99" spans="1:33" s="94" customFormat="1" ht="9.75" customHeight="1">
      <c r="A99" s="391">
        <v>89</v>
      </c>
      <c r="B99" s="883"/>
      <c r="C99" s="884"/>
      <c r="D99" s="728" t="s">
        <v>286</v>
      </c>
      <c r="E99" s="907">
        <v>40424</v>
      </c>
      <c r="F99" s="713" t="s">
        <v>23</v>
      </c>
      <c r="G99" s="31">
        <v>107</v>
      </c>
      <c r="H99" s="31">
        <v>1</v>
      </c>
      <c r="I99" s="31">
        <v>51</v>
      </c>
      <c r="J99" s="710">
        <v>0</v>
      </c>
      <c r="K99" s="711">
        <v>0</v>
      </c>
      <c r="L99" s="710">
        <v>0</v>
      </c>
      <c r="M99" s="711">
        <v>0</v>
      </c>
      <c r="N99" s="710">
        <v>0</v>
      </c>
      <c r="O99" s="711">
        <v>0</v>
      </c>
      <c r="P99" s="714">
        <f>SUM(J99+L99+N99)</f>
        <v>0</v>
      </c>
      <c r="Q99" s="572">
        <f>SUM(K99+M99+O99)</f>
        <v>0</v>
      </c>
      <c r="R99" s="307"/>
      <c r="S99" s="359"/>
      <c r="T99" s="34"/>
      <c r="U99" s="368"/>
      <c r="V99" s="360">
        <f>X99-P99</f>
        <v>1204</v>
      </c>
      <c r="W99" s="267">
        <f>Y99-Q99</f>
        <v>350</v>
      </c>
      <c r="X99" s="910">
        <v>1204</v>
      </c>
      <c r="Y99" s="911">
        <v>350</v>
      </c>
      <c r="Z99" s="368">
        <f>Q99*1/Y99</f>
        <v>0</v>
      </c>
      <c r="AA99" s="368">
        <f>W99*1/Y99</f>
        <v>1</v>
      </c>
      <c r="AB99" s="307">
        <f>Y99/H99</f>
        <v>350</v>
      </c>
      <c r="AC99" s="359">
        <f>X99/Y99</f>
        <v>3.44</v>
      </c>
      <c r="AD99" s="28">
        <v>2171165</v>
      </c>
      <c r="AE99" s="521">
        <v>197141</v>
      </c>
      <c r="AF99" s="361">
        <f>+AD99/AE99</f>
        <v>11.013259545198615</v>
      </c>
      <c r="AG99" s="749">
        <v>89</v>
      </c>
    </row>
    <row r="100" spans="1:33" s="94" customFormat="1" ht="9.75" customHeight="1">
      <c r="A100" s="391">
        <v>90</v>
      </c>
      <c r="B100" s="883"/>
      <c r="C100" s="884"/>
      <c r="D100" s="728" t="s">
        <v>394</v>
      </c>
      <c r="E100" s="907">
        <v>40361</v>
      </c>
      <c r="F100" s="713" t="s">
        <v>23</v>
      </c>
      <c r="G100" s="31">
        <v>161</v>
      </c>
      <c r="H100" s="31">
        <v>1</v>
      </c>
      <c r="I100" s="31">
        <v>57</v>
      </c>
      <c r="J100" s="710">
        <v>0</v>
      </c>
      <c r="K100" s="711">
        <v>0</v>
      </c>
      <c r="L100" s="710">
        <v>0</v>
      </c>
      <c r="M100" s="711">
        <v>0</v>
      </c>
      <c r="N100" s="710">
        <v>0</v>
      </c>
      <c r="O100" s="711">
        <v>0</v>
      </c>
      <c r="P100" s="714">
        <f>SUM(J100+L100+N100)</f>
        <v>0</v>
      </c>
      <c r="Q100" s="572">
        <f>SUM(K100+M100+O100)</f>
        <v>0</v>
      </c>
      <c r="R100" s="307"/>
      <c r="S100" s="359"/>
      <c r="T100" s="34"/>
      <c r="U100" s="368"/>
      <c r="V100" s="360">
        <f>X100-P100</f>
        <v>1204</v>
      </c>
      <c r="W100" s="267">
        <f>Y100-Q100</f>
        <v>350</v>
      </c>
      <c r="X100" s="910">
        <v>1204</v>
      </c>
      <c r="Y100" s="911">
        <v>350</v>
      </c>
      <c r="Z100" s="368">
        <f>Q100*1/Y100</f>
        <v>0</v>
      </c>
      <c r="AA100" s="368">
        <f>W100*1/Y100</f>
        <v>1</v>
      </c>
      <c r="AB100" s="307">
        <f>Y100/H100</f>
        <v>350</v>
      </c>
      <c r="AC100" s="359">
        <f>X100/Y100</f>
        <v>3.44</v>
      </c>
      <c r="AD100" s="28">
        <v>3670125</v>
      </c>
      <c r="AE100" s="29">
        <v>336899</v>
      </c>
      <c r="AF100" s="361">
        <f>+AD100/AE100</f>
        <v>10.893843555486956</v>
      </c>
      <c r="AG100" s="749">
        <v>90</v>
      </c>
    </row>
    <row r="101" spans="1:33" s="94" customFormat="1" ht="9.75" customHeight="1">
      <c r="A101" s="391">
        <v>91</v>
      </c>
      <c r="B101" s="883"/>
      <c r="C101" s="884"/>
      <c r="D101" s="728" t="s">
        <v>185</v>
      </c>
      <c r="E101" s="907">
        <v>40557</v>
      </c>
      <c r="F101" s="713" t="s">
        <v>23</v>
      </c>
      <c r="G101" s="31">
        <v>129</v>
      </c>
      <c r="H101" s="31">
        <v>1</v>
      </c>
      <c r="I101" s="31">
        <v>39</v>
      </c>
      <c r="J101" s="710">
        <v>0</v>
      </c>
      <c r="K101" s="711">
        <v>0</v>
      </c>
      <c r="L101" s="710">
        <v>0</v>
      </c>
      <c r="M101" s="711">
        <v>0</v>
      </c>
      <c r="N101" s="710">
        <v>0</v>
      </c>
      <c r="O101" s="711">
        <v>0</v>
      </c>
      <c r="P101" s="714">
        <f>SUM(J101+L101+N101)</f>
        <v>0</v>
      </c>
      <c r="Q101" s="572">
        <f>SUM(K101+M101+O101)</f>
        <v>0</v>
      </c>
      <c r="R101" s="307"/>
      <c r="S101" s="359"/>
      <c r="T101" s="34"/>
      <c r="U101" s="368"/>
      <c r="V101" s="360">
        <f>X101-P101</f>
        <v>1204</v>
      </c>
      <c r="W101" s="267">
        <f>Y101-Q101</f>
        <v>350</v>
      </c>
      <c r="X101" s="910">
        <v>1204</v>
      </c>
      <c r="Y101" s="911">
        <v>350</v>
      </c>
      <c r="Z101" s="368">
        <f>Q101*1/Y101</f>
        <v>0</v>
      </c>
      <c r="AA101" s="368">
        <f>W101*1/Y101</f>
        <v>1</v>
      </c>
      <c r="AB101" s="307">
        <f>Y101/H101</f>
        <v>350</v>
      </c>
      <c r="AC101" s="359">
        <f>X101/Y101</f>
        <v>3.44</v>
      </c>
      <c r="AD101" s="28">
        <v>1386825</v>
      </c>
      <c r="AE101" s="521">
        <v>124473</v>
      </c>
      <c r="AF101" s="361">
        <f>+AD101/AE101</f>
        <v>11.141572871225085</v>
      </c>
      <c r="AG101" s="749">
        <v>91</v>
      </c>
    </row>
    <row r="102" spans="1:33" s="94" customFormat="1" ht="9.75" customHeight="1">
      <c r="A102" s="391">
        <v>92</v>
      </c>
      <c r="B102" s="878"/>
      <c r="C102" s="879" t="s">
        <v>85</v>
      </c>
      <c r="D102" s="726" t="s">
        <v>139</v>
      </c>
      <c r="E102" s="206">
        <v>40459</v>
      </c>
      <c r="F102" s="713" t="s">
        <v>32</v>
      </c>
      <c r="G102" s="719">
        <v>142</v>
      </c>
      <c r="H102" s="719">
        <v>1</v>
      </c>
      <c r="I102" s="719">
        <v>22</v>
      </c>
      <c r="J102" s="853">
        <v>0</v>
      </c>
      <c r="K102" s="720">
        <v>0</v>
      </c>
      <c r="L102" s="853">
        <v>0</v>
      </c>
      <c r="M102" s="720">
        <v>0</v>
      </c>
      <c r="N102" s="853">
        <v>0</v>
      </c>
      <c r="O102" s="720">
        <v>0</v>
      </c>
      <c r="P102" s="714">
        <f>SUM(J102+L102+N102)</f>
        <v>0</v>
      </c>
      <c r="Q102" s="572">
        <f>SUM(K102+M102+O102)</f>
        <v>0</v>
      </c>
      <c r="R102" s="307"/>
      <c r="S102" s="359"/>
      <c r="T102" s="34"/>
      <c r="U102" s="368"/>
      <c r="V102" s="360">
        <f>X102-P102</f>
        <v>1188</v>
      </c>
      <c r="W102" s="267">
        <f>Y102-Q102</f>
        <v>297</v>
      </c>
      <c r="X102" s="912">
        <v>1188</v>
      </c>
      <c r="Y102" s="913">
        <v>297</v>
      </c>
      <c r="Z102" s="368">
        <f>Q102*1/Y102</f>
        <v>0</v>
      </c>
      <c r="AA102" s="368">
        <f>W102*1/Y102</f>
        <v>1</v>
      </c>
      <c r="AB102" s="307">
        <f>Y102/H102</f>
        <v>297</v>
      </c>
      <c r="AC102" s="359">
        <f>X102/Y102</f>
        <v>4</v>
      </c>
      <c r="AD102" s="26">
        <f>569713+434829.5+295345.5+223420+26108+12415.5+5998+1904+1368+799+648+306+1782+594+1782+1425.5+3089+151+1188+1188+2376+1188</f>
        <v>1587618</v>
      </c>
      <c r="AE102" s="27">
        <f>61050+47827+36467+29781+4601+2405+1000+284+287+123+103+51+445+113+446+267+708+24+297+287+594+297</f>
        <v>187457</v>
      </c>
      <c r="AF102" s="361">
        <f>+AD102/AE102</f>
        <v>8.469238278645236</v>
      </c>
      <c r="AG102" s="749">
        <v>92</v>
      </c>
    </row>
    <row r="103" spans="1:33" s="94" customFormat="1" ht="9.75" customHeight="1">
      <c r="A103" s="391">
        <v>93</v>
      </c>
      <c r="B103" s="878"/>
      <c r="C103" s="870"/>
      <c r="D103" s="726" t="s">
        <v>307</v>
      </c>
      <c r="E103" s="206">
        <v>40368</v>
      </c>
      <c r="F103" s="713" t="s">
        <v>32</v>
      </c>
      <c r="G103" s="719">
        <v>126</v>
      </c>
      <c r="H103" s="719">
        <v>1</v>
      </c>
      <c r="I103" s="719">
        <v>28</v>
      </c>
      <c r="J103" s="853">
        <v>0</v>
      </c>
      <c r="K103" s="720">
        <v>0</v>
      </c>
      <c r="L103" s="853">
        <v>0</v>
      </c>
      <c r="M103" s="720">
        <v>0</v>
      </c>
      <c r="N103" s="853">
        <v>0</v>
      </c>
      <c r="O103" s="720">
        <v>0</v>
      </c>
      <c r="P103" s="714">
        <f>SUM(J103+L103+N103)</f>
        <v>0</v>
      </c>
      <c r="Q103" s="572">
        <f>SUM(K103+M103+O103)</f>
        <v>0</v>
      </c>
      <c r="R103" s="307"/>
      <c r="S103" s="359"/>
      <c r="T103" s="34"/>
      <c r="U103" s="368"/>
      <c r="V103" s="360">
        <f>X103-P103</f>
        <v>1188</v>
      </c>
      <c r="W103" s="267">
        <f>Y103-Q103</f>
        <v>297</v>
      </c>
      <c r="X103" s="912">
        <v>1188</v>
      </c>
      <c r="Y103" s="913">
        <v>297</v>
      </c>
      <c r="Z103" s="368">
        <f>Q103*1/Y103</f>
        <v>0</v>
      </c>
      <c r="AA103" s="368">
        <f>W103*1/Y103</f>
        <v>1</v>
      </c>
      <c r="AB103" s="307">
        <f>Y103/H103</f>
        <v>297</v>
      </c>
      <c r="AC103" s="359">
        <f>X103/Y103</f>
        <v>4</v>
      </c>
      <c r="AD103" s="26">
        <f>2106797.5+50230.5+32558.5+15249.5+15137+17418.5+7784.5+2808+2841.5+1328+2453+1693+613+726+713+1425.5+1782+1437+1782+2376+1544.5+2376+1188+1188</f>
        <v>2273450.5</v>
      </c>
      <c r="AE103" s="27">
        <f>220679+7944+5486+2451+2714+3159+1414+494+658+202+452+398+85+227+178+356+445+228+445+594+386+594+297+297</f>
        <v>250183</v>
      </c>
      <c r="AF103" s="361">
        <f>+AD103/AE103</f>
        <v>9.087150206049172</v>
      </c>
      <c r="AG103" s="749">
        <v>93</v>
      </c>
    </row>
    <row r="104" spans="1:33" s="94" customFormat="1" ht="9.75" customHeight="1">
      <c r="A104" s="391">
        <v>94</v>
      </c>
      <c r="B104" s="878"/>
      <c r="C104" s="870"/>
      <c r="D104" s="726" t="s">
        <v>33</v>
      </c>
      <c r="E104" s="206">
        <v>40641</v>
      </c>
      <c r="F104" s="713" t="s">
        <v>32</v>
      </c>
      <c r="G104" s="719">
        <v>128</v>
      </c>
      <c r="H104" s="719">
        <v>1</v>
      </c>
      <c r="I104" s="719">
        <v>15</v>
      </c>
      <c r="J104" s="853">
        <v>0</v>
      </c>
      <c r="K104" s="720">
        <v>0</v>
      </c>
      <c r="L104" s="853">
        <v>0</v>
      </c>
      <c r="M104" s="720">
        <v>0</v>
      </c>
      <c r="N104" s="853">
        <v>0</v>
      </c>
      <c r="O104" s="720">
        <v>0</v>
      </c>
      <c r="P104" s="714">
        <f>SUM(J104+L104+N104)</f>
        <v>0</v>
      </c>
      <c r="Q104" s="572">
        <f>SUM(K104+M104+O104)</f>
        <v>0</v>
      </c>
      <c r="R104" s="307"/>
      <c r="S104" s="359"/>
      <c r="T104" s="34"/>
      <c r="U104" s="368"/>
      <c r="V104" s="360">
        <f>X104-P104</f>
        <v>1130</v>
      </c>
      <c r="W104" s="267">
        <f>Y104-Q104</f>
        <v>226</v>
      </c>
      <c r="X104" s="912">
        <v>1130</v>
      </c>
      <c r="Y104" s="913">
        <v>226</v>
      </c>
      <c r="Z104" s="368">
        <f>Q104*1/Y104</f>
        <v>0</v>
      </c>
      <c r="AA104" s="368">
        <f>W104*1/Y104</f>
        <v>1</v>
      </c>
      <c r="AB104" s="307">
        <f>Y104/H104</f>
        <v>226</v>
      </c>
      <c r="AC104" s="359">
        <f>X104/Y104</f>
        <v>5</v>
      </c>
      <c r="AD104" s="26">
        <f>740297.75+546709.5+343470.5+98979.5+54338.5+38190+7487.5+1828+3682+2538+1902+1842+1707+2347+1130</f>
        <v>1846449.25</v>
      </c>
      <c r="AE104" s="27">
        <f>69545+52953+34357+10790+6857+5964+1318+450+785+380+463+294+268+587+226</f>
        <v>185237</v>
      </c>
      <c r="AF104" s="361">
        <f>+AD104/AE104</f>
        <v>9.968036893277262</v>
      </c>
      <c r="AG104" s="749">
        <v>94</v>
      </c>
    </row>
    <row r="105" spans="1:33" s="94" customFormat="1" ht="9.75" customHeight="1">
      <c r="A105" s="391">
        <v>95</v>
      </c>
      <c r="B105" s="867"/>
      <c r="C105" s="868"/>
      <c r="D105" s="713" t="s">
        <v>253</v>
      </c>
      <c r="E105" s="117">
        <v>40718</v>
      </c>
      <c r="F105" s="713" t="s">
        <v>141</v>
      </c>
      <c r="G105" s="31">
        <v>4</v>
      </c>
      <c r="H105" s="31">
        <v>4</v>
      </c>
      <c r="I105" s="31">
        <v>6</v>
      </c>
      <c r="J105" s="738">
        <v>94</v>
      </c>
      <c r="K105" s="739">
        <v>12</v>
      </c>
      <c r="L105" s="738">
        <v>354</v>
      </c>
      <c r="M105" s="739">
        <v>48</v>
      </c>
      <c r="N105" s="738">
        <v>501</v>
      </c>
      <c r="O105" s="739">
        <v>65</v>
      </c>
      <c r="P105" s="740">
        <f>SUM(J105+L105+N105)</f>
        <v>949</v>
      </c>
      <c r="Q105" s="737">
        <f>SUM(K105+M105+O105)</f>
        <v>125</v>
      </c>
      <c r="R105" s="307">
        <f>IF(P105&lt;&gt;0,Q105/H105,"")</f>
        <v>31.25</v>
      </c>
      <c r="S105" s="359">
        <f>IF(P105&lt;&gt;0,P105/Q105,"")</f>
        <v>7.592</v>
      </c>
      <c r="T105" s="710">
        <v>675</v>
      </c>
      <c r="U105" s="368">
        <f>IF(T105&lt;&gt;0,-(T105-P105)/T105,"")</f>
        <v>0.4059259259259259</v>
      </c>
      <c r="V105" s="360">
        <f>X105-P105</f>
        <v>0</v>
      </c>
      <c r="W105" s="267">
        <f>Y105-Q105</f>
        <v>0</v>
      </c>
      <c r="X105" s="922">
        <v>949</v>
      </c>
      <c r="Y105" s="911">
        <v>125</v>
      </c>
      <c r="Z105" s="368">
        <f>Q105*1/Y105</f>
        <v>1</v>
      </c>
      <c r="AA105" s="368">
        <f>W105*1/Y105</f>
        <v>0</v>
      </c>
      <c r="AB105" s="307">
        <f>Y105/H105</f>
        <v>31.25</v>
      </c>
      <c r="AC105" s="359">
        <f>X105/Y105</f>
        <v>7.592</v>
      </c>
      <c r="AD105" s="855">
        <v>35355</v>
      </c>
      <c r="AE105" s="856">
        <v>3041</v>
      </c>
      <c r="AF105" s="361">
        <f>AD105/AE105</f>
        <v>11.62610983229201</v>
      </c>
      <c r="AG105" s="749">
        <v>95</v>
      </c>
    </row>
    <row r="106" spans="1:33" s="94" customFormat="1" ht="9.75" customHeight="1">
      <c r="A106" s="391">
        <v>96</v>
      </c>
      <c r="B106" s="875"/>
      <c r="C106" s="870"/>
      <c r="D106" s="713" t="s">
        <v>248</v>
      </c>
      <c r="E106" s="117">
        <v>40718</v>
      </c>
      <c r="F106" s="713" t="s">
        <v>21</v>
      </c>
      <c r="G106" s="22">
        <v>1</v>
      </c>
      <c r="H106" s="22">
        <v>1</v>
      </c>
      <c r="I106" s="22">
        <v>6</v>
      </c>
      <c r="J106" s="23">
        <v>96</v>
      </c>
      <c r="K106" s="503">
        <v>7</v>
      </c>
      <c r="L106" s="23">
        <v>152</v>
      </c>
      <c r="M106" s="503">
        <v>11</v>
      </c>
      <c r="N106" s="23">
        <v>244</v>
      </c>
      <c r="O106" s="503">
        <v>19</v>
      </c>
      <c r="P106" s="735">
        <f>SUM(J106+L106+N106)</f>
        <v>492</v>
      </c>
      <c r="Q106" s="732">
        <f>SUM(K106+M106+O106)</f>
        <v>37</v>
      </c>
      <c r="R106" s="732">
        <f>Q106/H106</f>
        <v>37</v>
      </c>
      <c r="S106" s="359">
        <f>IF(P106&lt;&gt;0,P106/Q106,"")</f>
        <v>13.297297297297296</v>
      </c>
      <c r="T106" s="671">
        <v>140</v>
      </c>
      <c r="U106" s="368">
        <f>IF(T106&lt;&gt;0,-(T106-P106)/T106,"")</f>
        <v>2.5142857142857142</v>
      </c>
      <c r="V106" s="360">
        <f>X106-P106</f>
        <v>440</v>
      </c>
      <c r="W106" s="267">
        <f>Y106-Q106</f>
        <v>44</v>
      </c>
      <c r="X106" s="920">
        <v>932</v>
      </c>
      <c r="Y106" s="921">
        <v>81</v>
      </c>
      <c r="Z106" s="368">
        <f>Q106*1/Y106</f>
        <v>0.4567901234567901</v>
      </c>
      <c r="AA106" s="368">
        <f>W106*1/Y106</f>
        <v>0.5432098765432098</v>
      </c>
      <c r="AB106" s="307">
        <f>Y106/H106</f>
        <v>81</v>
      </c>
      <c r="AC106" s="359">
        <f>X106/Y106</f>
        <v>11.506172839506172</v>
      </c>
      <c r="AD106" s="34">
        <f>8627+3793+343+630+280+932</f>
        <v>14605</v>
      </c>
      <c r="AE106" s="29">
        <f>544+238+67+126+42+81</f>
        <v>1098</v>
      </c>
      <c r="AF106" s="905">
        <f>+AD106/AE106</f>
        <v>13.301457194899818</v>
      </c>
      <c r="AG106" s="749">
        <v>96</v>
      </c>
    </row>
    <row r="107" spans="1:33" s="94" customFormat="1" ht="9.75" customHeight="1">
      <c r="A107" s="391">
        <v>97</v>
      </c>
      <c r="B107" s="867"/>
      <c r="C107" s="870"/>
      <c r="D107" s="724" t="s">
        <v>61</v>
      </c>
      <c r="E107" s="117">
        <v>40676</v>
      </c>
      <c r="F107" s="713" t="s">
        <v>10</v>
      </c>
      <c r="G107" s="727">
        <v>112</v>
      </c>
      <c r="H107" s="22">
        <v>1</v>
      </c>
      <c r="I107" s="22">
        <v>12</v>
      </c>
      <c r="J107" s="23">
        <v>104</v>
      </c>
      <c r="K107" s="503">
        <v>14</v>
      </c>
      <c r="L107" s="23">
        <v>136</v>
      </c>
      <c r="M107" s="503">
        <v>16</v>
      </c>
      <c r="N107" s="23">
        <v>125</v>
      </c>
      <c r="O107" s="503">
        <v>14</v>
      </c>
      <c r="P107" s="740">
        <f>SUM(J107+L107+N107)</f>
        <v>365</v>
      </c>
      <c r="Q107" s="737">
        <f>SUM(K107+M107+O107)</f>
        <v>44</v>
      </c>
      <c r="R107" s="307">
        <f>IF(P107&lt;&gt;0,Q107/H107,"")</f>
        <v>44</v>
      </c>
      <c r="S107" s="359">
        <f>IF(P107&lt;&gt;0,P107/Q107,"")</f>
        <v>8.295454545454545</v>
      </c>
      <c r="T107" s="710">
        <v>227</v>
      </c>
      <c r="U107" s="368">
        <f>IF(T107&lt;&gt;0,-(T107-P107)/T107,"")</f>
        <v>0.6079295154185022</v>
      </c>
      <c r="V107" s="360">
        <f>X107-P107</f>
        <v>566</v>
      </c>
      <c r="W107" s="267">
        <f>Y107-Q107</f>
        <v>65</v>
      </c>
      <c r="X107" s="918">
        <v>931</v>
      </c>
      <c r="Y107" s="919">
        <v>109</v>
      </c>
      <c r="Z107" s="368">
        <f>Q107*1/Y107</f>
        <v>0.4036697247706422</v>
      </c>
      <c r="AA107" s="368">
        <f>W107*1/Y107</f>
        <v>0.5963302752293578</v>
      </c>
      <c r="AB107" s="307">
        <f>Y107/H107</f>
        <v>109</v>
      </c>
      <c r="AC107" s="359">
        <f>X107/Y107</f>
        <v>8.541284403669724</v>
      </c>
      <c r="AD107" s="225">
        <v>889611</v>
      </c>
      <c r="AE107" s="362">
        <v>94485</v>
      </c>
      <c r="AF107" s="361">
        <f>AD107/AE107</f>
        <v>9.415367518653754</v>
      </c>
      <c r="AG107" s="749">
        <v>97</v>
      </c>
    </row>
    <row r="108" spans="1:33" s="94" customFormat="1" ht="9.75" customHeight="1">
      <c r="A108" s="391">
        <v>98</v>
      </c>
      <c r="B108" s="867"/>
      <c r="C108" s="879" t="s">
        <v>85</v>
      </c>
      <c r="D108" s="729" t="s">
        <v>72</v>
      </c>
      <c r="E108" s="686">
        <v>40683</v>
      </c>
      <c r="F108" s="729" t="s">
        <v>65</v>
      </c>
      <c r="G108" s="728">
        <v>33</v>
      </c>
      <c r="H108" s="728">
        <v>3</v>
      </c>
      <c r="I108" s="728">
        <v>11</v>
      </c>
      <c r="J108" s="671">
        <v>104</v>
      </c>
      <c r="K108" s="521">
        <v>18</v>
      </c>
      <c r="L108" s="671">
        <v>182</v>
      </c>
      <c r="M108" s="521">
        <v>29</v>
      </c>
      <c r="N108" s="671">
        <v>375</v>
      </c>
      <c r="O108" s="521">
        <v>56</v>
      </c>
      <c r="P108" s="714">
        <f>SUM(J108+L108+N108)</f>
        <v>661</v>
      </c>
      <c r="Q108" s="572">
        <f>SUM(K108+M108+O108)</f>
        <v>103</v>
      </c>
      <c r="R108" s="307">
        <f>IF(P108&lt;&gt;0,Q108/H108,"")</f>
        <v>34.333333333333336</v>
      </c>
      <c r="S108" s="359">
        <f>IF(P108&lt;&gt;0,P108/Q108,"")</f>
        <v>6.41747572815534</v>
      </c>
      <c r="T108" s="34">
        <v>612</v>
      </c>
      <c r="U108" s="368">
        <f>IF(T108&lt;&gt;0,-(T108-P108)/T108,"")</f>
        <v>0.08006535947712418</v>
      </c>
      <c r="V108" s="360">
        <f>X108-P108</f>
        <v>196</v>
      </c>
      <c r="W108" s="267">
        <f>Y108-Q108</f>
        <v>33</v>
      </c>
      <c r="X108" s="916">
        <v>857</v>
      </c>
      <c r="Y108" s="917">
        <v>136</v>
      </c>
      <c r="Z108" s="368">
        <f>Q108*1/Y108</f>
        <v>0.7573529411764706</v>
      </c>
      <c r="AA108" s="368">
        <f>W108*1/Y108</f>
        <v>0.2426470588235294</v>
      </c>
      <c r="AB108" s="307">
        <f>Y108/H108</f>
        <v>45.333333333333336</v>
      </c>
      <c r="AC108" s="359">
        <f>X108/Y108</f>
        <v>6.301470588235294</v>
      </c>
      <c r="AD108" s="671">
        <v>112451.75</v>
      </c>
      <c r="AE108" s="521">
        <v>13719</v>
      </c>
      <c r="AF108" s="905">
        <f>+AD108/AE108</f>
        <v>8.196789124571762</v>
      </c>
      <c r="AG108" s="749">
        <v>98</v>
      </c>
    </row>
    <row r="109" spans="1:33" s="94" customFormat="1" ht="9.75" customHeight="1">
      <c r="A109" s="391">
        <v>99</v>
      </c>
      <c r="B109" s="874"/>
      <c r="C109" s="870"/>
      <c r="D109" s="713" t="s">
        <v>221</v>
      </c>
      <c r="E109" s="117">
        <v>40690</v>
      </c>
      <c r="F109" s="713" t="s">
        <v>21</v>
      </c>
      <c r="G109" s="22">
        <v>5</v>
      </c>
      <c r="H109" s="22">
        <v>5</v>
      </c>
      <c r="I109" s="22">
        <v>10</v>
      </c>
      <c r="J109" s="23">
        <v>0</v>
      </c>
      <c r="K109" s="503">
        <v>0</v>
      </c>
      <c r="L109" s="23">
        <v>150</v>
      </c>
      <c r="M109" s="503">
        <v>24</v>
      </c>
      <c r="N109" s="23">
        <v>178</v>
      </c>
      <c r="O109" s="503">
        <v>27</v>
      </c>
      <c r="P109" s="735">
        <f>SUM(J109+L109+N109)</f>
        <v>328</v>
      </c>
      <c r="Q109" s="732">
        <f>SUM(K109+M109+O109)</f>
        <v>51</v>
      </c>
      <c r="R109" s="732">
        <f>Q109/H109</f>
        <v>10.2</v>
      </c>
      <c r="S109" s="359">
        <f>IF(P109&lt;&gt;0,P109/Q109,"")</f>
        <v>6.431372549019608</v>
      </c>
      <c r="T109" s="671">
        <v>435</v>
      </c>
      <c r="U109" s="368">
        <f>IF(T109&lt;&gt;0,-(T109-P109)/T109,"")</f>
        <v>-0.24597701149425288</v>
      </c>
      <c r="V109" s="360">
        <f>X109-P109</f>
        <v>480</v>
      </c>
      <c r="W109" s="267">
        <f>Y109-Q109</f>
        <v>71</v>
      </c>
      <c r="X109" s="920">
        <v>808</v>
      </c>
      <c r="Y109" s="921">
        <v>122</v>
      </c>
      <c r="Z109" s="368">
        <f>Q109*1/Y109</f>
        <v>0.4180327868852459</v>
      </c>
      <c r="AA109" s="368">
        <f>W109*1/Y109</f>
        <v>0.5819672131147541</v>
      </c>
      <c r="AB109" s="307">
        <f>Y109/H109</f>
        <v>24.4</v>
      </c>
      <c r="AC109" s="359">
        <f>X109/Y109</f>
        <v>6.622950819672131</v>
      </c>
      <c r="AD109" s="34">
        <f>10523.5+2274+1975+2483+1830+1012+648.5+1263+1016+808</f>
        <v>23833</v>
      </c>
      <c r="AE109" s="29">
        <f>1295+340+276+411+209+137+95+167+160+122</f>
        <v>3212</v>
      </c>
      <c r="AF109" s="905">
        <f>+AD109/AE109</f>
        <v>7.4199875466998755</v>
      </c>
      <c r="AG109" s="749">
        <v>99</v>
      </c>
    </row>
    <row r="110" spans="1:33" s="94" customFormat="1" ht="9.75" customHeight="1">
      <c r="A110" s="391">
        <v>100</v>
      </c>
      <c r="B110" s="878"/>
      <c r="C110" s="870"/>
      <c r="D110" s="726" t="s">
        <v>416</v>
      </c>
      <c r="E110" s="206">
        <v>40676</v>
      </c>
      <c r="F110" s="713" t="s">
        <v>32</v>
      </c>
      <c r="G110" s="744">
        <v>3</v>
      </c>
      <c r="H110" s="719">
        <v>2</v>
      </c>
      <c r="I110" s="719">
        <v>6</v>
      </c>
      <c r="J110" s="853">
        <v>0</v>
      </c>
      <c r="K110" s="720">
        <v>0</v>
      </c>
      <c r="L110" s="853">
        <v>0</v>
      </c>
      <c r="M110" s="720">
        <v>0</v>
      </c>
      <c r="N110" s="853">
        <v>0</v>
      </c>
      <c r="O110" s="720">
        <v>0</v>
      </c>
      <c r="P110" s="714">
        <f>SUM(J110+L110+N110)</f>
        <v>0</v>
      </c>
      <c r="Q110" s="572">
        <f>SUM(K110+M110+O110)</f>
        <v>0</v>
      </c>
      <c r="R110" s="307"/>
      <c r="S110" s="359"/>
      <c r="T110" s="34"/>
      <c r="U110" s="368"/>
      <c r="V110" s="360">
        <f>X110-P110</f>
        <v>808</v>
      </c>
      <c r="W110" s="267">
        <f>Y110-Q110</f>
        <v>117</v>
      </c>
      <c r="X110" s="912">
        <v>808</v>
      </c>
      <c r="Y110" s="913">
        <v>117</v>
      </c>
      <c r="Z110" s="368">
        <f>Q110*1/Y110</f>
        <v>0</v>
      </c>
      <c r="AA110" s="368">
        <f>W110*1/Y110</f>
        <v>1</v>
      </c>
      <c r="AB110" s="307">
        <f>Y110/H110</f>
        <v>58.5</v>
      </c>
      <c r="AC110" s="359">
        <f>X110/Y110</f>
        <v>6.905982905982906</v>
      </c>
      <c r="AD110" s="26">
        <f>6347+909.5+628+750+577.5+2136+808</f>
        <v>12156</v>
      </c>
      <c r="AE110" s="27">
        <f>404+81+65+79+78+218+117</f>
        <v>1042</v>
      </c>
      <c r="AF110" s="361">
        <f>+AD110/AE110</f>
        <v>11.66602687140115</v>
      </c>
      <c r="AG110" s="749">
        <v>100</v>
      </c>
    </row>
    <row r="111" spans="1:33" s="94" customFormat="1" ht="9.75" customHeight="1">
      <c r="A111" s="391">
        <v>101</v>
      </c>
      <c r="B111" s="867"/>
      <c r="C111" s="870"/>
      <c r="D111" s="729" t="s">
        <v>43</v>
      </c>
      <c r="E111" s="686">
        <v>40655</v>
      </c>
      <c r="F111" s="729" t="s">
        <v>65</v>
      </c>
      <c r="G111" s="743">
        <v>35</v>
      </c>
      <c r="H111" s="728">
        <v>1</v>
      </c>
      <c r="I111" s="728">
        <v>14</v>
      </c>
      <c r="J111" s="671">
        <v>27</v>
      </c>
      <c r="K111" s="521">
        <v>3</v>
      </c>
      <c r="L111" s="671">
        <v>133</v>
      </c>
      <c r="M111" s="521">
        <v>17</v>
      </c>
      <c r="N111" s="671">
        <v>142</v>
      </c>
      <c r="O111" s="521">
        <v>18</v>
      </c>
      <c r="P111" s="714">
        <f>+J111+L111+N111</f>
        <v>302</v>
      </c>
      <c r="Q111" s="572">
        <f>+K111+M111+O111</f>
        <v>38</v>
      </c>
      <c r="R111" s="737">
        <f>+Q111/H111</f>
        <v>38</v>
      </c>
      <c r="S111" s="359">
        <f>IF(P111&lt;&gt;0,P111/Q111,"")</f>
        <v>7.947368421052632</v>
      </c>
      <c r="T111" s="731"/>
      <c r="U111" s="368">
        <f>IF(T111&lt;&gt;0,-(T111-P111)/T111,"")</f>
      </c>
      <c r="V111" s="360">
        <f>X111-P111</f>
        <v>404</v>
      </c>
      <c r="W111" s="267">
        <f>Y111-Q111</f>
        <v>54</v>
      </c>
      <c r="X111" s="916">
        <v>706</v>
      </c>
      <c r="Y111" s="917">
        <v>92</v>
      </c>
      <c r="Z111" s="368">
        <f>Q111*1/Y111</f>
        <v>0.41304347826086957</v>
      </c>
      <c r="AA111" s="368">
        <f>W111*1/Y111</f>
        <v>0.5869565217391305</v>
      </c>
      <c r="AB111" s="307">
        <f>Y111/H111</f>
        <v>92</v>
      </c>
      <c r="AC111" s="359">
        <f>X111/Y111</f>
        <v>7.673913043478261</v>
      </c>
      <c r="AD111" s="671">
        <v>312772.5</v>
      </c>
      <c r="AE111" s="521">
        <v>30808</v>
      </c>
      <c r="AF111" s="905">
        <f>+AD111/AE111</f>
        <v>10.152314333939236</v>
      </c>
      <c r="AG111" s="749">
        <v>101</v>
      </c>
    </row>
    <row r="112" spans="1:33" s="94" customFormat="1" ht="9.75" customHeight="1">
      <c r="A112" s="391">
        <v>102</v>
      </c>
      <c r="B112" s="883"/>
      <c r="C112" s="884"/>
      <c r="D112" s="728" t="s">
        <v>35</v>
      </c>
      <c r="E112" s="907">
        <v>40648</v>
      </c>
      <c r="F112" s="713" t="s">
        <v>23</v>
      </c>
      <c r="G112" s="645">
        <v>65</v>
      </c>
      <c r="H112" s="31">
        <v>1</v>
      </c>
      <c r="I112" s="31">
        <v>16</v>
      </c>
      <c r="J112" s="710">
        <v>0</v>
      </c>
      <c r="K112" s="711">
        <v>0</v>
      </c>
      <c r="L112" s="710">
        <v>0</v>
      </c>
      <c r="M112" s="711">
        <v>0</v>
      </c>
      <c r="N112" s="710">
        <v>0</v>
      </c>
      <c r="O112" s="711">
        <v>0</v>
      </c>
      <c r="P112" s="714">
        <f>SUM(J112+L112+N112)</f>
        <v>0</v>
      </c>
      <c r="Q112" s="572">
        <f>SUM(K112+M112+O112)</f>
        <v>0</v>
      </c>
      <c r="R112" s="307"/>
      <c r="S112" s="359"/>
      <c r="T112" s="34"/>
      <c r="U112" s="368"/>
      <c r="V112" s="360">
        <f>X112-P112</f>
        <v>696</v>
      </c>
      <c r="W112" s="267">
        <f>Y112-Q112</f>
        <v>106</v>
      </c>
      <c r="X112" s="910">
        <v>696</v>
      </c>
      <c r="Y112" s="923">
        <v>106</v>
      </c>
      <c r="Z112" s="368">
        <f>Q112*1/Y112</f>
        <v>0</v>
      </c>
      <c r="AA112" s="368">
        <f>W112*1/Y112</f>
        <v>1</v>
      </c>
      <c r="AB112" s="307">
        <f>Y112/H112</f>
        <v>106</v>
      </c>
      <c r="AC112" s="359">
        <f>X112/Y112</f>
        <v>6.566037735849057</v>
      </c>
      <c r="AD112" s="28">
        <v>1752093</v>
      </c>
      <c r="AE112" s="732">
        <v>184892</v>
      </c>
      <c r="AF112" s="361">
        <f>+AD112/AE112</f>
        <v>9.476305086212491</v>
      </c>
      <c r="AG112" s="749">
        <v>102</v>
      </c>
    </row>
    <row r="113" spans="1:33" s="94" customFormat="1" ht="9.75" customHeight="1">
      <c r="A113" s="391">
        <v>103</v>
      </c>
      <c r="B113" s="875"/>
      <c r="C113" s="870"/>
      <c r="D113" s="726" t="s">
        <v>266</v>
      </c>
      <c r="E113" s="117">
        <v>40725</v>
      </c>
      <c r="F113" s="713" t="s">
        <v>32</v>
      </c>
      <c r="G113" s="744">
        <v>5</v>
      </c>
      <c r="H113" s="719">
        <v>2</v>
      </c>
      <c r="I113" s="719">
        <v>5</v>
      </c>
      <c r="J113" s="853">
        <v>54</v>
      </c>
      <c r="K113" s="720">
        <v>9</v>
      </c>
      <c r="L113" s="853">
        <v>106</v>
      </c>
      <c r="M113" s="720">
        <v>16</v>
      </c>
      <c r="N113" s="853">
        <v>177</v>
      </c>
      <c r="O113" s="720">
        <v>27</v>
      </c>
      <c r="P113" s="714">
        <f>SUM(J113+L113+N113)</f>
        <v>337</v>
      </c>
      <c r="Q113" s="572">
        <f>SUM(K113+M113+O113)</f>
        <v>52</v>
      </c>
      <c r="R113" s="307">
        <f>IF(P113&lt;&gt;0,Q113/H113,"")</f>
        <v>26</v>
      </c>
      <c r="S113" s="359">
        <f>IF(P113&lt;&gt;0,P113/Q113,"")</f>
        <v>6.480769230769231</v>
      </c>
      <c r="T113" s="34">
        <v>1131</v>
      </c>
      <c r="U113" s="368">
        <f>IF(T113&lt;&gt;0,-(T113-P113)/T113,"")</f>
        <v>-0.7020335985853228</v>
      </c>
      <c r="V113" s="360">
        <f>X113-P113</f>
        <v>241</v>
      </c>
      <c r="W113" s="267">
        <f>Y113-Q113</f>
        <v>38</v>
      </c>
      <c r="X113" s="912">
        <v>578</v>
      </c>
      <c r="Y113" s="913">
        <v>90</v>
      </c>
      <c r="Z113" s="368">
        <f>Q113*1/Y113</f>
        <v>0.5777777777777777</v>
      </c>
      <c r="AA113" s="368">
        <f>W113*1/Y113</f>
        <v>0.4222222222222222</v>
      </c>
      <c r="AB113" s="307">
        <f>Y113/H113</f>
        <v>45</v>
      </c>
      <c r="AC113" s="359">
        <f>X113/Y113</f>
        <v>6.4222222222222225</v>
      </c>
      <c r="AD113" s="26">
        <f>10816+3994+1279+2322+578</f>
        <v>18989</v>
      </c>
      <c r="AE113" s="27">
        <f>727+361+121+270+90</f>
        <v>1569</v>
      </c>
      <c r="AF113" s="361">
        <f>+AD113/AE113</f>
        <v>12.102613129381773</v>
      </c>
      <c r="AG113" s="749">
        <v>103</v>
      </c>
    </row>
    <row r="114" spans="1:33" s="94" customFormat="1" ht="9.75" customHeight="1">
      <c r="A114" s="391">
        <v>104</v>
      </c>
      <c r="B114" s="878"/>
      <c r="C114" s="870"/>
      <c r="D114" s="726" t="s">
        <v>186</v>
      </c>
      <c r="E114" s="206">
        <v>40557</v>
      </c>
      <c r="F114" s="713" t="s">
        <v>32</v>
      </c>
      <c r="G114" s="719">
        <v>50</v>
      </c>
      <c r="H114" s="719">
        <v>1</v>
      </c>
      <c r="I114" s="719">
        <v>20</v>
      </c>
      <c r="J114" s="853">
        <v>0</v>
      </c>
      <c r="K114" s="720">
        <v>0</v>
      </c>
      <c r="L114" s="853">
        <v>0</v>
      </c>
      <c r="M114" s="720">
        <v>0</v>
      </c>
      <c r="N114" s="853">
        <v>0</v>
      </c>
      <c r="O114" s="720">
        <v>0</v>
      </c>
      <c r="P114" s="714">
        <f>SUM(J114+L114+N114)</f>
        <v>0</v>
      </c>
      <c r="Q114" s="572">
        <f>SUM(K114+M114+O114)</f>
        <v>0</v>
      </c>
      <c r="R114" s="307"/>
      <c r="S114" s="359"/>
      <c r="T114" s="34"/>
      <c r="U114" s="368"/>
      <c r="V114" s="360">
        <f>X114-P114</f>
        <v>504</v>
      </c>
      <c r="W114" s="267">
        <f>Y114-Q114</f>
        <v>85</v>
      </c>
      <c r="X114" s="912">
        <v>504</v>
      </c>
      <c r="Y114" s="913">
        <v>85</v>
      </c>
      <c r="Z114" s="368">
        <f>Q114*1/Y114</f>
        <v>0</v>
      </c>
      <c r="AA114" s="368">
        <f>W114*1/Y114</f>
        <v>1</v>
      </c>
      <c r="AB114" s="307">
        <f>Y114/H114</f>
        <v>85</v>
      </c>
      <c r="AC114" s="359">
        <f>X114/Y114</f>
        <v>5.929411764705883</v>
      </c>
      <c r="AD114" s="26">
        <f>462199.75+464711.5+220315+61757.25+29707.5+19286.5+8649+8790+1188+2323+1706+5301+3087+570+1164+1417+434+1188+504</f>
        <v>1294298.5</v>
      </c>
      <c r="AE114" s="27">
        <f>36851+37511+17353+5020+3902+3186+1212+1112+297+256+244+743+557+80+151+194+70+297+85</f>
        <v>109121</v>
      </c>
      <c r="AF114" s="361">
        <f>+AD114/AE114</f>
        <v>11.86113122130479</v>
      </c>
      <c r="AG114" s="749">
        <v>104</v>
      </c>
    </row>
    <row r="115" spans="1:33" s="94" customFormat="1" ht="9.75" customHeight="1">
      <c r="A115" s="391">
        <v>105</v>
      </c>
      <c r="B115" s="872"/>
      <c r="C115" s="870"/>
      <c r="D115" s="727" t="s">
        <v>301</v>
      </c>
      <c r="E115" s="117">
        <v>40480</v>
      </c>
      <c r="F115" s="736" t="s">
        <v>8</v>
      </c>
      <c r="G115" s="24">
        <v>1</v>
      </c>
      <c r="H115" s="24">
        <v>1</v>
      </c>
      <c r="I115" s="24">
        <v>19</v>
      </c>
      <c r="J115" s="23">
        <v>0</v>
      </c>
      <c r="K115" s="503">
        <v>0</v>
      </c>
      <c r="L115" s="23">
        <v>144</v>
      </c>
      <c r="M115" s="503">
        <v>14</v>
      </c>
      <c r="N115" s="23">
        <v>125</v>
      </c>
      <c r="O115" s="503">
        <v>12</v>
      </c>
      <c r="P115" s="714">
        <f>+J115+L115+N115</f>
        <v>269</v>
      </c>
      <c r="Q115" s="572">
        <f>+K115+M115+O115</f>
        <v>26</v>
      </c>
      <c r="R115" s="307">
        <f>IF(P115&lt;&gt;0,Q115/H115,"")</f>
        <v>26</v>
      </c>
      <c r="S115" s="359">
        <f>IF(P115&lt;&gt;0,P115/Q115,"")</f>
        <v>10.346153846153847</v>
      </c>
      <c r="T115" s="34">
        <v>277</v>
      </c>
      <c r="U115" s="368">
        <f>IF(T115&lt;&gt;0,-(T115-P115)/T115,"")</f>
        <v>-0.02888086642599278</v>
      </c>
      <c r="V115" s="360">
        <f>X115-P115</f>
        <v>184</v>
      </c>
      <c r="W115" s="267">
        <f>Y115-Q115</f>
        <v>21</v>
      </c>
      <c r="X115" s="914">
        <v>453</v>
      </c>
      <c r="Y115" s="915">
        <v>47</v>
      </c>
      <c r="Z115" s="368">
        <f>Q115*1/Y115</f>
        <v>0.5531914893617021</v>
      </c>
      <c r="AA115" s="368">
        <f>W115*1/Y115</f>
        <v>0.44680851063829785</v>
      </c>
      <c r="AB115" s="307">
        <f>Y115/H115</f>
        <v>47</v>
      </c>
      <c r="AC115" s="359">
        <f>X115/Y115</f>
        <v>9.638297872340425</v>
      </c>
      <c r="AD115" s="23">
        <v>18344</v>
      </c>
      <c r="AE115" s="503">
        <v>1585</v>
      </c>
      <c r="AF115" s="905">
        <f>+AD115/AE115</f>
        <v>11.573501577287066</v>
      </c>
      <c r="AG115" s="749">
        <v>105</v>
      </c>
    </row>
    <row r="116" spans="1:33" s="94" customFormat="1" ht="9.75" customHeight="1">
      <c r="A116" s="391">
        <v>106</v>
      </c>
      <c r="B116" s="875"/>
      <c r="C116" s="879" t="s">
        <v>85</v>
      </c>
      <c r="D116" s="713" t="s">
        <v>243</v>
      </c>
      <c r="E116" s="117">
        <v>40711</v>
      </c>
      <c r="F116" s="713" t="s">
        <v>47</v>
      </c>
      <c r="G116" s="31">
        <v>4</v>
      </c>
      <c r="H116" s="31">
        <v>1</v>
      </c>
      <c r="I116" s="31">
        <v>5</v>
      </c>
      <c r="J116" s="710">
        <v>42</v>
      </c>
      <c r="K116" s="711">
        <v>6</v>
      </c>
      <c r="L116" s="710">
        <v>86</v>
      </c>
      <c r="M116" s="711">
        <v>12</v>
      </c>
      <c r="N116" s="710">
        <v>127</v>
      </c>
      <c r="O116" s="711">
        <v>18</v>
      </c>
      <c r="P116" s="740">
        <f>J116+L116+N116</f>
        <v>255</v>
      </c>
      <c r="Q116" s="737">
        <f>K116+M116+O116</f>
        <v>36</v>
      </c>
      <c r="R116" s="307">
        <f>IF(P116&lt;&gt;0,Q116/H116,"")</f>
        <v>36</v>
      </c>
      <c r="S116" s="359">
        <f>IF(P116&lt;&gt;0,P116/Q116,"")</f>
        <v>7.083333333333333</v>
      </c>
      <c r="T116" s="710"/>
      <c r="U116" s="368">
        <f>IF(T116&lt;&gt;0,-(T116-P116)/T116,"")</f>
      </c>
      <c r="V116" s="360">
        <f>X116-P116</f>
        <v>195</v>
      </c>
      <c r="W116" s="267">
        <f>Y116-Q116</f>
        <v>27</v>
      </c>
      <c r="X116" s="910">
        <v>450</v>
      </c>
      <c r="Y116" s="911">
        <v>63</v>
      </c>
      <c r="Z116" s="368">
        <f>Q116*1/Y116</f>
        <v>0.5714285714285714</v>
      </c>
      <c r="AA116" s="368">
        <f>W116*1/Y116</f>
        <v>0.42857142857142855</v>
      </c>
      <c r="AB116" s="307">
        <f>Y116/H116</f>
        <v>63</v>
      </c>
      <c r="AC116" s="359">
        <f>X116/Y116</f>
        <v>7.142857142857143</v>
      </c>
      <c r="AD116" s="28">
        <v>2675.5</v>
      </c>
      <c r="AE116" s="29">
        <v>384</v>
      </c>
      <c r="AF116" s="905">
        <f>+AD116/AE116</f>
        <v>6.967447916666667</v>
      </c>
      <c r="AG116" s="749">
        <v>106</v>
      </c>
    </row>
    <row r="117" spans="1:33" s="94" customFormat="1" ht="9.75" customHeight="1">
      <c r="A117" s="391">
        <v>107</v>
      </c>
      <c r="B117" s="878"/>
      <c r="C117" s="879" t="s">
        <v>85</v>
      </c>
      <c r="D117" s="726" t="s">
        <v>70</v>
      </c>
      <c r="E117" s="206">
        <v>40682</v>
      </c>
      <c r="F117" s="713" t="s">
        <v>32</v>
      </c>
      <c r="G117" s="719">
        <v>101</v>
      </c>
      <c r="H117" s="719">
        <v>3</v>
      </c>
      <c r="I117" s="719">
        <v>10</v>
      </c>
      <c r="J117" s="853">
        <v>0</v>
      </c>
      <c r="K117" s="720">
        <v>0</v>
      </c>
      <c r="L117" s="853">
        <v>0</v>
      </c>
      <c r="M117" s="720">
        <v>0</v>
      </c>
      <c r="N117" s="853">
        <v>0</v>
      </c>
      <c r="O117" s="720">
        <v>0</v>
      </c>
      <c r="P117" s="714">
        <f>SUM(J117+L117+N117)</f>
        <v>0</v>
      </c>
      <c r="Q117" s="572">
        <f>SUM(K117+M117+O117)</f>
        <v>0</v>
      </c>
      <c r="R117" s="307"/>
      <c r="S117" s="359"/>
      <c r="T117" s="34"/>
      <c r="U117" s="368"/>
      <c r="V117" s="360">
        <f>X117-P117</f>
        <v>445</v>
      </c>
      <c r="W117" s="267">
        <f>Y117-Q117</f>
        <v>81</v>
      </c>
      <c r="X117" s="912">
        <v>445</v>
      </c>
      <c r="Y117" s="924">
        <v>81</v>
      </c>
      <c r="Z117" s="368">
        <f>Q117*1/Y117</f>
        <v>0</v>
      </c>
      <c r="AA117" s="368">
        <f>W117*1/Y117</f>
        <v>1</v>
      </c>
      <c r="AB117" s="307">
        <f>Y117/H117</f>
        <v>27</v>
      </c>
      <c r="AC117" s="359">
        <f>X117/Y117</f>
        <v>5.493827160493828</v>
      </c>
      <c r="AD117" s="26">
        <f>27003.5+85794+43816.5+12611.5+5021+2538+922+420+6989.5+224+445</f>
        <v>185785</v>
      </c>
      <c r="AE117" s="463">
        <f>3081+10215+5836+1972+779+451+155+94+1736+32+81</f>
        <v>24432</v>
      </c>
      <c r="AF117" s="361">
        <f>+AD117/AE117</f>
        <v>7.604166666666667</v>
      </c>
      <c r="AG117" s="749">
        <v>107</v>
      </c>
    </row>
    <row r="118" spans="1:33" s="94" customFormat="1" ht="9.75" customHeight="1">
      <c r="A118" s="391">
        <v>108</v>
      </c>
      <c r="B118" s="878"/>
      <c r="C118" s="879" t="s">
        <v>85</v>
      </c>
      <c r="D118" s="726" t="s">
        <v>17</v>
      </c>
      <c r="E118" s="206">
        <v>40613</v>
      </c>
      <c r="F118" s="713" t="s">
        <v>32</v>
      </c>
      <c r="G118" s="719">
        <v>25</v>
      </c>
      <c r="H118" s="719">
        <v>1</v>
      </c>
      <c r="I118" s="719">
        <v>18</v>
      </c>
      <c r="J118" s="853">
        <v>0</v>
      </c>
      <c r="K118" s="720">
        <v>0</v>
      </c>
      <c r="L118" s="853">
        <v>0</v>
      </c>
      <c r="M118" s="720">
        <v>0</v>
      </c>
      <c r="N118" s="853">
        <v>0</v>
      </c>
      <c r="O118" s="720">
        <v>0</v>
      </c>
      <c r="P118" s="714">
        <f>SUM(J118+L118+N118)</f>
        <v>0</v>
      </c>
      <c r="Q118" s="572">
        <f>SUM(K118+M118+O118)</f>
        <v>0</v>
      </c>
      <c r="R118" s="307"/>
      <c r="S118" s="359"/>
      <c r="T118" s="34"/>
      <c r="U118" s="368"/>
      <c r="V118" s="360">
        <f>X118-P118</f>
        <v>402</v>
      </c>
      <c r="W118" s="267">
        <f>Y118-Q118</f>
        <v>40</v>
      </c>
      <c r="X118" s="912">
        <v>402</v>
      </c>
      <c r="Y118" s="924">
        <v>40</v>
      </c>
      <c r="Z118" s="368">
        <f>Q118*1/Y118</f>
        <v>0</v>
      </c>
      <c r="AA118" s="368">
        <f>W118*1/Y118</f>
        <v>1</v>
      </c>
      <c r="AB118" s="307">
        <f>Y118/H118</f>
        <v>40</v>
      </c>
      <c r="AC118" s="359">
        <f>X118/Y118</f>
        <v>10.05</v>
      </c>
      <c r="AD118" s="26">
        <f>75934+53479.5+29060+17465+26762+20460.5+20847+12710+19039+8622+2147+3636+459+653+4560+770+4752+402</f>
        <v>301758</v>
      </c>
      <c r="AE118" s="463">
        <f>9554+7103+4053+2490+4055+3124+3295+2389+2957+1767+459+626+92+107+609+124+1188+40</f>
        <v>44032</v>
      </c>
      <c r="AF118" s="361">
        <f>+AD118/AE118</f>
        <v>6.853152252906977</v>
      </c>
      <c r="AG118" s="749">
        <v>108</v>
      </c>
    </row>
    <row r="119" spans="1:33" s="94" customFormat="1" ht="9.75" customHeight="1">
      <c r="A119" s="391">
        <v>109</v>
      </c>
      <c r="B119" s="875"/>
      <c r="C119" s="879" t="s">
        <v>85</v>
      </c>
      <c r="D119" s="713" t="s">
        <v>237</v>
      </c>
      <c r="E119" s="470">
        <v>40704</v>
      </c>
      <c r="F119" s="713" t="s">
        <v>47</v>
      </c>
      <c r="G119" s="31">
        <v>35</v>
      </c>
      <c r="H119" s="31">
        <v>2</v>
      </c>
      <c r="I119" s="31">
        <v>7</v>
      </c>
      <c r="J119" s="710">
        <v>32</v>
      </c>
      <c r="K119" s="711">
        <v>4</v>
      </c>
      <c r="L119" s="710">
        <v>49</v>
      </c>
      <c r="M119" s="711">
        <v>6</v>
      </c>
      <c r="N119" s="710">
        <v>55</v>
      </c>
      <c r="O119" s="711">
        <v>7</v>
      </c>
      <c r="P119" s="714">
        <f>SUM(J119+L119+N119)</f>
        <v>136</v>
      </c>
      <c r="Q119" s="572">
        <f>SUM(K119+M119+O119)</f>
        <v>17</v>
      </c>
      <c r="R119" s="307">
        <f>IF(P119&lt;&gt;0,Q119/H119,"")</f>
        <v>8.5</v>
      </c>
      <c r="S119" s="359">
        <f>IF(P119&lt;&gt;0,P119/Q119,"")</f>
        <v>8</v>
      </c>
      <c r="T119" s="34">
        <v>154</v>
      </c>
      <c r="U119" s="368">
        <f>IF(T119&lt;&gt;0,-(T119-P119)/T119,"")</f>
        <v>-0.11688311688311688</v>
      </c>
      <c r="V119" s="360">
        <f>X119-P119</f>
        <v>259</v>
      </c>
      <c r="W119" s="267">
        <f>Y119-Q119</f>
        <v>37</v>
      </c>
      <c r="X119" s="910">
        <v>395</v>
      </c>
      <c r="Y119" s="911">
        <v>54</v>
      </c>
      <c r="Z119" s="368">
        <f>Q119*1/Y119</f>
        <v>0.3148148148148148</v>
      </c>
      <c r="AA119" s="368">
        <f>W119*1/Y119</f>
        <v>0.6851851851851852</v>
      </c>
      <c r="AB119" s="307">
        <f>Y119/H119</f>
        <v>27</v>
      </c>
      <c r="AC119" s="359">
        <f>X119/Y119</f>
        <v>7.314814814814815</v>
      </c>
      <c r="AD119" s="28">
        <v>22094.5</v>
      </c>
      <c r="AE119" s="29">
        <v>2920</v>
      </c>
      <c r="AF119" s="905">
        <f>+AD119/AE119</f>
        <v>7.566609589041096</v>
      </c>
      <c r="AG119" s="749">
        <v>109</v>
      </c>
    </row>
    <row r="120" spans="1:33" s="94" customFormat="1" ht="9.75" customHeight="1">
      <c r="A120" s="391">
        <v>110</v>
      </c>
      <c r="B120" s="878"/>
      <c r="C120" s="870"/>
      <c r="D120" s="727" t="s">
        <v>39</v>
      </c>
      <c r="E120" s="117">
        <v>40648</v>
      </c>
      <c r="F120" s="736" t="s">
        <v>8</v>
      </c>
      <c r="G120" s="24">
        <v>10</v>
      </c>
      <c r="H120" s="24">
        <v>3</v>
      </c>
      <c r="I120" s="24">
        <v>16</v>
      </c>
      <c r="J120" s="23">
        <v>30</v>
      </c>
      <c r="K120" s="503">
        <v>4</v>
      </c>
      <c r="L120" s="23">
        <v>48</v>
      </c>
      <c r="M120" s="503">
        <v>6</v>
      </c>
      <c r="N120" s="23">
        <v>178</v>
      </c>
      <c r="O120" s="503">
        <v>24</v>
      </c>
      <c r="P120" s="714">
        <f>SUM(J120+L120+N120)</f>
        <v>256</v>
      </c>
      <c r="Q120" s="572">
        <f>SUM(K120+M120+O120)</f>
        <v>34</v>
      </c>
      <c r="R120" s="307">
        <f>IF(P120&lt;&gt;0,Q120/H120,"")</f>
        <v>11.333333333333334</v>
      </c>
      <c r="S120" s="359">
        <f>+P120/Q120</f>
        <v>7.529411764705882</v>
      </c>
      <c r="T120" s="34">
        <v>2239</v>
      </c>
      <c r="U120" s="368">
        <f>IF(T120&lt;&gt;0,-(T120-P120)/T120,"")</f>
        <v>-0.8856632425189817</v>
      </c>
      <c r="V120" s="360">
        <f>X120-P120</f>
        <v>114</v>
      </c>
      <c r="W120" s="267">
        <f>Y120-Q120</f>
        <v>18</v>
      </c>
      <c r="X120" s="914">
        <v>370</v>
      </c>
      <c r="Y120" s="915">
        <v>52</v>
      </c>
      <c r="Z120" s="368">
        <f>Q120*1/Y120</f>
        <v>0.6538461538461539</v>
      </c>
      <c r="AA120" s="368">
        <f>W120*1/Y120</f>
        <v>0.34615384615384615</v>
      </c>
      <c r="AB120" s="307">
        <f>Y120/H120</f>
        <v>17.333333333333332</v>
      </c>
      <c r="AC120" s="359">
        <f>X120/Y120</f>
        <v>7.115384615384615</v>
      </c>
      <c r="AD120" s="23">
        <v>177931</v>
      </c>
      <c r="AE120" s="568">
        <v>16942</v>
      </c>
      <c r="AF120" s="905">
        <f>+AD120/AE120</f>
        <v>10.502360996340455</v>
      </c>
      <c r="AG120" s="749">
        <v>110</v>
      </c>
    </row>
    <row r="121" spans="1:33" s="94" customFormat="1" ht="9.75" customHeight="1">
      <c r="A121" s="391">
        <v>111</v>
      </c>
      <c r="B121" s="878"/>
      <c r="C121" s="870"/>
      <c r="D121" s="726" t="s">
        <v>41</v>
      </c>
      <c r="E121" s="206">
        <v>40655</v>
      </c>
      <c r="F121" s="713" t="s">
        <v>32</v>
      </c>
      <c r="G121" s="719">
        <v>156</v>
      </c>
      <c r="H121" s="719">
        <v>1</v>
      </c>
      <c r="I121" s="719">
        <v>15</v>
      </c>
      <c r="J121" s="853">
        <v>0</v>
      </c>
      <c r="K121" s="720">
        <v>0</v>
      </c>
      <c r="L121" s="853">
        <v>0</v>
      </c>
      <c r="M121" s="720">
        <v>0</v>
      </c>
      <c r="N121" s="853">
        <v>0</v>
      </c>
      <c r="O121" s="720">
        <v>0</v>
      </c>
      <c r="P121" s="714">
        <f>SUM(J121+L121+N121)</f>
        <v>0</v>
      </c>
      <c r="Q121" s="572">
        <f>SUM(K121+M121+O121)</f>
        <v>0</v>
      </c>
      <c r="R121" s="307"/>
      <c r="S121" s="359"/>
      <c r="T121" s="34"/>
      <c r="U121" s="368"/>
      <c r="V121" s="360">
        <f>X121-P121</f>
        <v>357</v>
      </c>
      <c r="W121" s="267">
        <f>Y121-Q121</f>
        <v>67</v>
      </c>
      <c r="X121" s="912">
        <v>357</v>
      </c>
      <c r="Y121" s="913">
        <v>67</v>
      </c>
      <c r="Z121" s="368">
        <f>Q121*1/Y121</f>
        <v>0</v>
      </c>
      <c r="AA121" s="368">
        <f>W121*1/Y121</f>
        <v>1</v>
      </c>
      <c r="AB121" s="307">
        <f>Y121/H121</f>
        <v>67</v>
      </c>
      <c r="AC121" s="359">
        <f>X121/Y121</f>
        <v>5.3283582089552235</v>
      </c>
      <c r="AD121" s="26">
        <f>633760.5+136320.5+35218.5+12632+4659.5+2946+8058+2678+3172+3399.5+598+564+1471+2243+357</f>
        <v>848077.5</v>
      </c>
      <c r="AE121" s="27">
        <f>74640+17307+4811+1875+917+522+1372+426+632+730+116+93+159+384+67</f>
        <v>104051</v>
      </c>
      <c r="AF121" s="361">
        <f>+AD121/AE121</f>
        <v>8.150594420044017</v>
      </c>
      <c r="AG121" s="749">
        <v>111</v>
      </c>
    </row>
    <row r="122" spans="1:33" s="94" customFormat="1" ht="9.75" customHeight="1">
      <c r="A122" s="391">
        <v>112</v>
      </c>
      <c r="B122" s="875"/>
      <c r="C122" s="879" t="s">
        <v>85</v>
      </c>
      <c r="D122" s="727" t="s">
        <v>415</v>
      </c>
      <c r="E122" s="117">
        <v>39500</v>
      </c>
      <c r="F122" s="736" t="s">
        <v>29</v>
      </c>
      <c r="G122" s="31">
        <v>230</v>
      </c>
      <c r="H122" s="31">
        <v>2</v>
      </c>
      <c r="I122" s="31">
        <v>32</v>
      </c>
      <c r="J122" s="710">
        <v>0</v>
      </c>
      <c r="K122" s="711">
        <v>0</v>
      </c>
      <c r="L122" s="710">
        <v>0</v>
      </c>
      <c r="M122" s="711">
        <v>0</v>
      </c>
      <c r="N122" s="710">
        <v>0</v>
      </c>
      <c r="O122" s="711">
        <v>0</v>
      </c>
      <c r="P122" s="740">
        <f>SUM(J122+L122+N122)</f>
        <v>0</v>
      </c>
      <c r="Q122" s="737">
        <f>SUM(K122+M122+O122)</f>
        <v>0</v>
      </c>
      <c r="R122" s="307">
        <f>IF(P122&lt;&gt;0,Q122/H122,"")</f>
      </c>
      <c r="S122" s="359">
        <f>IF(P122&lt;&gt;0,P122/Q122,"")</f>
      </c>
      <c r="T122" s="710"/>
      <c r="U122" s="368">
        <f>IF(T122&lt;&gt;0,-(T122-P122)/T122,"")</f>
      </c>
      <c r="V122" s="360">
        <f>X122-P122</f>
        <v>260</v>
      </c>
      <c r="W122" s="267">
        <f>Y122-Q122</f>
        <v>52</v>
      </c>
      <c r="X122" s="922">
        <v>260</v>
      </c>
      <c r="Y122" s="911">
        <v>52</v>
      </c>
      <c r="Z122" s="368">
        <f>Q122*1/Y122</f>
        <v>0</v>
      </c>
      <c r="AA122" s="368">
        <f>W122*1/Y122</f>
        <v>1</v>
      </c>
      <c r="AB122" s="307">
        <f>Y122/H122</f>
        <v>26</v>
      </c>
      <c r="AC122" s="359">
        <f>X122/Y122</f>
        <v>5</v>
      </c>
      <c r="AD122" s="889">
        <f>11178366+8377359.5+4672112.5+2362758+1366481.5+794201+526150+259383+162480.5+71477.5+186652+102815+31501+9708+8823.5+5724+3796+3024+2161+13986+11929.5+905+5825+547+419+6173.5+6130+150+355+12+864+260</f>
        <v>30172530</v>
      </c>
      <c r="AE122" s="887">
        <f>1530255+1134702+635170+318515+192563+137173+96324+54461+35028+20139+72208+38598+10936+3213+2963+1896+1251+1004+711+4452+3769+206+1822+128+100+1906+1891+26+73+4+154+52</f>
        <v>4301693</v>
      </c>
      <c r="AF122" s="905">
        <f>+AD122/AE122</f>
        <v>7.014105841583767</v>
      </c>
      <c r="AG122" s="749">
        <v>112</v>
      </c>
    </row>
    <row r="123" spans="1:33" s="94" customFormat="1" ht="9.75" customHeight="1">
      <c r="A123" s="391">
        <v>113</v>
      </c>
      <c r="B123" s="867"/>
      <c r="C123" s="870"/>
      <c r="D123" s="729" t="s">
        <v>27</v>
      </c>
      <c r="E123" s="686">
        <v>40627</v>
      </c>
      <c r="F123" s="729" t="s">
        <v>65</v>
      </c>
      <c r="G123" s="728">
        <v>2</v>
      </c>
      <c r="H123" s="728">
        <v>2</v>
      </c>
      <c r="I123" s="728">
        <v>19</v>
      </c>
      <c r="J123" s="671">
        <v>46</v>
      </c>
      <c r="K123" s="521">
        <v>6</v>
      </c>
      <c r="L123" s="671">
        <v>38.5</v>
      </c>
      <c r="M123" s="521">
        <v>5</v>
      </c>
      <c r="N123" s="671">
        <v>94</v>
      </c>
      <c r="O123" s="521">
        <v>12</v>
      </c>
      <c r="P123" s="714">
        <f>SUM(J123+L123+N123)</f>
        <v>178.5</v>
      </c>
      <c r="Q123" s="572">
        <f>SUM(K123+M123+O123)</f>
        <v>23</v>
      </c>
      <c r="R123" s="307">
        <f>IF(P123&lt;&gt;0,Q123/H123,"")</f>
        <v>11.5</v>
      </c>
      <c r="S123" s="359">
        <f>IF(P123&lt;&gt;0,P123/Q123,"")</f>
        <v>7.760869565217392</v>
      </c>
      <c r="T123" s="731">
        <v>423.5</v>
      </c>
      <c r="U123" s="368">
        <f>IF(T123&lt;&gt;0,-(T123-P123)/T123,"")</f>
        <v>-0.5785123966942148</v>
      </c>
      <c r="V123" s="360">
        <f>X123-P123</f>
        <v>54</v>
      </c>
      <c r="W123" s="267">
        <f>Y123-Q123</f>
        <v>8</v>
      </c>
      <c r="X123" s="916">
        <v>232.5</v>
      </c>
      <c r="Y123" s="917">
        <v>31</v>
      </c>
      <c r="Z123" s="368">
        <f>Q123*1/Y123</f>
        <v>0.7419354838709677</v>
      </c>
      <c r="AA123" s="368">
        <f>W123*1/Y123</f>
        <v>0.25806451612903225</v>
      </c>
      <c r="AB123" s="307">
        <f>Y123/H123</f>
        <v>15.5</v>
      </c>
      <c r="AC123" s="359">
        <f>X123/Y123</f>
        <v>7.5</v>
      </c>
      <c r="AD123" s="671">
        <v>31817</v>
      </c>
      <c r="AE123" s="521">
        <v>4389</v>
      </c>
      <c r="AF123" s="905">
        <f>+AD123/AE123</f>
        <v>7.2492595124174075</v>
      </c>
      <c r="AG123" s="749">
        <v>113</v>
      </c>
    </row>
    <row r="124" spans="1:33" s="94" customFormat="1" ht="9.75" customHeight="1">
      <c r="A124" s="391">
        <v>114</v>
      </c>
      <c r="B124" s="878"/>
      <c r="C124" s="879" t="s">
        <v>85</v>
      </c>
      <c r="D124" s="726" t="s">
        <v>67</v>
      </c>
      <c r="E124" s="206">
        <v>40676</v>
      </c>
      <c r="F124" s="713" t="s">
        <v>32</v>
      </c>
      <c r="G124" s="719">
        <v>10</v>
      </c>
      <c r="H124" s="719">
        <v>1</v>
      </c>
      <c r="I124" s="719">
        <v>12</v>
      </c>
      <c r="J124" s="853">
        <v>0</v>
      </c>
      <c r="K124" s="720">
        <v>0</v>
      </c>
      <c r="L124" s="853">
        <v>0</v>
      </c>
      <c r="M124" s="720">
        <v>0</v>
      </c>
      <c r="N124" s="853">
        <v>0</v>
      </c>
      <c r="O124" s="720">
        <v>0</v>
      </c>
      <c r="P124" s="714">
        <f>SUM(J124+L124+N124)</f>
        <v>0</v>
      </c>
      <c r="Q124" s="572">
        <f>SUM(K124+M124+O124)</f>
        <v>0</v>
      </c>
      <c r="R124" s="307"/>
      <c r="S124" s="359"/>
      <c r="T124" s="34"/>
      <c r="U124" s="368"/>
      <c r="V124" s="360">
        <f>X124-P124</f>
        <v>182</v>
      </c>
      <c r="W124" s="267">
        <f>Y124-Q124</f>
        <v>16</v>
      </c>
      <c r="X124" s="912">
        <v>182</v>
      </c>
      <c r="Y124" s="913">
        <v>16</v>
      </c>
      <c r="Z124" s="368">
        <f>Q124*1/Y124</f>
        <v>0</v>
      </c>
      <c r="AA124" s="368">
        <f>W124*1/Y124</f>
        <v>1</v>
      </c>
      <c r="AB124" s="307">
        <f>Y124/H124</f>
        <v>16</v>
      </c>
      <c r="AC124" s="359">
        <f>X124/Y124</f>
        <v>11.375</v>
      </c>
      <c r="AD124" s="26">
        <f>19776.5+5289.5+3941.5+4149+6030.5+491+2263+886+669+235+576+182</f>
        <v>44489</v>
      </c>
      <c r="AE124" s="27">
        <f>2214+710+772+646+1024+103+434+139+105+46+100+16</f>
        <v>6309</v>
      </c>
      <c r="AF124" s="361">
        <f>+AD124/AE124</f>
        <v>7.051672214297036</v>
      </c>
      <c r="AG124" s="749">
        <v>114</v>
      </c>
    </row>
    <row r="125" spans="1:33" s="94" customFormat="1" ht="9.75" customHeight="1">
      <c r="A125" s="391">
        <v>115</v>
      </c>
      <c r="B125" s="875"/>
      <c r="C125" s="870"/>
      <c r="D125" s="727" t="s">
        <v>414</v>
      </c>
      <c r="E125" s="117">
        <v>40290</v>
      </c>
      <c r="F125" s="736" t="s">
        <v>29</v>
      </c>
      <c r="G125" s="31">
        <v>25</v>
      </c>
      <c r="H125" s="31">
        <v>1</v>
      </c>
      <c r="I125" s="31">
        <v>13</v>
      </c>
      <c r="J125" s="710">
        <v>24</v>
      </c>
      <c r="K125" s="711">
        <v>4</v>
      </c>
      <c r="L125" s="710">
        <v>36</v>
      </c>
      <c r="M125" s="711">
        <v>6</v>
      </c>
      <c r="N125" s="710">
        <v>42</v>
      </c>
      <c r="O125" s="711">
        <v>7</v>
      </c>
      <c r="P125" s="740">
        <f>SUM(J125+L125+N125)</f>
        <v>102</v>
      </c>
      <c r="Q125" s="737">
        <f>SUM(K125+M125+O125)</f>
        <v>17</v>
      </c>
      <c r="R125" s="307">
        <f>IF(P125&lt;&gt;0,Q125/H125,"")</f>
        <v>17</v>
      </c>
      <c r="S125" s="359">
        <f>IF(P125&lt;&gt;0,P125/Q125,"")</f>
        <v>6</v>
      </c>
      <c r="T125" s="710"/>
      <c r="U125" s="368">
        <f>IF(T125&lt;&gt;0,-(T125-P125)/T125,"")</f>
      </c>
      <c r="V125" s="360">
        <f>X125-P125</f>
        <v>78</v>
      </c>
      <c r="W125" s="267">
        <f>Y125-Q125</f>
        <v>13</v>
      </c>
      <c r="X125" s="922">
        <v>180</v>
      </c>
      <c r="Y125" s="911">
        <v>30</v>
      </c>
      <c r="Z125" s="368">
        <f>Q125*1/Y125</f>
        <v>0.5666666666666667</v>
      </c>
      <c r="AA125" s="368">
        <f>W125*1/Y125</f>
        <v>0.43333333333333335</v>
      </c>
      <c r="AB125" s="307">
        <f>Y125/H125</f>
        <v>30</v>
      </c>
      <c r="AC125" s="359">
        <f>X125/Y125</f>
        <v>6</v>
      </c>
      <c r="AD125" s="886">
        <f>94030+36665.5+19228.5+15274+9884.5+3195.5+2792+1795+3042.5+1500+1095+266+180</f>
        <v>188948.5</v>
      </c>
      <c r="AE125" s="29">
        <f>8677+3579+2658+2286+1470+489+408+244+413+249+211+52+30</f>
        <v>20766</v>
      </c>
      <c r="AF125" s="905">
        <f>+AD125/AE125</f>
        <v>9.09893576037754</v>
      </c>
      <c r="AG125" s="749">
        <v>115</v>
      </c>
    </row>
    <row r="126" spans="1:33" s="94" customFormat="1" ht="9.75" customHeight="1">
      <c r="A126" s="391">
        <v>116</v>
      </c>
      <c r="B126" s="874"/>
      <c r="C126" s="879" t="s">
        <v>85</v>
      </c>
      <c r="D126" s="709" t="s">
        <v>20</v>
      </c>
      <c r="E126" s="564">
        <v>40620</v>
      </c>
      <c r="F126" s="713" t="s">
        <v>21</v>
      </c>
      <c r="G126" s="22">
        <v>218</v>
      </c>
      <c r="H126" s="22">
        <v>1</v>
      </c>
      <c r="I126" s="22">
        <v>20</v>
      </c>
      <c r="J126" s="23">
        <v>43</v>
      </c>
      <c r="K126" s="503">
        <v>6</v>
      </c>
      <c r="L126" s="23">
        <v>21</v>
      </c>
      <c r="M126" s="503">
        <v>3</v>
      </c>
      <c r="N126" s="23">
        <v>7</v>
      </c>
      <c r="O126" s="503">
        <v>1</v>
      </c>
      <c r="P126" s="714">
        <f>SUM(J126+L126+N126)</f>
        <v>71</v>
      </c>
      <c r="Q126" s="572">
        <f>SUM(K126+M126+O126)</f>
        <v>10</v>
      </c>
      <c r="R126" s="732">
        <f>Q126/H126</f>
        <v>10</v>
      </c>
      <c r="S126" s="359">
        <f>IF(P126&lt;&gt;0,P126/Q126,"")</f>
        <v>7.1</v>
      </c>
      <c r="T126" s="34"/>
      <c r="U126" s="368">
        <f>IF(T126&lt;&gt;0,-(T126-P126)/T126,"")</f>
      </c>
      <c r="V126" s="360">
        <f>X126-P126</f>
        <v>99</v>
      </c>
      <c r="W126" s="267">
        <f>Y126-Q126</f>
        <v>13</v>
      </c>
      <c r="X126" s="925">
        <v>170</v>
      </c>
      <c r="Y126" s="926">
        <v>23</v>
      </c>
      <c r="Z126" s="368">
        <f>Q126*1/Y126</f>
        <v>0.43478260869565216</v>
      </c>
      <c r="AA126" s="368">
        <f>W126*1/Y126</f>
        <v>0.5652173913043478</v>
      </c>
      <c r="AB126" s="307">
        <f>Y126/H126</f>
        <v>23</v>
      </c>
      <c r="AC126" s="359">
        <f>X126/Y126</f>
        <v>7.391304347826087</v>
      </c>
      <c r="AD126" s="714">
        <f>868723.5+629960.75+471670+272432+164061+97109.5+34971.5+29195+10591.5+4973+1214+25859.5+8228+5222+126+1321+161+8414+5940+170</f>
        <v>2640343.25</v>
      </c>
      <c r="AE126" s="888">
        <f>93361+70981+54177+33865+22657+14644+6278+5343+1965+923+199+3609+1160+736+18+257+23+1598+1188+23</f>
        <v>313005</v>
      </c>
      <c r="AF126" s="361">
        <f>+AD126/AE126</f>
        <v>8.43546668583569</v>
      </c>
      <c r="AG126" s="749">
        <v>116</v>
      </c>
    </row>
    <row r="127" spans="1:33" s="94" customFormat="1" ht="9.75" customHeight="1">
      <c r="A127" s="391">
        <v>117</v>
      </c>
      <c r="B127" s="878"/>
      <c r="C127" s="870"/>
      <c r="D127" s="897" t="s">
        <v>242</v>
      </c>
      <c r="E127" s="505">
        <v>40711</v>
      </c>
      <c r="F127" s="713" t="s">
        <v>32</v>
      </c>
      <c r="G127" s="719">
        <v>1</v>
      </c>
      <c r="H127" s="719">
        <v>1</v>
      </c>
      <c r="I127" s="719">
        <v>6</v>
      </c>
      <c r="J127" s="853">
        <v>0</v>
      </c>
      <c r="K127" s="720">
        <v>0</v>
      </c>
      <c r="L127" s="853">
        <v>0</v>
      </c>
      <c r="M127" s="720">
        <v>0</v>
      </c>
      <c r="N127" s="853">
        <v>0</v>
      </c>
      <c r="O127" s="720">
        <v>0</v>
      </c>
      <c r="P127" s="714">
        <f>SUM(J127+L127+N127)</f>
        <v>0</v>
      </c>
      <c r="Q127" s="572">
        <f>SUM(K127+M127+O127)</f>
        <v>0</v>
      </c>
      <c r="R127" s="307"/>
      <c r="S127" s="359"/>
      <c r="T127" s="34"/>
      <c r="U127" s="368"/>
      <c r="V127" s="360">
        <f>X127-P127</f>
        <v>159</v>
      </c>
      <c r="W127" s="267">
        <f>Y127-Q127</f>
        <v>28</v>
      </c>
      <c r="X127" s="927">
        <v>159</v>
      </c>
      <c r="Y127" s="924">
        <v>28</v>
      </c>
      <c r="Z127" s="368">
        <f>Q127*1/Y127</f>
        <v>0</v>
      </c>
      <c r="AA127" s="368">
        <f>W127*1/Y127</f>
        <v>1</v>
      </c>
      <c r="AB127" s="307">
        <f>Y127/H127</f>
        <v>28</v>
      </c>
      <c r="AC127" s="359">
        <f>X127/Y127</f>
        <v>5.678571428571429</v>
      </c>
      <c r="AD127" s="462">
        <f>2079+2156+600+711+244+159</f>
        <v>5949</v>
      </c>
      <c r="AE127" s="463">
        <f>143+271+75+67+107+28</f>
        <v>691</v>
      </c>
      <c r="AF127" s="361">
        <f>+AD127/AE127</f>
        <v>8.609261939218523</v>
      </c>
      <c r="AG127" s="749">
        <v>117</v>
      </c>
    </row>
    <row r="128" spans="1:33" s="94" customFormat="1" ht="9.75" customHeight="1">
      <c r="A128" s="391">
        <v>118</v>
      </c>
      <c r="B128" s="883"/>
      <c r="C128" s="884"/>
      <c r="D128" s="724" t="s">
        <v>38</v>
      </c>
      <c r="E128" s="117">
        <v>40648</v>
      </c>
      <c r="F128" s="713" t="s">
        <v>23</v>
      </c>
      <c r="G128" s="31">
        <v>76</v>
      </c>
      <c r="H128" s="645">
        <v>1</v>
      </c>
      <c r="I128" s="645">
        <v>16</v>
      </c>
      <c r="J128" s="740">
        <v>0</v>
      </c>
      <c r="K128" s="737">
        <v>0</v>
      </c>
      <c r="L128" s="740">
        <v>6</v>
      </c>
      <c r="M128" s="737">
        <v>1</v>
      </c>
      <c r="N128" s="740">
        <v>0</v>
      </c>
      <c r="O128" s="737">
        <v>0</v>
      </c>
      <c r="P128" s="714">
        <f>SUM(J128+L128+N128)</f>
        <v>6</v>
      </c>
      <c r="Q128" s="572">
        <f>SUM(K128+M128+O128)</f>
        <v>1</v>
      </c>
      <c r="R128" s="307">
        <f>IF(P128&lt;&gt;0,Q128/H128,"")</f>
        <v>1</v>
      </c>
      <c r="S128" s="359">
        <f>IF(P128&lt;&gt;0,P128/Q128,"")</f>
        <v>6</v>
      </c>
      <c r="T128" s="34">
        <v>48</v>
      </c>
      <c r="U128" s="368">
        <f>IF(T128&lt;&gt;0,-(T128-P128)/T128,"")</f>
        <v>-0.875</v>
      </c>
      <c r="V128" s="360">
        <f>X128-P128</f>
        <v>102</v>
      </c>
      <c r="W128" s="267">
        <f>Y128-Q128</f>
        <v>17</v>
      </c>
      <c r="X128" s="928">
        <v>108</v>
      </c>
      <c r="Y128" s="923">
        <v>18</v>
      </c>
      <c r="Z128" s="368">
        <f>Q128*1/Y128</f>
        <v>0.05555555555555555</v>
      </c>
      <c r="AA128" s="368">
        <f>W128*1/Y128</f>
        <v>0.9444444444444444</v>
      </c>
      <c r="AB128" s="307">
        <f>Y128/H128</f>
        <v>18</v>
      </c>
      <c r="AC128" s="359">
        <f>X128/Y128</f>
        <v>6</v>
      </c>
      <c r="AD128" s="577">
        <v>562770</v>
      </c>
      <c r="AE128" s="732">
        <v>59791</v>
      </c>
      <c r="AF128" s="361">
        <f>+AD128/AE128</f>
        <v>9.412286130019568</v>
      </c>
      <c r="AG128" s="749">
        <v>118</v>
      </c>
    </row>
    <row r="129" spans="1:33" s="94" customFormat="1" ht="9.75" customHeight="1">
      <c r="A129" s="391">
        <v>119</v>
      </c>
      <c r="B129" s="867"/>
      <c r="C129" s="870"/>
      <c r="D129" s="728" t="s">
        <v>52</v>
      </c>
      <c r="E129" s="470">
        <v>40662</v>
      </c>
      <c r="F129" s="729" t="s">
        <v>65</v>
      </c>
      <c r="G129" s="728">
        <v>4</v>
      </c>
      <c r="H129" s="743">
        <v>1</v>
      </c>
      <c r="I129" s="743">
        <v>13</v>
      </c>
      <c r="J129" s="735">
        <v>14</v>
      </c>
      <c r="K129" s="732">
        <v>4</v>
      </c>
      <c r="L129" s="735">
        <v>10.5</v>
      </c>
      <c r="M129" s="732">
        <v>3</v>
      </c>
      <c r="N129" s="735">
        <v>17.5</v>
      </c>
      <c r="O129" s="732">
        <v>5</v>
      </c>
      <c r="P129" s="735">
        <f>SUM(J129+L129+N129)</f>
        <v>42</v>
      </c>
      <c r="Q129" s="732">
        <f>SUM(K129+M129+O129)</f>
        <v>12</v>
      </c>
      <c r="R129" s="734">
        <f>IF(P129&lt;&gt;0,Q129/H129,"")</f>
        <v>12</v>
      </c>
      <c r="S129" s="359">
        <f>IF(P129&lt;&gt;0,P129/Q129,"")</f>
        <v>3.5</v>
      </c>
      <c r="T129" s="671">
        <v>1187</v>
      </c>
      <c r="U129" s="368">
        <f>IF(T129&lt;&gt;0,-(T129-P129)/T129,"")</f>
        <v>-0.9646166807076664</v>
      </c>
      <c r="V129" s="360">
        <f>X129-P129</f>
        <v>63</v>
      </c>
      <c r="W129" s="267">
        <f>Y129-Q129</f>
        <v>18</v>
      </c>
      <c r="X129" s="929">
        <v>105</v>
      </c>
      <c r="Y129" s="930">
        <v>30</v>
      </c>
      <c r="Z129" s="368">
        <f>Q129*1/Y129</f>
        <v>0.4</v>
      </c>
      <c r="AA129" s="368">
        <f>W129*1/Y129</f>
        <v>0.6</v>
      </c>
      <c r="AB129" s="307">
        <f>Y129/H129</f>
        <v>30</v>
      </c>
      <c r="AC129" s="359">
        <f>X129/Y129</f>
        <v>3.5</v>
      </c>
      <c r="AD129" s="735">
        <v>33495.75</v>
      </c>
      <c r="AE129" s="732">
        <v>4155</v>
      </c>
      <c r="AF129" s="905">
        <f>+AD129/AE129</f>
        <v>8.061552346570398</v>
      </c>
      <c r="AG129" s="749">
        <v>119</v>
      </c>
    </row>
    <row r="130" spans="1:33" s="94" customFormat="1" ht="9.75" customHeight="1">
      <c r="A130" s="391">
        <v>120</v>
      </c>
      <c r="B130" s="875"/>
      <c r="C130" s="870"/>
      <c r="D130" s="727" t="s">
        <v>219</v>
      </c>
      <c r="E130" s="117">
        <v>40690</v>
      </c>
      <c r="F130" s="736" t="s">
        <v>29</v>
      </c>
      <c r="G130" s="31">
        <v>50</v>
      </c>
      <c r="H130" s="645">
        <v>1</v>
      </c>
      <c r="I130" s="645">
        <v>10</v>
      </c>
      <c r="J130" s="740">
        <v>0</v>
      </c>
      <c r="K130" s="737">
        <v>0</v>
      </c>
      <c r="L130" s="740">
        <v>12</v>
      </c>
      <c r="M130" s="737">
        <v>2</v>
      </c>
      <c r="N130" s="740">
        <v>24</v>
      </c>
      <c r="O130" s="737">
        <v>4</v>
      </c>
      <c r="P130" s="740">
        <f>SUM(J130+L130+N130)</f>
        <v>36</v>
      </c>
      <c r="Q130" s="737">
        <f>SUM(K130+M130+O130)</f>
        <v>6</v>
      </c>
      <c r="R130" s="307">
        <f>IF(P130&lt;&gt;0,Q130/H130,"")</f>
        <v>6</v>
      </c>
      <c r="S130" s="359">
        <f>IF(P130&lt;&gt;0,P130/Q130,"")</f>
        <v>6</v>
      </c>
      <c r="T130" s="710">
        <v>269</v>
      </c>
      <c r="U130" s="368">
        <f>IF(T130&lt;&gt;0,-(T130-P130)/T130,"")</f>
        <v>-0.8661710037174721</v>
      </c>
      <c r="V130" s="360">
        <f>X130-P130</f>
        <v>54</v>
      </c>
      <c r="W130" s="267">
        <f>Y130-Q130</f>
        <v>9</v>
      </c>
      <c r="X130" s="931">
        <v>90</v>
      </c>
      <c r="Y130" s="930">
        <v>15</v>
      </c>
      <c r="Z130" s="368">
        <f>Q130*1/Y130</f>
        <v>0.4</v>
      </c>
      <c r="AA130" s="368">
        <f>W130*1/Y130</f>
        <v>0.6</v>
      </c>
      <c r="AB130" s="307">
        <f>Y130/H130</f>
        <v>15</v>
      </c>
      <c r="AC130" s="359">
        <f>X130/Y130</f>
        <v>6</v>
      </c>
      <c r="AD130" s="735">
        <f>158493+654+221+564+90</f>
        <v>160022</v>
      </c>
      <c r="AE130" s="732">
        <f>17460+97+38+91+15</f>
        <v>17701</v>
      </c>
      <c r="AF130" s="905">
        <f>+AD130/AE130</f>
        <v>9.040280210157619</v>
      </c>
      <c r="AG130" s="749">
        <v>120</v>
      </c>
    </row>
    <row r="131" spans="1:33" s="94" customFormat="1" ht="9.75" customHeight="1">
      <c r="A131" s="391">
        <v>121</v>
      </c>
      <c r="B131" s="878"/>
      <c r="C131" s="870"/>
      <c r="D131" s="726" t="s">
        <v>229</v>
      </c>
      <c r="E131" s="206">
        <v>40697</v>
      </c>
      <c r="F131" s="713" t="s">
        <v>32</v>
      </c>
      <c r="G131" s="719">
        <v>6</v>
      </c>
      <c r="H131" s="744">
        <v>1</v>
      </c>
      <c r="I131" s="744">
        <v>9</v>
      </c>
      <c r="J131" s="852">
        <v>0</v>
      </c>
      <c r="K131" s="745">
        <v>0</v>
      </c>
      <c r="L131" s="852">
        <v>0</v>
      </c>
      <c r="M131" s="745">
        <v>0</v>
      </c>
      <c r="N131" s="852">
        <v>0</v>
      </c>
      <c r="O131" s="745">
        <v>0</v>
      </c>
      <c r="P131" s="714">
        <f>SUM(J131+L131+N131)</f>
        <v>0</v>
      </c>
      <c r="Q131" s="572">
        <f>SUM(K131+M131+O131)</f>
        <v>0</v>
      </c>
      <c r="R131" s="307"/>
      <c r="S131" s="359"/>
      <c r="T131" s="34"/>
      <c r="U131" s="368"/>
      <c r="V131" s="360">
        <f>X131-P131</f>
        <v>84</v>
      </c>
      <c r="W131" s="267">
        <f>Y131-Q131</f>
        <v>14</v>
      </c>
      <c r="X131" s="927">
        <v>84</v>
      </c>
      <c r="Y131" s="924">
        <v>14</v>
      </c>
      <c r="Z131" s="368">
        <f>Q131*1/Y131</f>
        <v>0</v>
      </c>
      <c r="AA131" s="368">
        <f>W131*1/Y131</f>
        <v>1</v>
      </c>
      <c r="AB131" s="307">
        <f>Y131/H131</f>
        <v>14</v>
      </c>
      <c r="AC131" s="359">
        <f>X131/Y131</f>
        <v>6</v>
      </c>
      <c r="AD131" s="462">
        <f>7308.5+4183+1649+2054+1803+655+1433+1497+84</f>
        <v>20666.5</v>
      </c>
      <c r="AE131" s="463">
        <f>676+456+178+256+234+96+216+221+14</f>
        <v>2347</v>
      </c>
      <c r="AF131" s="361">
        <f>+AD131/AE131</f>
        <v>8.805496378355347</v>
      </c>
      <c r="AG131" s="749">
        <v>121</v>
      </c>
    </row>
    <row r="132" spans="1:33" s="94" customFormat="1" ht="9.75" customHeight="1">
      <c r="A132" s="391">
        <v>122</v>
      </c>
      <c r="B132" s="881"/>
      <c r="C132" s="879" t="s">
        <v>85</v>
      </c>
      <c r="D132" s="713" t="s">
        <v>26</v>
      </c>
      <c r="E132" s="117">
        <v>40606</v>
      </c>
      <c r="F132" s="713" t="s">
        <v>21</v>
      </c>
      <c r="G132" s="22">
        <v>152</v>
      </c>
      <c r="H132" s="664">
        <v>1</v>
      </c>
      <c r="I132" s="664">
        <v>17</v>
      </c>
      <c r="J132" s="561">
        <v>0</v>
      </c>
      <c r="K132" s="568">
        <v>0</v>
      </c>
      <c r="L132" s="561">
        <v>0</v>
      </c>
      <c r="M132" s="568">
        <v>0</v>
      </c>
      <c r="N132" s="561">
        <v>30</v>
      </c>
      <c r="O132" s="568">
        <v>6</v>
      </c>
      <c r="P132" s="714">
        <f>SUM(J132+L132+N132)</f>
        <v>30</v>
      </c>
      <c r="Q132" s="572">
        <f>SUM(K132+M132+O132)</f>
        <v>6</v>
      </c>
      <c r="R132" s="307">
        <f>IF(P132&lt;&gt;0,Q132/H132,"")</f>
        <v>6</v>
      </c>
      <c r="S132" s="359">
        <f>IF(P132&lt;&gt;0,P132/Q132,"")</f>
        <v>5</v>
      </c>
      <c r="T132" s="34">
        <v>116</v>
      </c>
      <c r="U132" s="368">
        <f>IF(T132&lt;&gt;0,-(T132-P132)/T132,"")</f>
        <v>-0.7413793103448276</v>
      </c>
      <c r="V132" s="360">
        <f>X132-P132</f>
        <v>40</v>
      </c>
      <c r="W132" s="267">
        <f>Y132-Q132</f>
        <v>8</v>
      </c>
      <c r="X132" s="925">
        <v>70</v>
      </c>
      <c r="Y132" s="926">
        <v>14</v>
      </c>
      <c r="Z132" s="368">
        <f>Q132*1/Y132</f>
        <v>0.42857142857142855</v>
      </c>
      <c r="AA132" s="368">
        <f>W132*1/Y132</f>
        <v>0.5714285714285714</v>
      </c>
      <c r="AB132" s="307">
        <f>Y132/H132</f>
        <v>14</v>
      </c>
      <c r="AC132" s="359">
        <f>X132/Y132</f>
        <v>5</v>
      </c>
      <c r="AD132" s="714">
        <f>1064857.25+602581.25+269086.5+86552+70688+40243.5+15124.5+5534.5+5248.5+1364+305+140+147+994+250+240+70</f>
        <v>2163426</v>
      </c>
      <c r="AE132" s="888">
        <f>118954+67997+33243+12973+11521+6623+2561+922+800+239+45+20+21+199+36+34+14</f>
        <v>256202</v>
      </c>
      <c r="AF132" s="361">
        <f>AD132/AE132</f>
        <v>8.444219795317757</v>
      </c>
      <c r="AG132" s="749">
        <v>122</v>
      </c>
    </row>
    <row r="133" spans="1:33" s="94" customFormat="1" ht="9.75" customHeight="1">
      <c r="A133" s="391">
        <v>123</v>
      </c>
      <c r="B133" s="869"/>
      <c r="C133" s="870"/>
      <c r="D133" s="727" t="s">
        <v>56</v>
      </c>
      <c r="E133" s="117">
        <v>40669</v>
      </c>
      <c r="F133" s="736" t="s">
        <v>8</v>
      </c>
      <c r="G133" s="24">
        <v>20</v>
      </c>
      <c r="H133" s="717">
        <v>1</v>
      </c>
      <c r="I133" s="717">
        <v>13</v>
      </c>
      <c r="J133" s="561">
        <v>0</v>
      </c>
      <c r="K133" s="568">
        <v>0</v>
      </c>
      <c r="L133" s="561">
        <v>0</v>
      </c>
      <c r="M133" s="568">
        <v>0</v>
      </c>
      <c r="N133" s="561">
        <v>16</v>
      </c>
      <c r="O133" s="568">
        <v>2</v>
      </c>
      <c r="P133" s="735">
        <f>SUM(J133+L133+N133)</f>
        <v>16</v>
      </c>
      <c r="Q133" s="732">
        <f>SUM(K133+M133+O133)</f>
        <v>2</v>
      </c>
      <c r="R133" s="732">
        <f>Q133/H133</f>
        <v>2</v>
      </c>
      <c r="S133" s="359">
        <f>IF(P133&lt;&gt;0,P133/Q133,"")</f>
        <v>8</v>
      </c>
      <c r="T133" s="671">
        <v>1359</v>
      </c>
      <c r="U133" s="368">
        <f>IF(T133&lt;&gt;0,-(T133-P133)/T133,"")</f>
        <v>-0.9882266372332598</v>
      </c>
      <c r="V133" s="360">
        <f>X133-P133</f>
        <v>30</v>
      </c>
      <c r="W133" s="267">
        <f>Y133-Q133</f>
        <v>4</v>
      </c>
      <c r="X133" s="932">
        <v>46</v>
      </c>
      <c r="Y133" s="933">
        <v>6</v>
      </c>
      <c r="Z133" s="368">
        <f>Q133*1/Y133</f>
        <v>0.3333333333333333</v>
      </c>
      <c r="AA133" s="368">
        <f>W133*1/Y133</f>
        <v>0.6666666666666666</v>
      </c>
      <c r="AB133" s="307">
        <f>Y133/H133</f>
        <v>6</v>
      </c>
      <c r="AC133" s="359">
        <f>X133/Y133</f>
        <v>7.666666666666667</v>
      </c>
      <c r="AD133" s="561">
        <v>201103</v>
      </c>
      <c r="AE133" s="568">
        <v>19521</v>
      </c>
      <c r="AF133" s="361">
        <f>+AD133/AE133</f>
        <v>10.30188002663798</v>
      </c>
      <c r="AG133" s="749">
        <v>123</v>
      </c>
    </row>
    <row r="134" spans="1:33" s="94" customFormat="1" ht="12.75" customHeight="1" thickBot="1">
      <c r="A134" s="390"/>
      <c r="B134" s="885"/>
      <c r="C134" s="336"/>
      <c r="D134" s="131"/>
      <c r="E134" s="132"/>
      <c r="F134" s="131"/>
      <c r="G134" s="133"/>
      <c r="H134" s="133"/>
      <c r="I134" s="133"/>
      <c r="J134" s="134"/>
      <c r="K134" s="135"/>
      <c r="L134" s="134"/>
      <c r="M134" s="135"/>
      <c r="N134" s="134"/>
      <c r="O134" s="135"/>
      <c r="P134" s="136"/>
      <c r="Q134" s="137"/>
      <c r="R134" s="138"/>
      <c r="S134" s="139"/>
      <c r="T134" s="134"/>
      <c r="U134" s="369"/>
      <c r="V134" s="140"/>
      <c r="W134" s="141"/>
      <c r="X134" s="142"/>
      <c r="Y134" s="143"/>
      <c r="Z134" s="369"/>
      <c r="AA134" s="369"/>
      <c r="AB134" s="138"/>
      <c r="AC134" s="139"/>
      <c r="AD134" s="142"/>
      <c r="AE134" s="143"/>
      <c r="AF134" s="144"/>
      <c r="AG134" s="750"/>
    </row>
    <row r="135" spans="1:32" s="94" customFormat="1" ht="15.75" thickBot="1">
      <c r="A135" s="146"/>
      <c r="B135" s="147"/>
      <c r="E135" s="148"/>
      <c r="G135" s="147"/>
      <c r="H135" s="147"/>
      <c r="I135" s="147"/>
      <c r="J135" s="149"/>
      <c r="K135" s="150"/>
      <c r="L135" s="149"/>
      <c r="M135" s="150"/>
      <c r="N135" s="149"/>
      <c r="O135" s="150"/>
      <c r="P135" s="151"/>
      <c r="Q135" s="152"/>
      <c r="R135" s="150"/>
      <c r="S135" s="149"/>
      <c r="T135" s="149"/>
      <c r="U135" s="154"/>
      <c r="V135" s="352"/>
      <c r="W135" s="156"/>
      <c r="X135" s="354"/>
      <c r="Y135" s="342"/>
      <c r="Z135" s="371"/>
      <c r="AA135" s="371"/>
      <c r="AB135" s="156"/>
      <c r="AC135" s="352"/>
      <c r="AD135" s="149"/>
      <c r="AE135" s="158"/>
      <c r="AF135" s="149"/>
    </row>
    <row r="136" spans="1:33" s="159" customFormat="1" ht="12.75">
      <c r="A136" s="798" t="s">
        <v>87</v>
      </c>
      <c r="B136" s="799"/>
      <c r="C136" s="799"/>
      <c r="D136" s="799"/>
      <c r="E136" s="799"/>
      <c r="F136" s="799"/>
      <c r="G136" s="799"/>
      <c r="H136" s="799"/>
      <c r="I136" s="799"/>
      <c r="J136" s="799"/>
      <c r="K136" s="799"/>
      <c r="L136" s="799"/>
      <c r="M136" s="799"/>
      <c r="N136" s="799"/>
      <c r="O136" s="799"/>
      <c r="P136" s="799"/>
      <c r="Q136" s="799"/>
      <c r="R136" s="799"/>
      <c r="S136" s="799"/>
      <c r="T136" s="799"/>
      <c r="U136" s="799"/>
      <c r="V136" s="799"/>
      <c r="W136" s="799"/>
      <c r="X136" s="799"/>
      <c r="Y136" s="799"/>
      <c r="Z136" s="799"/>
      <c r="AA136" s="799"/>
      <c r="AB136" s="799"/>
      <c r="AC136" s="799"/>
      <c r="AD136" s="799"/>
      <c r="AE136" s="799"/>
      <c r="AF136" s="799"/>
      <c r="AG136" s="800"/>
    </row>
    <row r="137" spans="1:33" s="159" customFormat="1" ht="12.75">
      <c r="A137" s="801"/>
      <c r="B137" s="802"/>
      <c r="C137" s="802"/>
      <c r="D137" s="802"/>
      <c r="E137" s="802"/>
      <c r="F137" s="802"/>
      <c r="G137" s="802"/>
      <c r="H137" s="802"/>
      <c r="I137" s="802"/>
      <c r="J137" s="802"/>
      <c r="K137" s="802"/>
      <c r="L137" s="802"/>
      <c r="M137" s="802"/>
      <c r="N137" s="802"/>
      <c r="O137" s="802"/>
      <c r="P137" s="802"/>
      <c r="Q137" s="802"/>
      <c r="R137" s="802"/>
      <c r="S137" s="802"/>
      <c r="T137" s="802"/>
      <c r="U137" s="802"/>
      <c r="V137" s="802"/>
      <c r="W137" s="802"/>
      <c r="X137" s="802"/>
      <c r="Y137" s="802"/>
      <c r="Z137" s="802"/>
      <c r="AA137" s="802"/>
      <c r="AB137" s="802"/>
      <c r="AC137" s="802"/>
      <c r="AD137" s="802"/>
      <c r="AE137" s="802"/>
      <c r="AF137" s="802"/>
      <c r="AG137" s="803"/>
    </row>
    <row r="138" spans="1:33" s="159" customFormat="1" ht="12.75">
      <c r="A138" s="801"/>
      <c r="B138" s="802"/>
      <c r="C138" s="802"/>
      <c r="D138" s="802"/>
      <c r="E138" s="802"/>
      <c r="F138" s="802"/>
      <c r="G138" s="802"/>
      <c r="H138" s="802"/>
      <c r="I138" s="802"/>
      <c r="J138" s="802"/>
      <c r="K138" s="802"/>
      <c r="L138" s="802"/>
      <c r="M138" s="802"/>
      <c r="N138" s="802"/>
      <c r="O138" s="802"/>
      <c r="P138" s="802"/>
      <c r="Q138" s="802"/>
      <c r="R138" s="802"/>
      <c r="S138" s="802"/>
      <c r="T138" s="802"/>
      <c r="U138" s="802"/>
      <c r="V138" s="802"/>
      <c r="W138" s="802"/>
      <c r="X138" s="802"/>
      <c r="Y138" s="802"/>
      <c r="Z138" s="802"/>
      <c r="AA138" s="802"/>
      <c r="AB138" s="802"/>
      <c r="AC138" s="802"/>
      <c r="AD138" s="802"/>
      <c r="AE138" s="802"/>
      <c r="AF138" s="802"/>
      <c r="AG138" s="803"/>
    </row>
    <row r="139" spans="1:33" s="159" customFormat="1" ht="12.75">
      <c r="A139" s="801"/>
      <c r="B139" s="802"/>
      <c r="C139" s="802"/>
      <c r="D139" s="802"/>
      <c r="E139" s="802"/>
      <c r="F139" s="802"/>
      <c r="G139" s="802"/>
      <c r="H139" s="802"/>
      <c r="I139" s="802"/>
      <c r="J139" s="802"/>
      <c r="K139" s="802"/>
      <c r="L139" s="802"/>
      <c r="M139" s="802"/>
      <c r="N139" s="802"/>
      <c r="O139" s="802"/>
      <c r="P139" s="802"/>
      <c r="Q139" s="802"/>
      <c r="R139" s="802"/>
      <c r="S139" s="802"/>
      <c r="T139" s="802"/>
      <c r="U139" s="802"/>
      <c r="V139" s="802"/>
      <c r="W139" s="802"/>
      <c r="X139" s="802"/>
      <c r="Y139" s="802"/>
      <c r="Z139" s="802"/>
      <c r="AA139" s="802"/>
      <c r="AB139" s="802"/>
      <c r="AC139" s="802"/>
      <c r="AD139" s="802"/>
      <c r="AE139" s="802"/>
      <c r="AF139" s="802"/>
      <c r="AG139" s="803"/>
    </row>
    <row r="140" spans="1:33" s="159" customFormat="1" ht="12.75">
      <c r="A140" s="801"/>
      <c r="B140" s="802"/>
      <c r="C140" s="802"/>
      <c r="D140" s="802"/>
      <c r="E140" s="802"/>
      <c r="F140" s="802"/>
      <c r="G140" s="802"/>
      <c r="H140" s="802"/>
      <c r="I140" s="802"/>
      <c r="J140" s="802"/>
      <c r="K140" s="802"/>
      <c r="L140" s="802"/>
      <c r="M140" s="802"/>
      <c r="N140" s="802"/>
      <c r="O140" s="802"/>
      <c r="P140" s="802"/>
      <c r="Q140" s="802"/>
      <c r="R140" s="802"/>
      <c r="S140" s="802"/>
      <c r="T140" s="802"/>
      <c r="U140" s="802"/>
      <c r="V140" s="802"/>
      <c r="W140" s="802"/>
      <c r="X140" s="802"/>
      <c r="Y140" s="802"/>
      <c r="Z140" s="802"/>
      <c r="AA140" s="802"/>
      <c r="AB140" s="802"/>
      <c r="AC140" s="802"/>
      <c r="AD140" s="802"/>
      <c r="AE140" s="802"/>
      <c r="AF140" s="802"/>
      <c r="AG140" s="803"/>
    </row>
    <row r="141" spans="1:33" s="159" customFormat="1" ht="13.5" thickBot="1">
      <c r="A141" s="804"/>
      <c r="B141" s="805"/>
      <c r="C141" s="805"/>
      <c r="D141" s="805"/>
      <c r="E141" s="805"/>
      <c r="F141" s="805"/>
      <c r="G141" s="805"/>
      <c r="H141" s="805"/>
      <c r="I141" s="805"/>
      <c r="J141" s="805"/>
      <c r="K141" s="805"/>
      <c r="L141" s="805"/>
      <c r="M141" s="805"/>
      <c r="N141" s="805"/>
      <c r="O141" s="805"/>
      <c r="P141" s="805"/>
      <c r="Q141" s="805"/>
      <c r="R141" s="805"/>
      <c r="S141" s="805"/>
      <c r="T141" s="805"/>
      <c r="U141" s="805"/>
      <c r="V141" s="805"/>
      <c r="W141" s="805"/>
      <c r="X141" s="805"/>
      <c r="Y141" s="805"/>
      <c r="Z141" s="805"/>
      <c r="AA141" s="805"/>
      <c r="AB141" s="805"/>
      <c r="AC141" s="805"/>
      <c r="AD141" s="805"/>
      <c r="AE141" s="805"/>
      <c r="AF141" s="805"/>
      <c r="AG141" s="806"/>
    </row>
    <row r="148" ht="18">
      <c r="D148" s="357"/>
    </row>
    <row r="149" ht="18">
      <c r="D149" s="175"/>
    </row>
  </sheetData>
  <sheetProtection password="F896" sheet="1" formatCells="0" formatColumns="0" formatRows="0" insertColumns="0" insertRows="0" insertHyperlinks="0" deleteColumns="0" deleteRows="0" sort="0" autoFilter="0" pivotTables="0"/>
  <mergeCells count="37">
    <mergeCell ref="A5:E5"/>
    <mergeCell ref="X1:AB1"/>
    <mergeCell ref="AC1:AG1"/>
    <mergeCell ref="X4:AB4"/>
    <mergeCell ref="A1:I1"/>
    <mergeCell ref="A2:I2"/>
    <mergeCell ref="A3:I3"/>
    <mergeCell ref="A4:E4"/>
    <mergeCell ref="X5:AG5"/>
    <mergeCell ref="A136:AG141"/>
    <mergeCell ref="D6:G6"/>
    <mergeCell ref="H6:I6"/>
    <mergeCell ref="J6:U6"/>
    <mergeCell ref="J7:K7"/>
    <mergeCell ref="L7:M7"/>
    <mergeCell ref="N7:O7"/>
    <mergeCell ref="P7:Q7"/>
    <mergeCell ref="R7:S7"/>
    <mergeCell ref="T7:U7"/>
    <mergeCell ref="J9:K9"/>
    <mergeCell ref="L9:M9"/>
    <mergeCell ref="N9:O9"/>
    <mergeCell ref="P9:Q9"/>
    <mergeCell ref="AB9:AC9"/>
    <mergeCell ref="AD6:AG6"/>
    <mergeCell ref="V6:W6"/>
    <mergeCell ref="X6:Y6"/>
    <mergeCell ref="Z6:AA6"/>
    <mergeCell ref="AB6:AC6"/>
    <mergeCell ref="AD7:AE7"/>
    <mergeCell ref="AB7:AC7"/>
    <mergeCell ref="Z9:AA9"/>
    <mergeCell ref="X7:Y7"/>
    <mergeCell ref="Z7:AA7"/>
    <mergeCell ref="R9:S9"/>
    <mergeCell ref="T9:U9"/>
    <mergeCell ref="V7:W7"/>
  </mergeCells>
  <hyperlinks>
    <hyperlink ref="X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D14:AE108 AD110:AE132" unlockedFormula="1"/>
    <ignoredError sqref="AF12:AF110 AF132" formula="1"/>
  </ignoredErrors>
  <drawing r:id="rId3"/>
</worksheet>
</file>

<file path=xl/worksheets/sheet2.xml><?xml version="1.0" encoding="utf-8"?>
<worksheet xmlns="http://schemas.openxmlformats.org/spreadsheetml/2006/main" xmlns:r="http://schemas.openxmlformats.org/officeDocument/2006/relationships">
  <dimension ref="A1:K203"/>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4.421875" style="160" bestFit="1" customWidth="1"/>
    <col min="2" max="2" width="43.28125" style="163" bestFit="1" customWidth="1"/>
    <col min="3" max="3" width="9.28125" style="164" bestFit="1" customWidth="1"/>
    <col min="4" max="4" width="19.7109375" style="164" bestFit="1" customWidth="1"/>
    <col min="5" max="5" width="5.8515625" style="164" bestFit="1" customWidth="1"/>
    <col min="6" max="6" width="8.140625" style="166" bestFit="1" customWidth="1"/>
    <col min="7" max="7" width="12.28125" style="163" bestFit="1" customWidth="1"/>
    <col min="8" max="8" width="8.8515625" style="163" bestFit="1" customWidth="1"/>
    <col min="9" max="9" width="9.140625" style="163" bestFit="1" customWidth="1"/>
    <col min="10" max="10" width="4.421875" style="163" bestFit="1" customWidth="1"/>
    <col min="11" max="11" width="6.8515625" style="661" customWidth="1"/>
    <col min="12" max="15" width="6.8515625" style="163" customWidth="1"/>
    <col min="16" max="16384" width="4.421875" style="163" customWidth="1"/>
  </cols>
  <sheetData>
    <row r="1" spans="1:11" s="55" customFormat="1" ht="25.5">
      <c r="A1" s="824" t="s">
        <v>176</v>
      </c>
      <c r="B1" s="825"/>
      <c r="C1" s="825"/>
      <c r="D1" s="825"/>
      <c r="E1" s="825"/>
      <c r="F1" s="825"/>
      <c r="G1" s="826"/>
      <c r="H1" s="826"/>
      <c r="I1" s="826"/>
      <c r="J1" s="826"/>
      <c r="K1" s="655"/>
    </row>
    <row r="2" spans="1:11" s="55" customFormat="1" ht="18.75">
      <c r="A2" s="827" t="s">
        <v>177</v>
      </c>
      <c r="B2" s="828"/>
      <c r="C2" s="828"/>
      <c r="D2" s="828"/>
      <c r="E2" s="828"/>
      <c r="F2" s="828"/>
      <c r="G2" s="826"/>
      <c r="H2" s="826"/>
      <c r="I2" s="826"/>
      <c r="J2" s="826"/>
      <c r="K2" s="655"/>
    </row>
    <row r="3" spans="1:11" s="55" customFormat="1" ht="27" thickBot="1">
      <c r="A3" s="790" t="s">
        <v>136</v>
      </c>
      <c r="B3" s="787"/>
      <c r="C3" s="787"/>
      <c r="D3" s="787"/>
      <c r="E3" s="787"/>
      <c r="F3" s="787"/>
      <c r="G3" s="829"/>
      <c r="H3" s="829"/>
      <c r="I3" s="829"/>
      <c r="J3" s="829"/>
      <c r="K3" s="655"/>
    </row>
    <row r="4" spans="1:11" s="55" customFormat="1" ht="32.25">
      <c r="A4" s="819" t="s">
        <v>406</v>
      </c>
      <c r="B4" s="820"/>
      <c r="C4" s="820"/>
      <c r="D4" s="59"/>
      <c r="E4" s="59"/>
      <c r="F4" s="59"/>
      <c r="G4" s="186"/>
      <c r="H4" s="187"/>
      <c r="I4" s="186"/>
      <c r="J4" s="186"/>
      <c r="K4" s="655"/>
    </row>
    <row r="5" spans="1:11" s="55" customFormat="1" ht="33" thickBot="1">
      <c r="A5" s="821" t="s">
        <v>405</v>
      </c>
      <c r="B5" s="822"/>
      <c r="C5" s="822"/>
      <c r="D5" s="61"/>
      <c r="E5" s="61"/>
      <c r="F5" s="61"/>
      <c r="G5" s="823"/>
      <c r="H5" s="823"/>
      <c r="I5" s="823"/>
      <c r="J5" s="823"/>
      <c r="K5" s="655"/>
    </row>
    <row r="6" spans="1:11" s="64" customFormat="1" ht="15.75" customHeight="1" thickBot="1">
      <c r="A6" s="62"/>
      <c r="B6" s="817" t="s">
        <v>119</v>
      </c>
      <c r="C6" s="817"/>
      <c r="D6" s="817"/>
      <c r="E6" s="817"/>
      <c r="F6" s="63"/>
      <c r="G6" s="817" t="s">
        <v>117</v>
      </c>
      <c r="H6" s="817"/>
      <c r="I6" s="817"/>
      <c r="J6" s="817"/>
      <c r="K6" s="656"/>
    </row>
    <row r="7" spans="1:11" s="68" customFormat="1" ht="12.75" customHeight="1">
      <c r="A7" s="65"/>
      <c r="B7" s="1"/>
      <c r="C7" s="67" t="s">
        <v>88</v>
      </c>
      <c r="D7" s="1"/>
      <c r="E7" s="1" t="s">
        <v>91</v>
      </c>
      <c r="F7" s="1" t="s">
        <v>93</v>
      </c>
      <c r="G7" s="818"/>
      <c r="H7" s="818"/>
      <c r="I7" s="66" t="s">
        <v>103</v>
      </c>
      <c r="J7" s="66"/>
      <c r="K7" s="657"/>
    </row>
    <row r="8" spans="1:11" s="68" customFormat="1" ht="13.5" thickBot="1">
      <c r="A8" s="69"/>
      <c r="B8" s="71" t="s">
        <v>9</v>
      </c>
      <c r="C8" s="72" t="s">
        <v>89</v>
      </c>
      <c r="D8" s="73" t="s">
        <v>1</v>
      </c>
      <c r="E8" s="73" t="s">
        <v>90</v>
      </c>
      <c r="F8" s="73" t="s">
        <v>88</v>
      </c>
      <c r="G8" s="70" t="s">
        <v>7</v>
      </c>
      <c r="H8" s="70" t="s">
        <v>6</v>
      </c>
      <c r="I8" s="70" t="s">
        <v>104</v>
      </c>
      <c r="J8" s="70"/>
      <c r="K8" s="657"/>
    </row>
    <row r="9" spans="1:11" s="82" customFormat="1" ht="12.75" customHeight="1">
      <c r="A9" s="77"/>
      <c r="B9" s="77"/>
      <c r="C9" s="78" t="s">
        <v>95</v>
      </c>
      <c r="D9" s="77"/>
      <c r="E9" s="77" t="s">
        <v>98</v>
      </c>
      <c r="F9" s="77" t="s">
        <v>101</v>
      </c>
      <c r="G9" s="81"/>
      <c r="H9" s="81"/>
      <c r="I9" s="79" t="s">
        <v>109</v>
      </c>
      <c r="J9" s="79"/>
      <c r="K9" s="658"/>
    </row>
    <row r="10" spans="1:11" s="82" customFormat="1" ht="13.5" thickBot="1">
      <c r="A10" s="317"/>
      <c r="B10" s="315" t="s">
        <v>94</v>
      </c>
      <c r="C10" s="316" t="s">
        <v>96</v>
      </c>
      <c r="D10" s="317" t="s">
        <v>97</v>
      </c>
      <c r="E10" s="317" t="s">
        <v>99</v>
      </c>
      <c r="F10" s="317" t="s">
        <v>102</v>
      </c>
      <c r="G10" s="321" t="s">
        <v>108</v>
      </c>
      <c r="H10" s="321" t="s">
        <v>110</v>
      </c>
      <c r="I10" s="321" t="s">
        <v>110</v>
      </c>
      <c r="J10" s="83"/>
      <c r="K10" s="658"/>
    </row>
    <row r="11" spans="1:11" s="94" customFormat="1" ht="12" customHeight="1">
      <c r="A11" s="698">
        <v>1</v>
      </c>
      <c r="B11" s="769" t="s">
        <v>24</v>
      </c>
      <c r="C11" s="311">
        <v>40550</v>
      </c>
      <c r="D11" s="974" t="s">
        <v>23</v>
      </c>
      <c r="E11" s="746">
        <v>356</v>
      </c>
      <c r="F11" s="746">
        <v>30</v>
      </c>
      <c r="G11" s="975">
        <v>36629956</v>
      </c>
      <c r="H11" s="976">
        <v>3948136</v>
      </c>
      <c r="I11" s="903">
        <f>+G11/H11</f>
        <v>9.277784757161355</v>
      </c>
      <c r="J11" s="93">
        <v>1</v>
      </c>
      <c r="K11" s="659"/>
    </row>
    <row r="12" spans="1:11" s="94" customFormat="1" ht="12" customHeight="1">
      <c r="A12" s="95">
        <v>2</v>
      </c>
      <c r="B12" s="757" t="s">
        <v>22</v>
      </c>
      <c r="C12" s="117">
        <v>40578</v>
      </c>
      <c r="D12" s="709" t="s">
        <v>23</v>
      </c>
      <c r="E12" s="31">
        <v>224</v>
      </c>
      <c r="F12" s="31">
        <v>26</v>
      </c>
      <c r="G12" s="696">
        <v>21872517</v>
      </c>
      <c r="H12" s="376">
        <v>2407653</v>
      </c>
      <c r="I12" s="361">
        <f>+G12/H12</f>
        <v>9.08458029458564</v>
      </c>
      <c r="J12" s="103">
        <v>2</v>
      </c>
      <c r="K12" s="659">
        <v>1</v>
      </c>
    </row>
    <row r="13" spans="1:11" s="94" customFormat="1" ht="12" customHeight="1">
      <c r="A13" s="95">
        <v>3</v>
      </c>
      <c r="B13" s="756" t="s">
        <v>383</v>
      </c>
      <c r="C13" s="117">
        <v>40571</v>
      </c>
      <c r="D13" s="736" t="s">
        <v>29</v>
      </c>
      <c r="E13" s="31">
        <v>364</v>
      </c>
      <c r="F13" s="31">
        <v>18</v>
      </c>
      <c r="G13" s="959">
        <f>9270289+4217769.25+1762200.5+76.25+863944.5+635392-7+421743.5+30+17848+42283+4475+2710+9188.5+236+9382+7318+3597+3597+3597+3048+6645</f>
        <v>17285362.5</v>
      </c>
      <c r="H13" s="697">
        <f>1060415+493112+207846+16+104665+81570-1+60457+6+2952+6890+337+594+1519+29+1560+1216+600+600+600+508+1107</f>
        <v>2026598</v>
      </c>
      <c r="I13" s="905">
        <f>+G13/H13</f>
        <v>8.529250744350877</v>
      </c>
      <c r="J13" s="103">
        <v>3</v>
      </c>
      <c r="K13" s="659">
        <v>1</v>
      </c>
    </row>
    <row r="14" spans="1:11" s="94" customFormat="1" ht="12" customHeight="1">
      <c r="A14" s="95">
        <v>4</v>
      </c>
      <c r="B14" s="757" t="s">
        <v>68</v>
      </c>
      <c r="C14" s="117">
        <v>40682</v>
      </c>
      <c r="D14" s="713" t="s">
        <v>23</v>
      </c>
      <c r="E14" s="31">
        <v>115</v>
      </c>
      <c r="F14" s="31">
        <v>12</v>
      </c>
      <c r="G14" s="696">
        <v>13072161</v>
      </c>
      <c r="H14" s="376">
        <v>1159734</v>
      </c>
      <c r="I14" s="905">
        <f>+G14/H14</f>
        <v>11.271689025241995</v>
      </c>
      <c r="J14" s="93">
        <v>4</v>
      </c>
      <c r="K14" s="659"/>
    </row>
    <row r="15" spans="1:11" s="94" customFormat="1" ht="12" customHeight="1">
      <c r="A15" s="95">
        <v>5</v>
      </c>
      <c r="B15" s="223" t="s">
        <v>15</v>
      </c>
      <c r="C15" s="536">
        <v>40599</v>
      </c>
      <c r="D15" s="713" t="s">
        <v>10</v>
      </c>
      <c r="E15" s="31">
        <v>246</v>
      </c>
      <c r="F15" s="31">
        <v>19</v>
      </c>
      <c r="G15" s="377">
        <v>7536675</v>
      </c>
      <c r="H15" s="378">
        <v>844470</v>
      </c>
      <c r="I15" s="361">
        <f>+G15/H15</f>
        <v>8.924739777611993</v>
      </c>
      <c r="J15" s="103">
        <v>5</v>
      </c>
      <c r="K15" s="659">
        <v>1</v>
      </c>
    </row>
    <row r="16" spans="1:11" s="94" customFormat="1" ht="12" customHeight="1">
      <c r="A16" s="95">
        <v>6</v>
      </c>
      <c r="B16" s="756" t="s">
        <v>180</v>
      </c>
      <c r="C16" s="117">
        <v>40550</v>
      </c>
      <c r="D16" s="736" t="s">
        <v>29</v>
      </c>
      <c r="E16" s="31">
        <v>243</v>
      </c>
      <c r="F16" s="31">
        <v>16</v>
      </c>
      <c r="G16" s="960">
        <f>3050831.5+2178855.5+1196710.5+496983-200+210922.5+72277.5+4+43197.5+17348.5+5963-21+911+2090+3211+288+13851+660+6810</f>
        <v>7300693.5</v>
      </c>
      <c r="H16" s="697">
        <f>393137+282255+156413+64920+60+27548+10641+7089+3227+1196+161+455+643+72+2547+132+1127</f>
        <v>951623</v>
      </c>
      <c r="I16" s="905">
        <f>+G16/H16</f>
        <v>7.67183380393286</v>
      </c>
      <c r="J16" s="103">
        <v>6</v>
      </c>
      <c r="K16" s="659"/>
    </row>
    <row r="17" spans="1:11" s="94" customFormat="1" ht="12" customHeight="1">
      <c r="A17" s="95">
        <v>7</v>
      </c>
      <c r="B17" s="770" t="s">
        <v>387</v>
      </c>
      <c r="C17" s="686">
        <v>40739</v>
      </c>
      <c r="D17" s="713" t="s">
        <v>10</v>
      </c>
      <c r="E17" s="22">
        <v>277</v>
      </c>
      <c r="F17" s="22">
        <v>3</v>
      </c>
      <c r="G17" s="377">
        <v>6732748</v>
      </c>
      <c r="H17" s="378">
        <v>662534</v>
      </c>
      <c r="I17" s="905">
        <f>+G17/H17</f>
        <v>10.162116963053972</v>
      </c>
      <c r="J17" s="93">
        <v>7</v>
      </c>
      <c r="K17" s="659"/>
    </row>
    <row r="18" spans="1:11" s="94" customFormat="1" ht="12" customHeight="1">
      <c r="A18" s="95">
        <v>8</v>
      </c>
      <c r="B18" s="770" t="s">
        <v>50</v>
      </c>
      <c r="C18" s="117">
        <v>40613</v>
      </c>
      <c r="D18" s="713" t="s">
        <v>10</v>
      </c>
      <c r="E18" s="3">
        <v>280</v>
      </c>
      <c r="F18" s="3">
        <v>16</v>
      </c>
      <c r="G18" s="50">
        <v>6559226</v>
      </c>
      <c r="H18" s="51">
        <v>736158</v>
      </c>
      <c r="I18" s="105">
        <f>G18/H18</f>
        <v>8.910079086283108</v>
      </c>
      <c r="J18" s="103">
        <v>8</v>
      </c>
      <c r="K18" s="659"/>
    </row>
    <row r="19" spans="1:11" s="94" customFormat="1" ht="12" customHeight="1">
      <c r="A19" s="95">
        <v>9</v>
      </c>
      <c r="B19" s="770" t="s">
        <v>262</v>
      </c>
      <c r="C19" s="117">
        <v>40723</v>
      </c>
      <c r="D19" s="713" t="s">
        <v>23</v>
      </c>
      <c r="E19" s="31">
        <v>323</v>
      </c>
      <c r="F19" s="31">
        <v>5</v>
      </c>
      <c r="G19" s="696">
        <v>6380278</v>
      </c>
      <c r="H19" s="376">
        <v>586913</v>
      </c>
      <c r="I19" s="361">
        <f>G19/H19</f>
        <v>10.870909317053805</v>
      </c>
      <c r="J19" s="93">
        <v>9</v>
      </c>
      <c r="K19" s="659"/>
    </row>
    <row r="20" spans="1:11" s="94" customFormat="1" ht="12" customHeight="1">
      <c r="A20" s="95">
        <v>10</v>
      </c>
      <c r="B20" s="757" t="s">
        <v>54</v>
      </c>
      <c r="C20" s="117">
        <v>40662</v>
      </c>
      <c r="D20" s="713" t="s">
        <v>23</v>
      </c>
      <c r="E20" s="31">
        <v>172</v>
      </c>
      <c r="F20" s="31">
        <v>14</v>
      </c>
      <c r="G20" s="696">
        <v>6028921</v>
      </c>
      <c r="H20" s="376">
        <v>664138</v>
      </c>
      <c r="I20" s="361">
        <f>G20/H20</f>
        <v>9.077813647163692</v>
      </c>
      <c r="J20" s="103">
        <v>10</v>
      </c>
      <c r="K20" s="659"/>
    </row>
    <row r="21" spans="1:11" s="94" customFormat="1" ht="12" customHeight="1">
      <c r="A21" s="95">
        <v>11</v>
      </c>
      <c r="B21" s="771" t="s">
        <v>25</v>
      </c>
      <c r="C21" s="564">
        <v>40627</v>
      </c>
      <c r="D21" s="713" t="s">
        <v>32</v>
      </c>
      <c r="E21" s="719">
        <v>137</v>
      </c>
      <c r="F21" s="719">
        <v>19</v>
      </c>
      <c r="G21" s="961">
        <f>1066061.5+1061275+813239.75+606216+468367.5+266511+137274.5+89937.5+9478+4671.5+2215.5+593.5+2273.5+2234+1858+10514.5+2603+2122+2001</f>
        <v>4549447.25</v>
      </c>
      <c r="H21" s="962">
        <f>110278+106719+82858+62672+50883+32012+17904+13463+1427+637+352+91+261+268+240+2410+402+325+272</f>
        <v>483474</v>
      </c>
      <c r="I21" s="361">
        <f>G21/H21</f>
        <v>9.409910874214539</v>
      </c>
      <c r="J21" s="103">
        <v>11</v>
      </c>
      <c r="K21" s="659"/>
    </row>
    <row r="22" spans="1:11" s="94" customFormat="1" ht="12" customHeight="1">
      <c r="A22" s="95">
        <v>12</v>
      </c>
      <c r="B22" s="310" t="s">
        <v>12</v>
      </c>
      <c r="C22" s="117">
        <v>40564</v>
      </c>
      <c r="D22" s="118" t="s">
        <v>10</v>
      </c>
      <c r="E22" s="123">
        <v>109</v>
      </c>
      <c r="F22" s="5">
        <v>20</v>
      </c>
      <c r="G22" s="50">
        <f>3982498+1190</f>
        <v>3983688</v>
      </c>
      <c r="H22" s="51">
        <f>404938+238</f>
        <v>405176</v>
      </c>
      <c r="I22" s="105">
        <f>G22/H22</f>
        <v>9.831993997670148</v>
      </c>
      <c r="J22" s="93">
        <v>12</v>
      </c>
      <c r="K22" s="659"/>
    </row>
    <row r="23" spans="1:11" s="94" customFormat="1" ht="12" customHeight="1">
      <c r="A23" s="95">
        <v>13</v>
      </c>
      <c r="B23" s="475" t="s">
        <v>403</v>
      </c>
      <c r="C23" s="478">
        <v>40669</v>
      </c>
      <c r="D23" s="118" t="s">
        <v>23</v>
      </c>
      <c r="E23" s="262">
        <v>51</v>
      </c>
      <c r="F23" s="262">
        <v>19</v>
      </c>
      <c r="G23" s="394">
        <v>3637791</v>
      </c>
      <c r="H23" s="395">
        <v>318585</v>
      </c>
      <c r="I23" s="102">
        <f>+G23/H23</f>
        <v>11.4185884457837</v>
      </c>
      <c r="J23" s="103">
        <v>13</v>
      </c>
      <c r="K23" s="659"/>
    </row>
    <row r="24" spans="1:11" s="94" customFormat="1" ht="12" customHeight="1">
      <c r="A24" s="95">
        <v>14</v>
      </c>
      <c r="B24" s="772" t="s">
        <v>233</v>
      </c>
      <c r="C24" s="117">
        <v>40704</v>
      </c>
      <c r="D24" s="713" t="s">
        <v>23</v>
      </c>
      <c r="E24" s="31">
        <v>144</v>
      </c>
      <c r="F24" s="31">
        <v>8</v>
      </c>
      <c r="G24" s="696">
        <v>3604017</v>
      </c>
      <c r="H24" s="376">
        <v>323413</v>
      </c>
      <c r="I24" s="905">
        <f>+G24/H24</f>
        <v>11.143698614465096</v>
      </c>
      <c r="J24" s="93">
        <v>14</v>
      </c>
      <c r="K24" s="659"/>
    </row>
    <row r="25" spans="1:11" s="94" customFormat="1" ht="12" customHeight="1">
      <c r="A25" s="95">
        <v>15</v>
      </c>
      <c r="B25" s="773" t="s">
        <v>31</v>
      </c>
      <c r="C25" s="117">
        <v>40641</v>
      </c>
      <c r="D25" s="713" t="s">
        <v>32</v>
      </c>
      <c r="E25" s="719">
        <v>137</v>
      </c>
      <c r="F25" s="719">
        <v>17</v>
      </c>
      <c r="G25" s="961">
        <f>1093950.25+883807.25+882248.49+232093.5+101981.5+57830.5+19947.5+33359.5+10973.5+10465+4630+3501.5+10659+9758.5+3633+5790+6145.5</f>
        <v>3370774.49</v>
      </c>
      <c r="H25" s="962">
        <f>103570+88345+90215+25333+13427+8958+3731+5336+2366+2057+997+691+1831+2140+654+1021+736</f>
        <v>351408</v>
      </c>
      <c r="I25" s="361">
        <f>G25/H25</f>
        <v>9.592196222055275</v>
      </c>
      <c r="J25" s="103">
        <v>15</v>
      </c>
      <c r="K25" s="659"/>
    </row>
    <row r="26" spans="1:11" s="94" customFormat="1" ht="12" customHeight="1">
      <c r="A26" s="95">
        <v>16</v>
      </c>
      <c r="B26" s="770" t="s">
        <v>256</v>
      </c>
      <c r="C26" s="206">
        <v>40697</v>
      </c>
      <c r="D26" s="713" t="s">
        <v>10</v>
      </c>
      <c r="E26" s="22">
        <v>101</v>
      </c>
      <c r="F26" s="22">
        <v>9</v>
      </c>
      <c r="G26" s="377">
        <v>3326823</v>
      </c>
      <c r="H26" s="378">
        <v>312867</v>
      </c>
      <c r="I26" s="361">
        <f>G26/H26</f>
        <v>10.633345798694014</v>
      </c>
      <c r="J26" s="103">
        <v>16</v>
      </c>
      <c r="K26" s="659"/>
    </row>
    <row r="27" spans="1:11" s="94" customFormat="1" ht="12" customHeight="1">
      <c r="A27" s="95">
        <v>17</v>
      </c>
      <c r="B27" s="201" t="s">
        <v>181</v>
      </c>
      <c r="C27" s="32">
        <v>40905</v>
      </c>
      <c r="D27" s="273" t="s">
        <v>23</v>
      </c>
      <c r="E27" s="33">
        <v>200</v>
      </c>
      <c r="F27" s="33">
        <v>12</v>
      </c>
      <c r="G27" s="48">
        <v>2981369</v>
      </c>
      <c r="H27" s="49">
        <v>243539</v>
      </c>
      <c r="I27" s="308">
        <f>+G27/H27</f>
        <v>12.241854487371633</v>
      </c>
      <c r="J27" s="93">
        <v>17</v>
      </c>
      <c r="K27" s="659"/>
    </row>
    <row r="28" spans="1:11" s="94" customFormat="1" ht="12" customHeight="1">
      <c r="A28" s="95">
        <v>18</v>
      </c>
      <c r="B28" s="774" t="s">
        <v>182</v>
      </c>
      <c r="C28" s="677">
        <v>40578</v>
      </c>
      <c r="D28" s="676" t="s">
        <v>21</v>
      </c>
      <c r="E28" s="678">
        <v>79</v>
      </c>
      <c r="F28" s="678">
        <v>10</v>
      </c>
      <c r="G28" s="52">
        <v>2674923.5</v>
      </c>
      <c r="H28" s="322">
        <v>221196</v>
      </c>
      <c r="I28" s="302">
        <v>12.093001229678656</v>
      </c>
      <c r="J28" s="103">
        <v>18</v>
      </c>
      <c r="K28" s="659"/>
    </row>
    <row r="29" spans="1:11" s="94" customFormat="1" ht="12" customHeight="1">
      <c r="A29" s="95">
        <v>19</v>
      </c>
      <c r="B29" s="770" t="s">
        <v>20</v>
      </c>
      <c r="C29" s="117">
        <v>40620</v>
      </c>
      <c r="D29" s="713" t="s">
        <v>21</v>
      </c>
      <c r="E29" s="22">
        <v>218</v>
      </c>
      <c r="F29" s="22">
        <v>20</v>
      </c>
      <c r="G29" s="861">
        <f>868723.5+629960.75+471670+272432+164061+97109.5+34971.5+29195+10591.5+4973+1214+25859.5+8228+5222+126+1321+161+8414+5940+170</f>
        <v>2640343.25</v>
      </c>
      <c r="H29" s="697">
        <f>93361+70981+54177+33865+22657+14644+6278+5343+1965+923+199+3609+1160+736+18+257+23+1598+1188+23</f>
        <v>313005</v>
      </c>
      <c r="I29" s="361">
        <f>+G29/H29</f>
        <v>8.43546668583569</v>
      </c>
      <c r="J29" s="93">
        <v>19</v>
      </c>
      <c r="K29" s="659">
        <v>1</v>
      </c>
    </row>
    <row r="30" spans="1:11" s="94" customFormat="1" ht="12" customHeight="1">
      <c r="A30" s="95">
        <v>20</v>
      </c>
      <c r="B30" s="226" t="s">
        <v>183</v>
      </c>
      <c r="C30" s="2">
        <v>40557</v>
      </c>
      <c r="D30" s="21" t="s">
        <v>8</v>
      </c>
      <c r="E30" s="5">
        <v>66</v>
      </c>
      <c r="F30" s="5">
        <v>13</v>
      </c>
      <c r="G30" s="15">
        <v>2599014</v>
      </c>
      <c r="H30" s="16">
        <v>251543</v>
      </c>
      <c r="I30" s="328">
        <f>+G30/H30</f>
        <v>10.332285136139745</v>
      </c>
      <c r="J30" s="103">
        <v>20</v>
      </c>
      <c r="K30" s="659"/>
    </row>
    <row r="31" spans="1:11" s="94" customFormat="1" ht="12" customHeight="1">
      <c r="A31" s="95">
        <v>21</v>
      </c>
      <c r="B31" s="775" t="s">
        <v>16</v>
      </c>
      <c r="C31" s="206">
        <v>40599</v>
      </c>
      <c r="D31" s="118" t="s">
        <v>32</v>
      </c>
      <c r="E31" s="207">
        <v>58</v>
      </c>
      <c r="F31" s="207">
        <v>16</v>
      </c>
      <c r="G31" s="17">
        <f>949627.55+646695.25+355755.95+109363.25+47014.5+33893+37764+26018+18120.5+5385+3265+2580+4844+2732.5+917+1899+1425.5</f>
        <v>2247300</v>
      </c>
      <c r="H31" s="18">
        <f>77399+54036+29350+9290+5968+4492+5157+3726+2500+804+552+417+1095+683+110+228+357</f>
        <v>196164</v>
      </c>
      <c r="I31" s="102">
        <f>+G31/H31</f>
        <v>11.45623050100936</v>
      </c>
      <c r="J31" s="103">
        <v>21</v>
      </c>
      <c r="K31" s="659"/>
    </row>
    <row r="32" spans="1:11" s="94" customFormat="1" ht="12" customHeight="1">
      <c r="A32" s="95">
        <v>22</v>
      </c>
      <c r="B32" s="770" t="s">
        <v>26</v>
      </c>
      <c r="C32" s="117">
        <v>40606</v>
      </c>
      <c r="D32" s="713" t="s">
        <v>21</v>
      </c>
      <c r="E32" s="22">
        <v>152</v>
      </c>
      <c r="F32" s="22">
        <v>17</v>
      </c>
      <c r="G32" s="861">
        <f>1064857.25+602581.25+269086.5+86552+70688+40243.5+15124.5+5534.5+5248.5+1364+305+140+147+994+250+240+70</f>
        <v>2163426</v>
      </c>
      <c r="H32" s="697">
        <f>118954+67997+33243+12973+11521+6623+2561+922+800+239+45+20+21+199+36+34+14</f>
        <v>256202</v>
      </c>
      <c r="I32" s="361">
        <f>G32/H32</f>
        <v>8.444219795317757</v>
      </c>
      <c r="J32" s="93">
        <v>22</v>
      </c>
      <c r="K32" s="659">
        <v>1</v>
      </c>
    </row>
    <row r="33" spans="1:11" s="94" customFormat="1" ht="12" customHeight="1">
      <c r="A33" s="95">
        <v>23</v>
      </c>
      <c r="B33" s="771" t="s">
        <v>223</v>
      </c>
      <c r="C33" s="206">
        <v>40697</v>
      </c>
      <c r="D33" s="713" t="s">
        <v>32</v>
      </c>
      <c r="E33" s="719">
        <v>111</v>
      </c>
      <c r="F33" s="719">
        <v>9</v>
      </c>
      <c r="G33" s="961">
        <f>1292+812789+521835.5+296398.75+210726.75+106359.5+46956.5+15908+8715+4517.5</f>
        <v>2025498.5</v>
      </c>
      <c r="H33" s="962">
        <f>124+79271+51753+30277+22107+12041+6459+2442+1421+653</f>
        <v>206548</v>
      </c>
      <c r="I33" s="905">
        <f>+G33/H33</f>
        <v>9.806429982376978</v>
      </c>
      <c r="J33" s="103">
        <v>23</v>
      </c>
      <c r="K33" s="659"/>
    </row>
    <row r="34" spans="1:11" s="94" customFormat="1" ht="12" customHeight="1">
      <c r="A34" s="95">
        <v>24</v>
      </c>
      <c r="B34" s="757" t="s">
        <v>238</v>
      </c>
      <c r="C34" s="470">
        <v>40711</v>
      </c>
      <c r="D34" s="713" t="s">
        <v>23</v>
      </c>
      <c r="E34" s="31">
        <v>151</v>
      </c>
      <c r="F34" s="31">
        <v>7</v>
      </c>
      <c r="G34" s="696">
        <v>1932677</v>
      </c>
      <c r="H34" s="376">
        <v>214704</v>
      </c>
      <c r="I34" s="361">
        <f>G34/H34</f>
        <v>9.001588233102318</v>
      </c>
      <c r="J34" s="93">
        <v>24</v>
      </c>
      <c r="K34" s="659"/>
    </row>
    <row r="35" spans="1:11" s="94" customFormat="1" ht="12" customHeight="1">
      <c r="A35" s="95">
        <v>25</v>
      </c>
      <c r="B35" s="475" t="s">
        <v>135</v>
      </c>
      <c r="C35" s="478">
        <v>40592</v>
      </c>
      <c r="D35" s="118" t="s">
        <v>23</v>
      </c>
      <c r="E35" s="262">
        <v>241</v>
      </c>
      <c r="F35" s="262">
        <v>13</v>
      </c>
      <c r="G35" s="394">
        <v>1908878</v>
      </c>
      <c r="H35" s="395">
        <v>153873</v>
      </c>
      <c r="I35" s="105">
        <f>+G35/H35</f>
        <v>12.405542232880363</v>
      </c>
      <c r="J35" s="103">
        <v>25</v>
      </c>
      <c r="K35" s="659"/>
    </row>
    <row r="36" spans="1:11" s="94" customFormat="1" ht="12" customHeight="1">
      <c r="A36" s="95">
        <v>26</v>
      </c>
      <c r="B36" s="771" t="s">
        <v>33</v>
      </c>
      <c r="C36" s="206">
        <v>40641</v>
      </c>
      <c r="D36" s="713" t="s">
        <v>32</v>
      </c>
      <c r="E36" s="719">
        <v>128</v>
      </c>
      <c r="F36" s="719">
        <v>15</v>
      </c>
      <c r="G36" s="961">
        <f>740297.75+546709.5+343470.5+98979.5+54338.5+38190+7487.5+1828+3682+2538+1902+1842+1707+2347+1130</f>
        <v>1846449.25</v>
      </c>
      <c r="H36" s="962">
        <f>69545+52953+34357+10790+6857+5964+1318+450+785+380+463+294+268+587+226</f>
        <v>185237</v>
      </c>
      <c r="I36" s="361">
        <f>+G36/H36</f>
        <v>9.968036893277262</v>
      </c>
      <c r="J36" s="103">
        <v>26</v>
      </c>
      <c r="K36" s="659"/>
    </row>
    <row r="37" spans="1:11" s="94" customFormat="1" ht="12" customHeight="1">
      <c r="A37" s="95">
        <v>27</v>
      </c>
      <c r="B37" s="773" t="s">
        <v>13</v>
      </c>
      <c r="C37" s="117">
        <v>40585</v>
      </c>
      <c r="D37" s="713" t="s">
        <v>32</v>
      </c>
      <c r="E37" s="719">
        <v>58</v>
      </c>
      <c r="F37" s="719">
        <v>25</v>
      </c>
      <c r="G37" s="961">
        <f>236018+209847.25+105622+138051.5+64189.5+34454+20202.5+27754+16946+8179.5+9672.5+8494+21812+25095+12109+8066+3824+4092+15394+226700+172575.5+127465+93972+96529+77366.5</f>
        <v>1764430.75</v>
      </c>
      <c r="H37" s="962">
        <f>25731+24506+13184+19079+9581+4996+3067+4392+3122+1175+1530+1410+3175+3587+1436+923+420+447+1629+25969+20073+15455+11876+13635+10490</f>
        <v>220888</v>
      </c>
      <c r="I37" s="905">
        <f>+G37/H37</f>
        <v>7.98789771286806</v>
      </c>
      <c r="J37" s="93">
        <v>27</v>
      </c>
      <c r="K37" s="659"/>
    </row>
    <row r="38" spans="1:11" s="94" customFormat="1" ht="12" customHeight="1">
      <c r="A38" s="95">
        <v>28</v>
      </c>
      <c r="B38" s="236" t="s">
        <v>35</v>
      </c>
      <c r="C38" s="907">
        <v>40648</v>
      </c>
      <c r="D38" s="713" t="s">
        <v>23</v>
      </c>
      <c r="E38" s="31">
        <v>65</v>
      </c>
      <c r="F38" s="31">
        <v>16</v>
      </c>
      <c r="G38" s="696">
        <v>1752093</v>
      </c>
      <c r="H38" s="376">
        <v>184892</v>
      </c>
      <c r="I38" s="361">
        <f>+G38/H38</f>
        <v>9.476305086212491</v>
      </c>
      <c r="J38" s="103">
        <v>28</v>
      </c>
      <c r="K38" s="659">
        <v>1</v>
      </c>
    </row>
    <row r="39" spans="1:11" s="94" customFormat="1" ht="12" customHeight="1">
      <c r="A39" s="95">
        <v>29</v>
      </c>
      <c r="B39" s="555" t="s">
        <v>132</v>
      </c>
      <c r="C39" s="206">
        <v>40564</v>
      </c>
      <c r="D39" s="118" t="s">
        <v>32</v>
      </c>
      <c r="E39" s="207">
        <v>160</v>
      </c>
      <c r="F39" s="207">
        <v>14</v>
      </c>
      <c r="G39" s="17">
        <f>1102015+435620.5+74279.5+50432+22961.5+6480+10204+220+1188+476+80+190+87+104</f>
        <v>1704337.5</v>
      </c>
      <c r="H39" s="18">
        <f>144071+60233+10598+7830+4045+1284+2234+29+297+67+11+26+12+14</f>
        <v>230751</v>
      </c>
      <c r="I39" s="102">
        <f>+G39/H39</f>
        <v>7.386045997633813</v>
      </c>
      <c r="J39" s="93">
        <v>29</v>
      </c>
      <c r="K39" s="659"/>
    </row>
    <row r="40" spans="1:11" s="94" customFormat="1" ht="12" customHeight="1">
      <c r="A40" s="95">
        <v>30</v>
      </c>
      <c r="B40" s="310" t="s">
        <v>259</v>
      </c>
      <c r="C40" s="117">
        <v>40627</v>
      </c>
      <c r="D40" s="118" t="s">
        <v>10</v>
      </c>
      <c r="E40" s="123">
        <v>73</v>
      </c>
      <c r="F40" s="5">
        <v>11</v>
      </c>
      <c r="G40" s="50">
        <v>1684954</v>
      </c>
      <c r="H40" s="51">
        <v>154099</v>
      </c>
      <c r="I40" s="105">
        <f>G40/H40</f>
        <v>10.934230592022011</v>
      </c>
      <c r="J40" s="103">
        <v>30</v>
      </c>
      <c r="K40" s="659"/>
    </row>
    <row r="41" spans="1:11" s="94" customFormat="1" ht="12" customHeight="1">
      <c r="A41" s="95">
        <v>31</v>
      </c>
      <c r="B41" s="221" t="s">
        <v>184</v>
      </c>
      <c r="C41" s="2">
        <v>40585</v>
      </c>
      <c r="D41" s="19" t="s">
        <v>10</v>
      </c>
      <c r="E41" s="3">
        <v>89</v>
      </c>
      <c r="F41" s="3">
        <v>13</v>
      </c>
      <c r="G41" s="50">
        <v>1439120</v>
      </c>
      <c r="H41" s="51">
        <v>144531</v>
      </c>
      <c r="I41" s="301">
        <f>+G41/H41</f>
        <v>9.957171817810712</v>
      </c>
      <c r="J41" s="103">
        <v>31</v>
      </c>
      <c r="K41" s="659"/>
    </row>
    <row r="42" spans="1:11" s="94" customFormat="1" ht="12" customHeight="1">
      <c r="A42" s="95">
        <v>32</v>
      </c>
      <c r="B42" s="221" t="s">
        <v>254</v>
      </c>
      <c r="C42" s="2">
        <v>40627</v>
      </c>
      <c r="D42" s="19" t="s">
        <v>10</v>
      </c>
      <c r="E42" s="3">
        <v>126</v>
      </c>
      <c r="F42" s="3">
        <v>6</v>
      </c>
      <c r="G42" s="50">
        <v>1419139</v>
      </c>
      <c r="H42" s="51">
        <v>127317</v>
      </c>
      <c r="I42" s="329">
        <f>+G42/H42</f>
        <v>11.146500467337434</v>
      </c>
      <c r="J42" s="93">
        <v>32</v>
      </c>
      <c r="K42" s="659"/>
    </row>
    <row r="43" spans="1:11" s="94" customFormat="1" ht="12" customHeight="1">
      <c r="A43" s="95">
        <v>33</v>
      </c>
      <c r="B43" s="771" t="s">
        <v>129</v>
      </c>
      <c r="C43" s="206">
        <v>40543</v>
      </c>
      <c r="D43" s="713" t="s">
        <v>32</v>
      </c>
      <c r="E43" s="719">
        <v>99</v>
      </c>
      <c r="F43" s="719">
        <v>22</v>
      </c>
      <c r="G43" s="961">
        <f>74157.5+721285.5+410076+112730.5+28262.5+6646+19483.5+940+1245+2674.5+7128+1782+331+245+6545.5+694+1782+1782+1782+1188+306+1188+3340</f>
        <v>1405594.5</v>
      </c>
      <c r="H43" s="962">
        <f>7361+62279+35611+10987+4077+689+3901+125+178+502+1781+445+78+59+1496+114+446+446+446+297+61+297+668</f>
        <v>132344</v>
      </c>
      <c r="I43" s="361">
        <f>+G43/H43</f>
        <v>10.620764825001512</v>
      </c>
      <c r="J43" s="103">
        <v>33</v>
      </c>
      <c r="K43" s="659">
        <v>1</v>
      </c>
    </row>
    <row r="44" spans="1:11" s="94" customFormat="1" ht="12" customHeight="1">
      <c r="A44" s="95">
        <v>34</v>
      </c>
      <c r="B44" s="236" t="s">
        <v>185</v>
      </c>
      <c r="C44" s="936">
        <v>40557</v>
      </c>
      <c r="D44" s="713" t="s">
        <v>23</v>
      </c>
      <c r="E44" s="31">
        <v>129</v>
      </c>
      <c r="F44" s="31">
        <v>39</v>
      </c>
      <c r="G44" s="696">
        <v>1386825</v>
      </c>
      <c r="H44" s="376">
        <v>124473</v>
      </c>
      <c r="I44" s="361">
        <f>+G44/H44</f>
        <v>11.141572871225085</v>
      </c>
      <c r="J44" s="93">
        <v>34</v>
      </c>
      <c r="K44" s="659"/>
    </row>
    <row r="45" spans="1:11" s="94" customFormat="1" ht="12" customHeight="1">
      <c r="A45" s="95">
        <v>35</v>
      </c>
      <c r="B45" s="221" t="s">
        <v>370</v>
      </c>
      <c r="C45" s="2">
        <v>40613</v>
      </c>
      <c r="D45" s="19" t="s">
        <v>21</v>
      </c>
      <c r="E45" s="3">
        <v>89</v>
      </c>
      <c r="F45" s="3">
        <v>8</v>
      </c>
      <c r="G45" s="52">
        <f>621196.5+432703+128317.5+127575.5+6914.5+46+54+128</f>
        <v>1316935</v>
      </c>
      <c r="H45" s="49">
        <f>55015+39897+12333+11559+853+5+10+19</f>
        <v>119691</v>
      </c>
      <c r="I45" s="302">
        <f>IF(G45&lt;&gt;0,G45/H45,"")</f>
        <v>11.002790518919552</v>
      </c>
      <c r="J45" s="103">
        <v>35</v>
      </c>
      <c r="K45" s="659"/>
    </row>
    <row r="46" spans="1:11" s="94" customFormat="1" ht="12" customHeight="1">
      <c r="A46" s="95">
        <v>36</v>
      </c>
      <c r="B46" s="771" t="s">
        <v>186</v>
      </c>
      <c r="C46" s="505">
        <v>40557</v>
      </c>
      <c r="D46" s="713" t="s">
        <v>32</v>
      </c>
      <c r="E46" s="719">
        <v>50</v>
      </c>
      <c r="F46" s="719">
        <v>20</v>
      </c>
      <c r="G46" s="961">
        <f>462199.75+464711.5+220315+61757.25+29707.5+19286.5+8649+8790+1188+2323+1706+5301+3087+570+1164+1417+434+1188+504</f>
        <v>1294298.5</v>
      </c>
      <c r="H46" s="962">
        <f>36851+37511+17353+5020+3902+3186+1212+1112+297+256+244+743+557+80+151+194+70+297+85</f>
        <v>109121</v>
      </c>
      <c r="I46" s="361">
        <f>+G46/H46</f>
        <v>11.86113122130479</v>
      </c>
      <c r="J46" s="103">
        <v>36</v>
      </c>
      <c r="K46" s="659">
        <v>1</v>
      </c>
    </row>
    <row r="47" spans="1:11" s="94" customFormat="1" ht="12" customHeight="1">
      <c r="A47" s="95">
        <v>37</v>
      </c>
      <c r="B47" s="672" t="s">
        <v>261</v>
      </c>
      <c r="C47" s="117">
        <v>40606</v>
      </c>
      <c r="D47" s="118" t="s">
        <v>23</v>
      </c>
      <c r="E47" s="33">
        <v>35</v>
      </c>
      <c r="F47" s="33">
        <v>20</v>
      </c>
      <c r="G47" s="394">
        <v>1281869</v>
      </c>
      <c r="H47" s="395">
        <v>132529</v>
      </c>
      <c r="I47" s="102">
        <f>+G47/H47</f>
        <v>9.67236604818568</v>
      </c>
      <c r="J47" s="93">
        <v>37</v>
      </c>
      <c r="K47" s="659"/>
    </row>
    <row r="48" spans="1:11" s="94" customFormat="1" ht="12" customHeight="1">
      <c r="A48" s="95">
        <v>38</v>
      </c>
      <c r="B48" s="475" t="s">
        <v>232</v>
      </c>
      <c r="C48" s="117">
        <v>40606</v>
      </c>
      <c r="D48" s="118" t="s">
        <v>23</v>
      </c>
      <c r="E48" s="262">
        <v>93</v>
      </c>
      <c r="F48" s="262">
        <v>14</v>
      </c>
      <c r="G48" s="394">
        <v>1221986</v>
      </c>
      <c r="H48" s="395">
        <v>109451</v>
      </c>
      <c r="I48" s="102">
        <f>+G48/H48</f>
        <v>11.164685567057404</v>
      </c>
      <c r="J48" s="103">
        <v>38</v>
      </c>
      <c r="K48" s="659"/>
    </row>
    <row r="49" spans="1:11" s="94" customFormat="1" ht="12" customHeight="1">
      <c r="A49" s="95">
        <v>39</v>
      </c>
      <c r="B49" s="757" t="s">
        <v>62</v>
      </c>
      <c r="C49" s="564">
        <v>40676</v>
      </c>
      <c r="D49" s="713" t="s">
        <v>23</v>
      </c>
      <c r="E49" s="31">
        <v>100</v>
      </c>
      <c r="F49" s="31">
        <v>12</v>
      </c>
      <c r="G49" s="696">
        <v>1169833</v>
      </c>
      <c r="H49" s="376">
        <v>127442</v>
      </c>
      <c r="I49" s="905">
        <f>+G49/H49</f>
        <v>9.179336482478304</v>
      </c>
      <c r="J49" s="93">
        <v>39</v>
      </c>
      <c r="K49" s="659"/>
    </row>
    <row r="50" spans="1:11" s="94" customFormat="1" ht="12" customHeight="1">
      <c r="A50" s="95">
        <v>40</v>
      </c>
      <c r="B50" s="555" t="s">
        <v>250</v>
      </c>
      <c r="C50" s="505">
        <v>40627</v>
      </c>
      <c r="D50" s="118" t="s">
        <v>29</v>
      </c>
      <c r="E50" s="207">
        <v>71</v>
      </c>
      <c r="F50" s="262">
        <v>26</v>
      </c>
      <c r="G50" s="399">
        <f>432486.25+301574+151308+7+112893+51222.5+22996.5+15680+18589.5+18584+12838+4788+1663+4208+490+365+2398+36+790+1056+718+2330+3855+1170+2143+1876+3597</f>
        <v>1169661.75</v>
      </c>
      <c r="H50" s="456">
        <f>50407+35095+18523+1+15427+7108+3545+2281+2896+2839+2036+884+288+738+98+73+400+6+143+184+126+381+556+123+222+369+600</f>
        <v>145349</v>
      </c>
      <c r="I50" s="102">
        <f>+G50/H50</f>
        <v>8.047263827064514</v>
      </c>
      <c r="J50" s="103">
        <v>40</v>
      </c>
      <c r="K50" s="659"/>
    </row>
    <row r="51" spans="1:11" s="94" customFormat="1" ht="12" customHeight="1">
      <c r="A51" s="95">
        <v>41</v>
      </c>
      <c r="B51" s="310" t="s">
        <v>42</v>
      </c>
      <c r="C51" s="117">
        <v>40655</v>
      </c>
      <c r="D51" s="118" t="s">
        <v>10</v>
      </c>
      <c r="E51" s="123">
        <v>70</v>
      </c>
      <c r="F51" s="5">
        <v>7</v>
      </c>
      <c r="G51" s="50">
        <v>1151198</v>
      </c>
      <c r="H51" s="51">
        <v>109336</v>
      </c>
      <c r="I51" s="105">
        <f>G51/H51</f>
        <v>10.528993195287919</v>
      </c>
      <c r="J51" s="103">
        <v>41</v>
      </c>
      <c r="K51" s="659"/>
    </row>
    <row r="52" spans="1:11" s="94" customFormat="1" ht="12" customHeight="1">
      <c r="A52" s="95">
        <v>42</v>
      </c>
      <c r="B52" s="310" t="s">
        <v>252</v>
      </c>
      <c r="C52" s="117">
        <v>40620</v>
      </c>
      <c r="D52" s="118" t="s">
        <v>10</v>
      </c>
      <c r="E52" s="119">
        <v>89</v>
      </c>
      <c r="F52" s="119">
        <v>11</v>
      </c>
      <c r="G52" s="377">
        <v>1137795</v>
      </c>
      <c r="H52" s="378">
        <v>113358</v>
      </c>
      <c r="I52" s="361">
        <f>G52/H52</f>
        <v>10.037183083681787</v>
      </c>
      <c r="J52" s="93">
        <v>42</v>
      </c>
      <c r="K52" s="659"/>
    </row>
    <row r="53" spans="1:11" s="94" customFormat="1" ht="12" customHeight="1">
      <c r="A53" s="95">
        <v>43</v>
      </c>
      <c r="B53" s="776" t="s">
        <v>359</v>
      </c>
      <c r="C53" s="32">
        <v>40732</v>
      </c>
      <c r="D53" s="713" t="s">
        <v>23</v>
      </c>
      <c r="E53" s="31">
        <v>81</v>
      </c>
      <c r="F53" s="31">
        <v>4</v>
      </c>
      <c r="G53" s="696">
        <v>1085060</v>
      </c>
      <c r="H53" s="376">
        <v>100230</v>
      </c>
      <c r="I53" s="904">
        <f>+G53/H53</f>
        <v>10.825700887957698</v>
      </c>
      <c r="J53" s="103">
        <v>43</v>
      </c>
      <c r="K53" s="659"/>
    </row>
    <row r="54" spans="1:11" s="94" customFormat="1" ht="12" customHeight="1">
      <c r="A54" s="95">
        <v>44</v>
      </c>
      <c r="B54" s="226" t="s">
        <v>187</v>
      </c>
      <c r="C54" s="2">
        <v>40613</v>
      </c>
      <c r="D54" s="20" t="s">
        <v>142</v>
      </c>
      <c r="E54" s="5">
        <v>105</v>
      </c>
      <c r="F54" s="5">
        <v>10</v>
      </c>
      <c r="G54" s="244">
        <v>895090.5</v>
      </c>
      <c r="H54" s="245">
        <v>101557</v>
      </c>
      <c r="I54" s="301">
        <f>+G54/H54</f>
        <v>8.813676063688373</v>
      </c>
      <c r="J54" s="93">
        <v>44</v>
      </c>
      <c r="K54" s="659"/>
    </row>
    <row r="55" spans="1:11" s="94" customFormat="1" ht="12" customHeight="1">
      <c r="A55" s="95">
        <v>45</v>
      </c>
      <c r="B55" s="757" t="s">
        <v>61</v>
      </c>
      <c r="C55" s="117">
        <v>40676</v>
      </c>
      <c r="D55" s="713" t="s">
        <v>10</v>
      </c>
      <c r="E55" s="727">
        <v>112</v>
      </c>
      <c r="F55" s="22">
        <v>12</v>
      </c>
      <c r="G55" s="377">
        <v>889611</v>
      </c>
      <c r="H55" s="378">
        <v>94485</v>
      </c>
      <c r="I55" s="361">
        <f>G55/H55</f>
        <v>9.415367518653754</v>
      </c>
      <c r="J55" s="103">
        <v>45</v>
      </c>
      <c r="K55" s="659">
        <v>1</v>
      </c>
    </row>
    <row r="56" spans="1:11" s="94" customFormat="1" ht="12" customHeight="1">
      <c r="A56" s="95">
        <v>46</v>
      </c>
      <c r="B56" s="771" t="s">
        <v>36</v>
      </c>
      <c r="C56" s="206">
        <v>40648</v>
      </c>
      <c r="D56" s="713" t="s">
        <v>32</v>
      </c>
      <c r="E56" s="719">
        <v>72</v>
      </c>
      <c r="F56" s="719">
        <v>16</v>
      </c>
      <c r="G56" s="961">
        <f>313705+218661+94172+73484.5+60319.5+15976+18868+7512+25645.5+15093+6591+2599+2683+1937.5+1629+2257</f>
        <v>861133</v>
      </c>
      <c r="H56" s="962">
        <f>29673+21437+10530+10169+8845+2631+2981+1155+3600+2641+1030+393+512+262+251+329</f>
        <v>96439</v>
      </c>
      <c r="I56" s="361">
        <f>+G56/H56</f>
        <v>8.929302460622777</v>
      </c>
      <c r="J56" s="103">
        <v>46</v>
      </c>
      <c r="K56" s="659">
        <v>1</v>
      </c>
    </row>
    <row r="57" spans="1:11" s="94" customFormat="1" ht="12" customHeight="1">
      <c r="A57" s="95">
        <v>47</v>
      </c>
      <c r="B57" s="310" t="s">
        <v>393</v>
      </c>
      <c r="C57" s="478">
        <v>40620</v>
      </c>
      <c r="D57" s="118" t="s">
        <v>23</v>
      </c>
      <c r="E57" s="262">
        <v>104</v>
      </c>
      <c r="F57" s="262">
        <v>21</v>
      </c>
      <c r="G57" s="394">
        <v>855220</v>
      </c>
      <c r="H57" s="395">
        <v>73757</v>
      </c>
      <c r="I57" s="102">
        <f>+G57/H57</f>
        <v>11.59510283769676</v>
      </c>
      <c r="J57" s="93">
        <v>47</v>
      </c>
      <c r="K57" s="659">
        <v>1</v>
      </c>
    </row>
    <row r="58" spans="1:11" s="94" customFormat="1" ht="12" customHeight="1">
      <c r="A58" s="95">
        <v>48</v>
      </c>
      <c r="B58" s="502" t="s">
        <v>18</v>
      </c>
      <c r="C58" s="117">
        <v>40620</v>
      </c>
      <c r="D58" s="122" t="s">
        <v>8</v>
      </c>
      <c r="E58" s="5">
        <v>37</v>
      </c>
      <c r="F58" s="5">
        <v>17</v>
      </c>
      <c r="G58" s="15">
        <v>851150</v>
      </c>
      <c r="H58" s="16">
        <v>76455</v>
      </c>
      <c r="I58" s="102">
        <f>+G58/H58</f>
        <v>11.13269243345759</v>
      </c>
      <c r="J58" s="103">
        <v>48</v>
      </c>
      <c r="K58" s="659"/>
    </row>
    <row r="59" spans="1:11" s="94" customFormat="1" ht="12" customHeight="1">
      <c r="A59" s="95">
        <v>49</v>
      </c>
      <c r="B59" s="771" t="s">
        <v>41</v>
      </c>
      <c r="C59" s="206">
        <v>40655</v>
      </c>
      <c r="D59" s="713" t="s">
        <v>32</v>
      </c>
      <c r="E59" s="719">
        <v>156</v>
      </c>
      <c r="F59" s="719">
        <v>15</v>
      </c>
      <c r="G59" s="961">
        <f>633760.5+136320.5+35218.5+12632+4659.5+2946+8058+2678+3172+3399.5+598+564+1471+2243+357</f>
        <v>848077.5</v>
      </c>
      <c r="H59" s="962">
        <f>74640+17307+4811+1875+917+522+1372+426+632+730+116+93+159+384+67</f>
        <v>104051</v>
      </c>
      <c r="I59" s="361">
        <f>+G59/H59</f>
        <v>8.150594420044017</v>
      </c>
      <c r="J59" s="93">
        <v>49</v>
      </c>
      <c r="K59" s="659"/>
    </row>
    <row r="60" spans="1:11" s="94" customFormat="1" ht="12" customHeight="1">
      <c r="A60" s="95">
        <v>50</v>
      </c>
      <c r="B60" s="773" t="s">
        <v>63</v>
      </c>
      <c r="C60" s="117">
        <v>40669</v>
      </c>
      <c r="D60" s="713" t="s">
        <v>32</v>
      </c>
      <c r="E60" s="719">
        <v>58</v>
      </c>
      <c r="F60" s="719">
        <v>13</v>
      </c>
      <c r="G60" s="961">
        <f>283662.5+204713+63694+61522.5+37976+46923.5+23377.5+15917+7067.5+2523.5+6128.5+15179.5+11086.5</f>
        <v>779771.5</v>
      </c>
      <c r="H60" s="962">
        <f>29595+21640+7444+8447+5671+7156+3524+2414+1006+405+822+1862+1355</f>
        <v>91341</v>
      </c>
      <c r="I60" s="905">
        <f>+G60/H60</f>
        <v>8.536927557175858</v>
      </c>
      <c r="J60" s="103">
        <v>50</v>
      </c>
      <c r="K60" s="659">
        <v>1</v>
      </c>
    </row>
    <row r="61" spans="1:11" s="94" customFormat="1" ht="12" customHeight="1">
      <c r="A61" s="95">
        <v>51</v>
      </c>
      <c r="B61" s="770" t="s">
        <v>217</v>
      </c>
      <c r="C61" s="117">
        <v>40690</v>
      </c>
      <c r="D61" s="713" t="s">
        <v>10</v>
      </c>
      <c r="E61" s="22">
        <v>65</v>
      </c>
      <c r="F61" s="22">
        <v>10</v>
      </c>
      <c r="G61" s="377">
        <v>767208</v>
      </c>
      <c r="H61" s="378">
        <v>80521</v>
      </c>
      <c r="I61" s="361">
        <f>G61/H61</f>
        <v>9.52804858359931</v>
      </c>
      <c r="J61" s="103">
        <v>51</v>
      </c>
      <c r="K61" s="659"/>
    </row>
    <row r="62" spans="1:11" s="94" customFormat="1" ht="12" customHeight="1">
      <c r="A62" s="95">
        <v>52</v>
      </c>
      <c r="B62" s="191" t="s">
        <v>189</v>
      </c>
      <c r="C62" s="32">
        <v>40627</v>
      </c>
      <c r="D62" s="273" t="s">
        <v>23</v>
      </c>
      <c r="E62" s="33">
        <v>80</v>
      </c>
      <c r="F62" s="33">
        <v>8</v>
      </c>
      <c r="G62" s="48">
        <v>689625</v>
      </c>
      <c r="H62" s="194">
        <v>71616</v>
      </c>
      <c r="I62" s="308">
        <f>+G62/H62</f>
        <v>9.629482238605899</v>
      </c>
      <c r="J62" s="93">
        <v>52</v>
      </c>
      <c r="K62" s="659"/>
    </row>
    <row r="63" spans="1:11" s="94" customFormat="1" ht="12" customHeight="1">
      <c r="A63" s="95">
        <v>53</v>
      </c>
      <c r="B63" s="310" t="s">
        <v>28</v>
      </c>
      <c r="C63" s="117">
        <v>40634</v>
      </c>
      <c r="D63" s="118" t="s">
        <v>10</v>
      </c>
      <c r="E63" s="119">
        <v>76</v>
      </c>
      <c r="F63" s="119">
        <v>9</v>
      </c>
      <c r="G63" s="377">
        <v>681170</v>
      </c>
      <c r="H63" s="378">
        <v>69882</v>
      </c>
      <c r="I63" s="361">
        <f>G63/H63</f>
        <v>9.747431384333591</v>
      </c>
      <c r="J63" s="103">
        <v>53</v>
      </c>
      <c r="K63" s="659"/>
    </row>
    <row r="64" spans="1:11" s="94" customFormat="1" ht="12" customHeight="1">
      <c r="A64" s="95">
        <v>54</v>
      </c>
      <c r="B64" s="310" t="s">
        <v>79</v>
      </c>
      <c r="C64" s="117">
        <v>40634</v>
      </c>
      <c r="D64" s="118" t="s">
        <v>47</v>
      </c>
      <c r="E64" s="119">
        <v>149</v>
      </c>
      <c r="F64" s="119">
        <v>9</v>
      </c>
      <c r="G64" s="696">
        <v>674482</v>
      </c>
      <c r="H64" s="697">
        <v>96075</v>
      </c>
      <c r="I64" s="361">
        <f>G64/H64</f>
        <v>7.0203695029924535</v>
      </c>
      <c r="J64" s="93">
        <v>54</v>
      </c>
      <c r="K64" s="659">
        <v>1</v>
      </c>
    </row>
    <row r="65" spans="1:11" s="94" customFormat="1" ht="12" customHeight="1">
      <c r="A65" s="95">
        <v>55</v>
      </c>
      <c r="B65" s="555" t="s">
        <v>134</v>
      </c>
      <c r="C65" s="206">
        <v>40599</v>
      </c>
      <c r="D65" s="118" t="s">
        <v>32</v>
      </c>
      <c r="E65" s="207">
        <v>60</v>
      </c>
      <c r="F65" s="207">
        <v>14</v>
      </c>
      <c r="G65" s="17">
        <f>324952+205669.75+36076.25+7149.5+4976+6474+8888+8102.5+7995.5+1904.5+2442.5+3379+326+230</f>
        <v>618565.5</v>
      </c>
      <c r="H65" s="18">
        <f>28582+18445+3670+1269+845+865+1858+1230+1292+340+347+689+52+38</f>
        <v>59522</v>
      </c>
      <c r="I65" s="105">
        <f>G65/H65</f>
        <v>10.39221632337623</v>
      </c>
      <c r="J65" s="103">
        <v>55</v>
      </c>
      <c r="K65" s="659"/>
    </row>
    <row r="66" spans="1:11" s="94" customFormat="1" ht="12" customHeight="1">
      <c r="A66" s="95">
        <v>56</v>
      </c>
      <c r="B66" s="773" t="s">
        <v>245</v>
      </c>
      <c r="C66" s="117">
        <v>40718</v>
      </c>
      <c r="D66" s="713" t="s">
        <v>32</v>
      </c>
      <c r="E66" s="719">
        <v>42</v>
      </c>
      <c r="F66" s="719">
        <v>6</v>
      </c>
      <c r="G66" s="961">
        <f>206744+133125+83915.5+50898.5+53053.5+49526</f>
        <v>577262.5</v>
      </c>
      <c r="H66" s="962">
        <f>19325+12664+8208+6197+7341+6951</f>
        <v>60686</v>
      </c>
      <c r="I66" s="905">
        <f>+G66/H66</f>
        <v>9.512284546682926</v>
      </c>
      <c r="J66" s="103">
        <v>56</v>
      </c>
      <c r="K66" s="659">
        <v>1</v>
      </c>
    </row>
    <row r="67" spans="1:11" s="94" customFormat="1" ht="12" customHeight="1">
      <c r="A67" s="95">
        <v>57</v>
      </c>
      <c r="B67" s="757" t="s">
        <v>69</v>
      </c>
      <c r="C67" s="117">
        <v>40682</v>
      </c>
      <c r="D67" s="713" t="s">
        <v>10</v>
      </c>
      <c r="E67" s="262">
        <v>164</v>
      </c>
      <c r="F67" s="262">
        <v>10</v>
      </c>
      <c r="G67" s="50">
        <v>576292</v>
      </c>
      <c r="H67" s="51">
        <v>63169</v>
      </c>
      <c r="I67" s="102">
        <f>+G67/H67</f>
        <v>9.123019202456902</v>
      </c>
      <c r="J67" s="93">
        <v>57</v>
      </c>
      <c r="K67" s="659"/>
    </row>
    <row r="68" spans="1:11" s="94" customFormat="1" ht="12" customHeight="1">
      <c r="A68" s="95">
        <v>58</v>
      </c>
      <c r="B68" s="774" t="s">
        <v>255</v>
      </c>
      <c r="C68" s="677">
        <v>40592</v>
      </c>
      <c r="D68" s="676" t="s">
        <v>10</v>
      </c>
      <c r="E68" s="678">
        <v>168</v>
      </c>
      <c r="F68" s="678">
        <v>3</v>
      </c>
      <c r="G68" s="50">
        <v>572572</v>
      </c>
      <c r="H68" s="51">
        <v>51135</v>
      </c>
      <c r="I68" s="301">
        <v>11.197262149212868</v>
      </c>
      <c r="J68" s="103">
        <v>58</v>
      </c>
      <c r="K68" s="659"/>
    </row>
    <row r="69" spans="1:11" s="94" customFormat="1" ht="12" customHeight="1">
      <c r="A69" s="95">
        <v>59</v>
      </c>
      <c r="B69" s="770" t="s">
        <v>234</v>
      </c>
      <c r="C69" s="117">
        <v>40704</v>
      </c>
      <c r="D69" s="713" t="s">
        <v>10</v>
      </c>
      <c r="E69" s="664">
        <v>70</v>
      </c>
      <c r="F69" s="22">
        <v>8</v>
      </c>
      <c r="G69" s="377">
        <v>565331</v>
      </c>
      <c r="H69" s="378">
        <v>57913</v>
      </c>
      <c r="I69" s="905">
        <f>+G69/H69</f>
        <v>9.761728800096696</v>
      </c>
      <c r="J69" s="93">
        <v>59</v>
      </c>
      <c r="K69" s="659"/>
    </row>
    <row r="70" spans="1:11" s="94" customFormat="1" ht="12" customHeight="1">
      <c r="A70" s="95">
        <v>60</v>
      </c>
      <c r="B70" s="757" t="s">
        <v>38</v>
      </c>
      <c r="C70" s="117">
        <v>40648</v>
      </c>
      <c r="D70" s="713" t="s">
        <v>23</v>
      </c>
      <c r="E70" s="645">
        <v>76</v>
      </c>
      <c r="F70" s="31">
        <v>16</v>
      </c>
      <c r="G70" s="696">
        <v>562770</v>
      </c>
      <c r="H70" s="376">
        <v>59791</v>
      </c>
      <c r="I70" s="361">
        <f>+G70/H70</f>
        <v>9.412286130019568</v>
      </c>
      <c r="J70" s="103">
        <v>60</v>
      </c>
      <c r="K70" s="659">
        <v>1</v>
      </c>
    </row>
    <row r="71" spans="1:11" s="94" customFormat="1" ht="12" customHeight="1">
      <c r="A71" s="95">
        <v>61</v>
      </c>
      <c r="B71" s="310" t="s">
        <v>37</v>
      </c>
      <c r="C71" s="117">
        <v>40648</v>
      </c>
      <c r="D71" s="118" t="s">
        <v>10</v>
      </c>
      <c r="E71" s="119">
        <v>76</v>
      </c>
      <c r="F71" s="119">
        <v>6</v>
      </c>
      <c r="G71" s="455">
        <v>545267</v>
      </c>
      <c r="H71" s="679">
        <v>56316</v>
      </c>
      <c r="I71" s="125">
        <f>+G71/H71</f>
        <v>9.682275019532637</v>
      </c>
      <c r="J71" s="103">
        <v>61</v>
      </c>
      <c r="K71" s="659"/>
    </row>
    <row r="72" spans="1:11" s="94" customFormat="1" ht="12" customHeight="1">
      <c r="A72" s="95">
        <v>62</v>
      </c>
      <c r="B72" s="191" t="s">
        <v>190</v>
      </c>
      <c r="C72" s="32">
        <v>40592</v>
      </c>
      <c r="D72" s="273" t="s">
        <v>23</v>
      </c>
      <c r="E72" s="33">
        <v>80</v>
      </c>
      <c r="F72" s="33">
        <v>8</v>
      </c>
      <c r="G72" s="48">
        <v>520522</v>
      </c>
      <c r="H72" s="748">
        <v>59736</v>
      </c>
      <c r="I72" s="330">
        <f>+G72/H72</f>
        <v>8.713706977367082</v>
      </c>
      <c r="J72" s="93">
        <v>62</v>
      </c>
      <c r="K72" s="659"/>
    </row>
    <row r="73" spans="1:11" s="94" customFormat="1" ht="12" customHeight="1">
      <c r="A73" s="95">
        <v>63</v>
      </c>
      <c r="B73" s="310" t="s">
        <v>231</v>
      </c>
      <c r="C73" s="117">
        <v>40564</v>
      </c>
      <c r="D73" s="118" t="s">
        <v>21</v>
      </c>
      <c r="E73" s="3">
        <v>100</v>
      </c>
      <c r="F73" s="3">
        <v>10</v>
      </c>
      <c r="G73" s="52">
        <f>351928.5+109593.5+20592.5+6351+8236+2820+477+622+1188+128</f>
        <v>501936.5</v>
      </c>
      <c r="H73" s="397">
        <f>40887+13714+2624+866+1497+479+81+311+238+23</f>
        <v>60720</v>
      </c>
      <c r="I73" s="102">
        <f>+G73/H73</f>
        <v>8.26641139657444</v>
      </c>
      <c r="J73" s="103">
        <v>63</v>
      </c>
      <c r="K73" s="659"/>
    </row>
    <row r="74" spans="1:11" s="94" customFormat="1" ht="12" customHeight="1">
      <c r="A74" s="95">
        <v>64</v>
      </c>
      <c r="B74" s="555" t="s">
        <v>14</v>
      </c>
      <c r="C74" s="206">
        <v>40592</v>
      </c>
      <c r="D74" s="118" t="s">
        <v>32</v>
      </c>
      <c r="E74" s="207">
        <v>26</v>
      </c>
      <c r="F74" s="207">
        <v>19</v>
      </c>
      <c r="G74" s="17">
        <f>237198+117355.25+39279+7609+10490+5994.5+4177+5529+13722.5+15666+5837+4401.5+5554+1816.5+656+560+364+822+284</f>
        <v>477315.25</v>
      </c>
      <c r="H74" s="14">
        <f>20106+9312+4270+1420+2469+1087+657+754+2056+2109+1033+786+862+334+111+80+52+126+44</f>
        <v>47668</v>
      </c>
      <c r="I74" s="105">
        <f>+G74/H74</f>
        <v>10.013326550306285</v>
      </c>
      <c r="J74" s="93">
        <v>64</v>
      </c>
      <c r="K74" s="659"/>
    </row>
    <row r="75" spans="1:11" s="94" customFormat="1" ht="12" customHeight="1">
      <c r="A75" s="95">
        <v>65</v>
      </c>
      <c r="B75" s="756" t="s">
        <v>391</v>
      </c>
      <c r="C75" s="117">
        <v>40620</v>
      </c>
      <c r="D75" s="736" t="s">
        <v>8</v>
      </c>
      <c r="E75" s="24">
        <v>51</v>
      </c>
      <c r="F75" s="24">
        <v>13</v>
      </c>
      <c r="G75" s="862">
        <v>471066</v>
      </c>
      <c r="H75" s="863">
        <v>47895</v>
      </c>
      <c r="I75" s="905">
        <f>+G75/H75</f>
        <v>9.835389915440025</v>
      </c>
      <c r="J75" s="103">
        <v>65</v>
      </c>
      <c r="K75" s="659">
        <v>1</v>
      </c>
    </row>
    <row r="76" spans="1:11" s="94" customFormat="1" ht="12" customHeight="1">
      <c r="A76" s="95">
        <v>66</v>
      </c>
      <c r="B76" s="555" t="s">
        <v>258</v>
      </c>
      <c r="C76" s="206">
        <v>40634</v>
      </c>
      <c r="D76" s="464" t="s">
        <v>138</v>
      </c>
      <c r="E76" s="207">
        <v>36</v>
      </c>
      <c r="F76" s="207">
        <v>11</v>
      </c>
      <c r="G76" s="17">
        <f>246204.5+109370+33780.5+17153+1902+8321+3738+833+560+246+350</f>
        <v>422458</v>
      </c>
      <c r="H76" s="18">
        <f>18876+8155+2662+1743+244+979+452+94+110+39+35</f>
        <v>33389</v>
      </c>
      <c r="I76" s="102">
        <f>+G76/H76</f>
        <v>12.652610141064422</v>
      </c>
      <c r="J76" s="103">
        <v>66</v>
      </c>
      <c r="K76" s="659">
        <v>1</v>
      </c>
    </row>
    <row r="77" spans="1:11" s="94" customFormat="1" ht="12" customHeight="1">
      <c r="A77" s="95">
        <v>67</v>
      </c>
      <c r="B77" s="771" t="s">
        <v>224</v>
      </c>
      <c r="C77" s="206">
        <v>40697</v>
      </c>
      <c r="D77" s="713" t="s">
        <v>32</v>
      </c>
      <c r="E77" s="719">
        <v>71</v>
      </c>
      <c r="F77" s="719">
        <v>9</v>
      </c>
      <c r="G77" s="961">
        <f>204018.5+92011.75+38624.5+27400+22817+12697.5+8373+8455.5+6781</f>
        <v>421178.75</v>
      </c>
      <c r="H77" s="962">
        <f>20915+10991+4900+3855+3433+1986+1329+1415+1032</f>
        <v>49856</v>
      </c>
      <c r="I77" s="905">
        <f>+G77/H77</f>
        <v>8.447904966302952</v>
      </c>
      <c r="J77" s="93">
        <v>67</v>
      </c>
      <c r="K77" s="659">
        <v>1</v>
      </c>
    </row>
    <row r="78" spans="1:11" s="94" customFormat="1" ht="12" customHeight="1">
      <c r="A78" s="95">
        <v>68</v>
      </c>
      <c r="B78" s="777" t="s">
        <v>55</v>
      </c>
      <c r="C78" s="680">
        <v>40669</v>
      </c>
      <c r="D78" s="713" t="s">
        <v>32</v>
      </c>
      <c r="E78" s="742">
        <v>31</v>
      </c>
      <c r="F78" s="719">
        <v>13</v>
      </c>
      <c r="G78" s="961">
        <f>175019+105176.5+33821+39610.5+24959.5+21794.5+6227+4449+362+706+2230+1369.5+1342.5</f>
        <v>417067</v>
      </c>
      <c r="H78" s="962">
        <f>19673+11998+4200+5352+3807+3790+1054+773+55+128+469+229+219</f>
        <v>51747</v>
      </c>
      <c r="I78" s="361">
        <f>G78/H78</f>
        <v>8.059732931377665</v>
      </c>
      <c r="J78" s="103">
        <v>68</v>
      </c>
      <c r="K78" s="659">
        <v>1</v>
      </c>
    </row>
    <row r="79" spans="1:11" s="94" customFormat="1" ht="12" customHeight="1">
      <c r="A79" s="95">
        <v>69</v>
      </c>
      <c r="B79" s="977" t="s">
        <v>225</v>
      </c>
      <c r="C79" s="505">
        <v>40697</v>
      </c>
      <c r="D79" s="713" t="s">
        <v>23</v>
      </c>
      <c r="E79" s="31">
        <v>20</v>
      </c>
      <c r="F79" s="31">
        <v>9</v>
      </c>
      <c r="G79" s="963">
        <v>371529</v>
      </c>
      <c r="H79" s="860">
        <v>38162</v>
      </c>
      <c r="I79" s="905">
        <f>+G79/H79</f>
        <v>9.735574655416382</v>
      </c>
      <c r="J79" s="93">
        <v>69</v>
      </c>
      <c r="K79" s="659"/>
    </row>
    <row r="80" spans="1:11" s="94" customFormat="1" ht="12" customHeight="1">
      <c r="A80" s="95">
        <v>70</v>
      </c>
      <c r="B80" s="771" t="s">
        <v>230</v>
      </c>
      <c r="C80" s="206">
        <v>40704</v>
      </c>
      <c r="D80" s="713" t="s">
        <v>32</v>
      </c>
      <c r="E80" s="719">
        <v>25</v>
      </c>
      <c r="F80" s="744">
        <v>8</v>
      </c>
      <c r="G80" s="964">
        <f>1507.5+116073+64240.5+36865+26116.5+23857.5+27298.75+30562+27213.5</f>
        <v>353734.25</v>
      </c>
      <c r="H80" s="965">
        <f>73+10003+5758+3705+3172+2912+3100+4082+3485</f>
        <v>36290</v>
      </c>
      <c r="I80" s="361">
        <f>G80/H80</f>
        <v>9.747430421603747</v>
      </c>
      <c r="J80" s="103">
        <v>70</v>
      </c>
      <c r="K80" s="659"/>
    </row>
    <row r="81" spans="1:11" s="94" customFormat="1" ht="12" customHeight="1">
      <c r="A81" s="95">
        <v>71</v>
      </c>
      <c r="B81" s="502" t="s">
        <v>83</v>
      </c>
      <c r="C81" s="117">
        <v>40585</v>
      </c>
      <c r="D81" s="122" t="s">
        <v>8</v>
      </c>
      <c r="E81" s="5">
        <v>41</v>
      </c>
      <c r="F81" s="6">
        <v>11</v>
      </c>
      <c r="G81" s="695">
        <v>346343</v>
      </c>
      <c r="H81" s="380">
        <v>29491</v>
      </c>
      <c r="I81" s="105">
        <f>G81/H81</f>
        <v>11.744023600420467</v>
      </c>
      <c r="J81" s="103">
        <v>71</v>
      </c>
      <c r="K81" s="659"/>
    </row>
    <row r="82" spans="1:11" s="94" customFormat="1" ht="12" customHeight="1">
      <c r="A82" s="95">
        <v>72</v>
      </c>
      <c r="B82" s="773" t="s">
        <v>53</v>
      </c>
      <c r="C82" s="117">
        <v>40662</v>
      </c>
      <c r="D82" s="713" t="s">
        <v>32</v>
      </c>
      <c r="E82" s="719">
        <v>19</v>
      </c>
      <c r="F82" s="744">
        <v>14</v>
      </c>
      <c r="G82" s="964">
        <f>101742.25+50164.5+51750+9401+13450.5+18562.5+28682+16047.5+15912+8384+5213+12043+3980+9461</f>
        <v>344793.25</v>
      </c>
      <c r="H82" s="965">
        <f>8064+3844+5093+985+1765+2797+3793+2133+2232+1161+795+1735+578+1201</f>
        <v>36176</v>
      </c>
      <c r="I82" s="905">
        <f>+G82/H82</f>
        <v>9.530994305616984</v>
      </c>
      <c r="J82" s="93">
        <v>72</v>
      </c>
      <c r="K82" s="659"/>
    </row>
    <row r="83" spans="1:11" s="94" customFormat="1" ht="12" customHeight="1">
      <c r="A83" s="95">
        <v>73</v>
      </c>
      <c r="B83" s="778" t="s">
        <v>191</v>
      </c>
      <c r="C83" s="681">
        <v>40606</v>
      </c>
      <c r="D83" s="682" t="s">
        <v>23</v>
      </c>
      <c r="E83" s="683">
        <v>52</v>
      </c>
      <c r="F83" s="966">
        <v>5</v>
      </c>
      <c r="G83" s="967">
        <v>327940</v>
      </c>
      <c r="H83" s="968">
        <v>26292</v>
      </c>
      <c r="I83" s="301">
        <v>12.472995588011562</v>
      </c>
      <c r="J83" s="103">
        <v>73</v>
      </c>
      <c r="K83" s="659"/>
    </row>
    <row r="84" spans="1:11" s="94" customFormat="1" ht="12" customHeight="1">
      <c r="A84" s="95">
        <v>74</v>
      </c>
      <c r="B84" s="772" t="s">
        <v>43</v>
      </c>
      <c r="C84" s="686">
        <v>40655</v>
      </c>
      <c r="D84" s="723" t="s">
        <v>65</v>
      </c>
      <c r="E84" s="728">
        <v>35</v>
      </c>
      <c r="F84" s="728">
        <v>14</v>
      </c>
      <c r="G84" s="379">
        <v>312772.5</v>
      </c>
      <c r="H84" s="376">
        <v>30808</v>
      </c>
      <c r="I84" s="905">
        <f>+G84/H84</f>
        <v>10.152314333939236</v>
      </c>
      <c r="J84" s="93">
        <v>74</v>
      </c>
      <c r="K84" s="659"/>
    </row>
    <row r="85" spans="1:11" s="94" customFormat="1" ht="12" customHeight="1">
      <c r="A85" s="95">
        <v>75</v>
      </c>
      <c r="B85" s="771" t="s">
        <v>17</v>
      </c>
      <c r="C85" s="206">
        <v>40613</v>
      </c>
      <c r="D85" s="713" t="s">
        <v>32</v>
      </c>
      <c r="E85" s="719">
        <v>25</v>
      </c>
      <c r="F85" s="719">
        <v>18</v>
      </c>
      <c r="G85" s="961">
        <f>75934+53479.5+29060+17465+26762+20460.5+20847+12710+19039+8622+2147+3636+459+653+4560+770+4752+402</f>
        <v>301758</v>
      </c>
      <c r="H85" s="962">
        <f>9554+7103+4053+2490+4055+3124+3295+2389+2957+1767+459+626+92+107+609+124+1188+40</f>
        <v>44032</v>
      </c>
      <c r="I85" s="361">
        <f>+G85/H85</f>
        <v>6.853152252906977</v>
      </c>
      <c r="J85" s="103">
        <v>75</v>
      </c>
      <c r="K85" s="659">
        <v>1</v>
      </c>
    </row>
    <row r="86" spans="1:11" s="94" customFormat="1" ht="12" customHeight="1">
      <c r="A86" s="95">
        <v>76</v>
      </c>
      <c r="B86" s="771" t="s">
        <v>34</v>
      </c>
      <c r="C86" s="206">
        <v>40641</v>
      </c>
      <c r="D86" s="713" t="s">
        <v>32</v>
      </c>
      <c r="E86" s="719">
        <v>22</v>
      </c>
      <c r="F86" s="719">
        <v>16</v>
      </c>
      <c r="G86" s="961">
        <f>116634.25+59106.5+23134.5+13753.5+15970+8455.5+1576+1761+10125.5+2018+2376+1505+1606+4951.5+5289.5+5175</f>
        <v>273437.75</v>
      </c>
      <c r="H86" s="962">
        <f>8833+4531+2274+1803+2249+1097+201+284+1149+305+594+210+182+582+643+704</f>
        <v>25641</v>
      </c>
      <c r="I86" s="905">
        <f>+G86/H86</f>
        <v>10.664082914082915</v>
      </c>
      <c r="J86" s="103">
        <v>76</v>
      </c>
      <c r="K86" s="659">
        <v>1</v>
      </c>
    </row>
    <row r="87" spans="1:11" s="94" customFormat="1" ht="12" customHeight="1">
      <c r="A87" s="95">
        <v>77</v>
      </c>
      <c r="B87" s="191" t="s">
        <v>192</v>
      </c>
      <c r="C87" s="32">
        <v>40599</v>
      </c>
      <c r="D87" s="273" t="s">
        <v>23</v>
      </c>
      <c r="E87" s="33">
        <v>30</v>
      </c>
      <c r="F87" s="33">
        <v>12</v>
      </c>
      <c r="G87" s="48">
        <v>273347</v>
      </c>
      <c r="H87" s="194">
        <v>22741</v>
      </c>
      <c r="I87" s="308">
        <f>+G87/H87</f>
        <v>12.020007915219207</v>
      </c>
      <c r="J87" s="93">
        <v>77</v>
      </c>
      <c r="K87" s="659"/>
    </row>
    <row r="88" spans="1:11" s="94" customFormat="1" ht="12" customHeight="1">
      <c r="A88" s="95">
        <v>78</v>
      </c>
      <c r="B88" s="756" t="s">
        <v>397</v>
      </c>
      <c r="C88" s="686">
        <v>40746</v>
      </c>
      <c r="D88" s="736" t="s">
        <v>8</v>
      </c>
      <c r="E88" s="24">
        <v>26</v>
      </c>
      <c r="F88" s="24">
        <v>2</v>
      </c>
      <c r="G88" s="862">
        <v>258288</v>
      </c>
      <c r="H88" s="863">
        <v>21163</v>
      </c>
      <c r="I88" s="361">
        <f>G88/H88</f>
        <v>12.204696876624297</v>
      </c>
      <c r="J88" s="103">
        <v>78</v>
      </c>
      <c r="K88" s="659"/>
    </row>
    <row r="89" spans="1:11" s="94" customFormat="1" ht="12" customHeight="1">
      <c r="A89" s="95">
        <v>79</v>
      </c>
      <c r="B89" s="502" t="s">
        <v>45</v>
      </c>
      <c r="C89" s="117">
        <v>40641</v>
      </c>
      <c r="D89" s="121" t="s">
        <v>75</v>
      </c>
      <c r="E89" s="123">
        <v>20</v>
      </c>
      <c r="F89" s="202">
        <v>12</v>
      </c>
      <c r="G89" s="15">
        <v>245782</v>
      </c>
      <c r="H89" s="16">
        <v>32811</v>
      </c>
      <c r="I89" s="102">
        <f>+G89/H89</f>
        <v>7.490841486086983</v>
      </c>
      <c r="J89" s="93">
        <v>79</v>
      </c>
      <c r="K89" s="659"/>
    </row>
    <row r="90" spans="1:11" s="94" customFormat="1" ht="12" customHeight="1">
      <c r="A90" s="95">
        <v>80</v>
      </c>
      <c r="B90" s="779" t="s">
        <v>193</v>
      </c>
      <c r="C90" s="2">
        <v>40543</v>
      </c>
      <c r="D90" s="21" t="s">
        <v>75</v>
      </c>
      <c r="E90" s="685" t="s">
        <v>194</v>
      </c>
      <c r="F90" s="685" t="s">
        <v>195</v>
      </c>
      <c r="G90" s="15">
        <v>241335</v>
      </c>
      <c r="H90" s="16">
        <v>20302</v>
      </c>
      <c r="I90" s="301">
        <f>+G90/H90</f>
        <v>11.88725248743966</v>
      </c>
      <c r="J90" s="103">
        <v>80</v>
      </c>
      <c r="K90" s="659"/>
    </row>
    <row r="91" spans="1:11" s="94" customFormat="1" ht="12" customHeight="1">
      <c r="A91" s="95">
        <v>81</v>
      </c>
      <c r="B91" s="502" t="s">
        <v>51</v>
      </c>
      <c r="C91" s="117">
        <v>40662</v>
      </c>
      <c r="D91" s="122" t="s">
        <v>8</v>
      </c>
      <c r="E91" s="5">
        <v>68</v>
      </c>
      <c r="F91" s="5">
        <v>12</v>
      </c>
      <c r="G91" s="15">
        <v>238390</v>
      </c>
      <c r="H91" s="16">
        <v>28900</v>
      </c>
      <c r="I91" s="105">
        <f>G91/H91</f>
        <v>8.24878892733564</v>
      </c>
      <c r="J91" s="103">
        <v>81</v>
      </c>
      <c r="K91" s="659">
        <v>1</v>
      </c>
    </row>
    <row r="92" spans="1:11" s="94" customFormat="1" ht="12" customHeight="1">
      <c r="A92" s="95">
        <v>82</v>
      </c>
      <c r="B92" s="773" t="s">
        <v>46</v>
      </c>
      <c r="C92" s="117">
        <v>40655</v>
      </c>
      <c r="D92" s="713" t="s">
        <v>32</v>
      </c>
      <c r="E92" s="719">
        <v>15</v>
      </c>
      <c r="F92" s="719">
        <v>15</v>
      </c>
      <c r="G92" s="961">
        <f>41594+16674.5+20041.5+21789.5+6150+7886+17173.5+27384+16704.5+16122.5+8157+5086+2378+11487+5687.5</f>
        <v>224315.5</v>
      </c>
      <c r="H92" s="962">
        <f>4913+2342+2355+2524+869+1326+2610+3337+2297+2315+1175+747+414+1699+885</f>
        <v>29808</v>
      </c>
      <c r="I92" s="361">
        <f>G92/H92</f>
        <v>7.5253455448201825</v>
      </c>
      <c r="J92" s="93">
        <v>82</v>
      </c>
      <c r="K92" s="659">
        <v>1</v>
      </c>
    </row>
    <row r="93" spans="1:11" s="94" customFormat="1" ht="12" customHeight="1">
      <c r="A93" s="95">
        <v>83</v>
      </c>
      <c r="B93" s="781">
        <v>40</v>
      </c>
      <c r="C93" s="686">
        <v>40739</v>
      </c>
      <c r="D93" s="713" t="s">
        <v>32</v>
      </c>
      <c r="E93" s="719">
        <v>17</v>
      </c>
      <c r="F93" s="719">
        <v>3</v>
      </c>
      <c r="G93" s="961">
        <f>100961+78170+39198.5</f>
        <v>218329.5</v>
      </c>
      <c r="H93" s="962">
        <f>10897+8433+4553</f>
        <v>23883</v>
      </c>
      <c r="I93" s="361">
        <f>G93/H93</f>
        <v>9.141627936188922</v>
      </c>
      <c r="J93" s="103">
        <v>83</v>
      </c>
      <c r="K93" s="659"/>
    </row>
    <row r="94" spans="1:11" s="94" customFormat="1" ht="12" customHeight="1">
      <c r="A94" s="95">
        <v>84</v>
      </c>
      <c r="B94" s="757" t="s">
        <v>218</v>
      </c>
      <c r="C94" s="117">
        <v>40606</v>
      </c>
      <c r="D94" s="713" t="s">
        <v>23</v>
      </c>
      <c r="E94" s="31">
        <v>35</v>
      </c>
      <c r="F94" s="31">
        <v>9</v>
      </c>
      <c r="G94" s="696">
        <v>216940</v>
      </c>
      <c r="H94" s="376">
        <v>21633</v>
      </c>
      <c r="I94" s="905">
        <f>+G94/H94</f>
        <v>10.02819766098091</v>
      </c>
      <c r="J94" s="93">
        <v>84</v>
      </c>
      <c r="K94" s="659"/>
    </row>
    <row r="95" spans="1:11" s="94" customFormat="1" ht="12" customHeight="1">
      <c r="A95" s="95">
        <v>85</v>
      </c>
      <c r="B95" s="555" t="s">
        <v>368</v>
      </c>
      <c r="C95" s="206">
        <v>40543</v>
      </c>
      <c r="D95" s="118" t="s">
        <v>32</v>
      </c>
      <c r="E95" s="207">
        <v>77</v>
      </c>
      <c r="F95" s="207">
        <v>11</v>
      </c>
      <c r="G95" s="17">
        <f>163528+30551+13366.5+447+2034+736+438+615.5+1401.5+258+42</f>
        <v>213417.5</v>
      </c>
      <c r="H95" s="18">
        <f>16190+3500+1888+71+488+168+61+118+314+42+7</f>
        <v>22847</v>
      </c>
      <c r="I95" s="105">
        <f>+G95/H95</f>
        <v>9.341160765089509</v>
      </c>
      <c r="J95" s="103">
        <v>85</v>
      </c>
      <c r="K95" s="659"/>
    </row>
    <row r="96" spans="1:11" s="94" customFormat="1" ht="12" customHeight="1">
      <c r="A96" s="95">
        <v>86</v>
      </c>
      <c r="B96" s="547" t="s">
        <v>128</v>
      </c>
      <c r="C96" s="686">
        <v>40613</v>
      </c>
      <c r="D96" s="665" t="s">
        <v>65</v>
      </c>
      <c r="E96" s="662">
        <v>25</v>
      </c>
      <c r="F96" s="237">
        <v>15</v>
      </c>
      <c r="G96" s="398">
        <v>208275.5</v>
      </c>
      <c r="H96" s="395">
        <v>27836</v>
      </c>
      <c r="I96" s="105">
        <f>G96/H96</f>
        <v>7.48223523494755</v>
      </c>
      <c r="J96" s="103">
        <v>86</v>
      </c>
      <c r="K96" s="659">
        <v>1</v>
      </c>
    </row>
    <row r="97" spans="1:11" s="94" customFormat="1" ht="12" customHeight="1">
      <c r="A97" s="95">
        <v>87</v>
      </c>
      <c r="B97" s="780" t="s">
        <v>196</v>
      </c>
      <c r="C97" s="677">
        <v>40557</v>
      </c>
      <c r="D97" s="687" t="s">
        <v>8</v>
      </c>
      <c r="E97" s="688">
        <v>66</v>
      </c>
      <c r="F97" s="688">
        <v>8</v>
      </c>
      <c r="G97" s="15">
        <v>207906</v>
      </c>
      <c r="H97" s="16">
        <v>24812</v>
      </c>
      <c r="I97" s="301">
        <v>8.37925197485088</v>
      </c>
      <c r="J97" s="93">
        <v>87</v>
      </c>
      <c r="K97" s="659"/>
    </row>
    <row r="98" spans="1:11" s="94" customFormat="1" ht="12" customHeight="1">
      <c r="A98" s="95">
        <v>88</v>
      </c>
      <c r="B98" s="236" t="s">
        <v>417</v>
      </c>
      <c r="C98" s="907">
        <v>40543</v>
      </c>
      <c r="D98" s="713" t="s">
        <v>23</v>
      </c>
      <c r="E98" s="31">
        <v>118</v>
      </c>
      <c r="F98" s="31">
        <v>31</v>
      </c>
      <c r="G98" s="696">
        <v>203048</v>
      </c>
      <c r="H98" s="376">
        <v>22699</v>
      </c>
      <c r="I98" s="361">
        <f>+G98/H98</f>
        <v>8.94523987840874</v>
      </c>
      <c r="J98" s="103">
        <v>88</v>
      </c>
      <c r="K98" s="659"/>
    </row>
    <row r="99" spans="1:11" s="94" customFormat="1" ht="12" customHeight="1">
      <c r="A99" s="95">
        <v>89</v>
      </c>
      <c r="B99" s="756" t="s">
        <v>56</v>
      </c>
      <c r="C99" s="117">
        <v>40669</v>
      </c>
      <c r="D99" s="736" t="s">
        <v>8</v>
      </c>
      <c r="E99" s="24">
        <v>20</v>
      </c>
      <c r="F99" s="24">
        <v>13</v>
      </c>
      <c r="G99" s="862">
        <v>201103</v>
      </c>
      <c r="H99" s="863">
        <v>19521</v>
      </c>
      <c r="I99" s="361">
        <f>+G99/H99</f>
        <v>10.30188002663798</v>
      </c>
      <c r="J99" s="93">
        <v>89</v>
      </c>
      <c r="K99" s="659"/>
    </row>
    <row r="100" spans="1:11" s="94" customFormat="1" ht="12" customHeight="1">
      <c r="A100" s="95">
        <v>90</v>
      </c>
      <c r="B100" s="773" t="s">
        <v>133</v>
      </c>
      <c r="C100" s="117">
        <v>40613</v>
      </c>
      <c r="D100" s="713" t="s">
        <v>32</v>
      </c>
      <c r="E100" s="719">
        <v>22</v>
      </c>
      <c r="F100" s="719">
        <v>16</v>
      </c>
      <c r="G100" s="961">
        <f>116753+45641.5+1507+3664+4533+723.5+456.5+2184+2545+520.5+610+1419+1872+2025.5+1249+6798</f>
        <v>192501.5</v>
      </c>
      <c r="H100" s="962">
        <f>8727+3759+162+393+667+140+67+296+333+73+92+210+173+255+140+905</f>
        <v>16392</v>
      </c>
      <c r="I100" s="361">
        <f>G100/H100</f>
        <v>11.743624938994632</v>
      </c>
      <c r="J100" s="103">
        <v>90</v>
      </c>
      <c r="K100" s="659"/>
    </row>
    <row r="101" spans="1:11" s="94" customFormat="1" ht="12" customHeight="1">
      <c r="A101" s="95">
        <v>91</v>
      </c>
      <c r="B101" s="770" t="s">
        <v>71</v>
      </c>
      <c r="C101" s="564">
        <v>40682</v>
      </c>
      <c r="D101" s="713" t="s">
        <v>21</v>
      </c>
      <c r="E101" s="22">
        <v>45</v>
      </c>
      <c r="F101" s="22">
        <v>11</v>
      </c>
      <c r="G101" s="861">
        <f>13185+73231+37777+23268.5+18693.5+7384+9469.5+1890+288+1214+2255+1460</f>
        <v>190115.5</v>
      </c>
      <c r="H101" s="697">
        <f>1138+8298+4612+3436+2782+1275+1363+239+41+242+308+191</f>
        <v>23925</v>
      </c>
      <c r="I101" s="361">
        <f>G101/H101</f>
        <v>7.946311389759666</v>
      </c>
      <c r="J101" s="103">
        <v>91</v>
      </c>
      <c r="K101" s="659"/>
    </row>
    <row r="102" spans="1:11" s="94" customFormat="1" ht="12" customHeight="1">
      <c r="A102" s="95">
        <v>92</v>
      </c>
      <c r="B102" s="226" t="s">
        <v>197</v>
      </c>
      <c r="C102" s="2">
        <v>40634</v>
      </c>
      <c r="D102" s="20" t="s">
        <v>142</v>
      </c>
      <c r="E102" s="5">
        <v>44</v>
      </c>
      <c r="F102" s="5">
        <v>7</v>
      </c>
      <c r="G102" s="244">
        <v>189001.75</v>
      </c>
      <c r="H102" s="245">
        <v>21097</v>
      </c>
      <c r="I102" s="301">
        <f>+G102/H102</f>
        <v>8.95870265914585</v>
      </c>
      <c r="J102" s="93">
        <v>92</v>
      </c>
      <c r="K102" s="659"/>
    </row>
    <row r="103" spans="1:11" s="94" customFormat="1" ht="12" customHeight="1">
      <c r="A103" s="95">
        <v>93</v>
      </c>
      <c r="B103" s="310" t="s">
        <v>44</v>
      </c>
      <c r="C103" s="117">
        <v>40655</v>
      </c>
      <c r="D103" s="118" t="s">
        <v>29</v>
      </c>
      <c r="E103" s="262">
        <v>25</v>
      </c>
      <c r="F103" s="262">
        <v>12</v>
      </c>
      <c r="G103" s="399">
        <f>94030+36665.5+19228.5+15274+9884.5+3195.5+2792+1795+3042.5+1500+1095+266</f>
        <v>188768.5</v>
      </c>
      <c r="H103" s="400">
        <f>8677+3579+2658+2286+1470+489+408+244+413+249+211+52</f>
        <v>20736</v>
      </c>
      <c r="I103" s="102">
        <f>+G103/H103</f>
        <v>9.103419174382717</v>
      </c>
      <c r="J103" s="103">
        <v>93</v>
      </c>
      <c r="K103" s="659"/>
    </row>
    <row r="104" spans="1:11" s="94" customFormat="1" ht="12" customHeight="1">
      <c r="A104" s="95">
        <v>94</v>
      </c>
      <c r="B104" s="771" t="s">
        <v>70</v>
      </c>
      <c r="C104" s="206">
        <v>40682</v>
      </c>
      <c r="D104" s="713" t="s">
        <v>32</v>
      </c>
      <c r="E104" s="719">
        <v>101</v>
      </c>
      <c r="F104" s="719">
        <v>10</v>
      </c>
      <c r="G104" s="961">
        <f>27003.5+85794+43816.5+12611.5+5021+2538+922+420+6989.5+224+445</f>
        <v>185785</v>
      </c>
      <c r="H104" s="962">
        <f>3081+10215+5836+1972+779+451+155+94+1736+32+81</f>
        <v>24432</v>
      </c>
      <c r="I104" s="361">
        <f>+G104/H104</f>
        <v>7.604166666666667</v>
      </c>
      <c r="J104" s="93">
        <v>94</v>
      </c>
      <c r="K104" s="659"/>
    </row>
    <row r="105" spans="1:11" s="94" customFormat="1" ht="12" customHeight="1">
      <c r="A105" s="95">
        <v>95</v>
      </c>
      <c r="B105" s="236" t="s">
        <v>227</v>
      </c>
      <c r="C105" s="470">
        <v>40697</v>
      </c>
      <c r="D105" s="729" t="s">
        <v>65</v>
      </c>
      <c r="E105" s="728">
        <v>15</v>
      </c>
      <c r="F105" s="728">
        <v>9</v>
      </c>
      <c r="G105" s="379">
        <v>185415.5</v>
      </c>
      <c r="H105" s="376">
        <v>23461</v>
      </c>
      <c r="I105" s="361">
        <f>G105/H105</f>
        <v>7.903137121179831</v>
      </c>
      <c r="J105" s="103">
        <v>95</v>
      </c>
      <c r="K105" s="659"/>
    </row>
    <row r="106" spans="1:11" s="94" customFormat="1" ht="12" customHeight="1">
      <c r="A106" s="95">
        <v>96</v>
      </c>
      <c r="B106" s="555" t="s">
        <v>19</v>
      </c>
      <c r="C106" s="206">
        <v>40620</v>
      </c>
      <c r="D106" s="118" t="s">
        <v>32</v>
      </c>
      <c r="E106" s="207">
        <v>18</v>
      </c>
      <c r="F106" s="207">
        <v>11</v>
      </c>
      <c r="G106" s="17">
        <f>39453.5+44225+30459.5+23462+13989+8982.5+6844+2370+4120+2588+1886</f>
        <v>178379.5</v>
      </c>
      <c r="H106" s="18">
        <f>5345+6302+4080+3427+1964+1106+1298+366+730+571+456</f>
        <v>25645</v>
      </c>
      <c r="I106" s="102">
        <f>+G106/H106</f>
        <v>6.95572236303373</v>
      </c>
      <c r="J106" s="103">
        <v>96</v>
      </c>
      <c r="K106" s="659"/>
    </row>
    <row r="107" spans="1:11" s="94" customFormat="1" ht="12" customHeight="1">
      <c r="A107" s="95">
        <v>97</v>
      </c>
      <c r="B107" s="756" t="s">
        <v>39</v>
      </c>
      <c r="C107" s="117">
        <v>40648</v>
      </c>
      <c r="D107" s="736" t="s">
        <v>8</v>
      </c>
      <c r="E107" s="24">
        <v>10</v>
      </c>
      <c r="F107" s="24">
        <v>16</v>
      </c>
      <c r="G107" s="862">
        <v>177931</v>
      </c>
      <c r="H107" s="863">
        <v>16942</v>
      </c>
      <c r="I107" s="905">
        <f>+G107/H107</f>
        <v>10.502360996340455</v>
      </c>
      <c r="J107" s="93">
        <v>97</v>
      </c>
      <c r="K107" s="659">
        <v>1</v>
      </c>
    </row>
    <row r="108" spans="1:11" s="94" customFormat="1" ht="12" customHeight="1">
      <c r="A108" s="95">
        <v>98</v>
      </c>
      <c r="B108" s="773" t="s">
        <v>246</v>
      </c>
      <c r="C108" s="117">
        <v>40718</v>
      </c>
      <c r="D108" s="713" t="s">
        <v>32</v>
      </c>
      <c r="E108" s="719">
        <v>25</v>
      </c>
      <c r="F108" s="719">
        <v>6</v>
      </c>
      <c r="G108" s="961">
        <f>57373+29138.5+18608.5+18274+18081+33158.5</f>
        <v>174633.5</v>
      </c>
      <c r="H108" s="962">
        <f>5353+2775+2460+2094+2184+3706</f>
        <v>18572</v>
      </c>
      <c r="I108" s="906">
        <f>G108/H108</f>
        <v>9.40305298298514</v>
      </c>
      <c r="J108" s="103">
        <v>98</v>
      </c>
      <c r="K108" s="659"/>
    </row>
    <row r="109" spans="1:11" s="94" customFormat="1" ht="12" customHeight="1">
      <c r="A109" s="95">
        <v>99</v>
      </c>
      <c r="B109" s="672" t="s">
        <v>57</v>
      </c>
      <c r="C109" s="117">
        <v>40669</v>
      </c>
      <c r="D109" s="118" t="s">
        <v>23</v>
      </c>
      <c r="E109" s="123">
        <v>71</v>
      </c>
      <c r="F109" s="33">
        <v>8</v>
      </c>
      <c r="G109" s="394">
        <v>168950</v>
      </c>
      <c r="H109" s="395">
        <v>18267</v>
      </c>
      <c r="I109" s="102">
        <f>+G109/H109</f>
        <v>9.248918815350084</v>
      </c>
      <c r="J109" s="93">
        <v>99</v>
      </c>
      <c r="K109" s="659">
        <v>1</v>
      </c>
    </row>
    <row r="110" spans="1:11" s="94" customFormat="1" ht="12" customHeight="1">
      <c r="A110" s="95">
        <v>100</v>
      </c>
      <c r="B110" s="502" t="s">
        <v>372</v>
      </c>
      <c r="C110" s="117">
        <v>40725</v>
      </c>
      <c r="D110" s="727" t="s">
        <v>75</v>
      </c>
      <c r="E110" s="715">
        <v>32</v>
      </c>
      <c r="F110" s="854">
        <v>5</v>
      </c>
      <c r="G110" s="862">
        <v>168486</v>
      </c>
      <c r="H110" s="863">
        <v>19150</v>
      </c>
      <c r="I110" s="361">
        <f>G110/H110</f>
        <v>8.79822454308094</v>
      </c>
      <c r="J110" s="103">
        <v>100</v>
      </c>
      <c r="K110" s="659"/>
    </row>
    <row r="111" spans="1:11" s="94" customFormat="1" ht="12" customHeight="1">
      <c r="A111" s="95">
        <v>101</v>
      </c>
      <c r="B111" s="756" t="s">
        <v>219</v>
      </c>
      <c r="C111" s="117">
        <v>40690</v>
      </c>
      <c r="D111" s="736" t="s">
        <v>29</v>
      </c>
      <c r="E111" s="31">
        <v>50</v>
      </c>
      <c r="F111" s="31">
        <v>10</v>
      </c>
      <c r="G111" s="379">
        <f>158493+654+221+564+90</f>
        <v>160022</v>
      </c>
      <c r="H111" s="860">
        <f>17460+97+38+91+15</f>
        <v>17701</v>
      </c>
      <c r="I111" s="905">
        <f>+G111/H111</f>
        <v>9.040280210157619</v>
      </c>
      <c r="J111" s="103">
        <v>101</v>
      </c>
      <c r="K111" s="659">
        <v>1</v>
      </c>
    </row>
    <row r="112" spans="1:11" s="94" customFormat="1" ht="12" customHeight="1">
      <c r="A112" s="95">
        <v>102</v>
      </c>
      <c r="B112" s="773" t="s">
        <v>409</v>
      </c>
      <c r="C112" s="117">
        <v>40753</v>
      </c>
      <c r="D112" s="713" t="s">
        <v>32</v>
      </c>
      <c r="E112" s="719">
        <v>58</v>
      </c>
      <c r="F112" s="719">
        <v>1</v>
      </c>
      <c r="G112" s="961">
        <f>159826</f>
        <v>159826</v>
      </c>
      <c r="H112" s="962">
        <f>16534</f>
        <v>16534</v>
      </c>
      <c r="I112" s="905">
        <f>+G112/H112</f>
        <v>9.666505382847467</v>
      </c>
      <c r="J112" s="93">
        <v>102</v>
      </c>
      <c r="K112" s="659"/>
    </row>
    <row r="113" spans="1:11" s="94" customFormat="1" ht="12" customHeight="1">
      <c r="A113" s="95">
        <v>103</v>
      </c>
      <c r="B113" s="310" t="s">
        <v>374</v>
      </c>
      <c r="C113" s="117">
        <v>40725</v>
      </c>
      <c r="D113" s="713" t="s">
        <v>65</v>
      </c>
      <c r="E113" s="728">
        <v>18</v>
      </c>
      <c r="F113" s="728">
        <v>5</v>
      </c>
      <c r="G113" s="379">
        <v>156735</v>
      </c>
      <c r="H113" s="376">
        <v>15128</v>
      </c>
      <c r="I113" s="905">
        <f>+G113/H113</f>
        <v>10.360589635113696</v>
      </c>
      <c r="J113" s="103">
        <v>103</v>
      </c>
      <c r="K113" s="659"/>
    </row>
    <row r="114" spans="1:11" s="94" customFormat="1" ht="12" customHeight="1">
      <c r="A114" s="95">
        <v>104</v>
      </c>
      <c r="B114" s="770" t="s">
        <v>361</v>
      </c>
      <c r="C114" s="117">
        <v>40732</v>
      </c>
      <c r="D114" s="713" t="s">
        <v>21</v>
      </c>
      <c r="E114" s="22">
        <v>23</v>
      </c>
      <c r="F114" s="22">
        <v>4</v>
      </c>
      <c r="G114" s="861">
        <f>63653+42613.5+25162+24678</f>
        <v>156106.5</v>
      </c>
      <c r="H114" s="697">
        <f>5385+3679+2937+3272</f>
        <v>15273</v>
      </c>
      <c r="I114" s="361">
        <f>G114/H114</f>
        <v>10.221076409349832</v>
      </c>
      <c r="J114" s="93">
        <v>104</v>
      </c>
      <c r="K114" s="659"/>
    </row>
    <row r="115" spans="1:11" s="94" customFormat="1" ht="12" customHeight="1">
      <c r="A115" s="95">
        <v>105</v>
      </c>
      <c r="B115" s="771" t="s">
        <v>40</v>
      </c>
      <c r="C115" s="206">
        <v>40648</v>
      </c>
      <c r="D115" s="713" t="s">
        <v>32</v>
      </c>
      <c r="E115" s="719">
        <v>28</v>
      </c>
      <c r="F115" s="744">
        <v>15</v>
      </c>
      <c r="G115" s="964">
        <f>67573+47761.5+14206.5+4949+3617+1080.5+492+714+1413.5+3743.5+735+1502.5+825+1147+1818</f>
        <v>151578</v>
      </c>
      <c r="H115" s="965">
        <f>6695+4901+2068+559+504+215+178+122+205+836+119+235+131+174+400</f>
        <v>17342</v>
      </c>
      <c r="I115" s="361">
        <f>+G115/H115</f>
        <v>8.740514358205512</v>
      </c>
      <c r="J115" s="103">
        <v>105</v>
      </c>
      <c r="K115" s="659"/>
    </row>
    <row r="116" spans="1:11" s="94" customFormat="1" ht="12" customHeight="1">
      <c r="A116" s="95">
        <v>106</v>
      </c>
      <c r="B116" s="310" t="s">
        <v>58</v>
      </c>
      <c r="C116" s="117">
        <v>40655</v>
      </c>
      <c r="D116" s="118" t="s">
        <v>29</v>
      </c>
      <c r="E116" s="33">
        <v>67</v>
      </c>
      <c r="F116" s="230">
        <v>11</v>
      </c>
      <c r="G116" s="969">
        <f>67248.5+45099.5+15076+5484+3476+6884.5+3289+1008+1347+56+29</f>
        <v>148997.5</v>
      </c>
      <c r="H116" s="699">
        <f>9201+6328+2377+887+535+1078+734+154+231+8+4</f>
        <v>21537</v>
      </c>
      <c r="I116" s="102">
        <f>+G116/H116</f>
        <v>6.9182105214282394</v>
      </c>
      <c r="J116" s="103">
        <v>106</v>
      </c>
      <c r="K116" s="659"/>
    </row>
    <row r="117" spans="1:11" s="94" customFormat="1" ht="12" customHeight="1">
      <c r="A117" s="95">
        <v>107</v>
      </c>
      <c r="B117" s="226" t="s">
        <v>198</v>
      </c>
      <c r="C117" s="2">
        <v>40592</v>
      </c>
      <c r="D117" s="21" t="s">
        <v>8</v>
      </c>
      <c r="E117" s="5">
        <v>68</v>
      </c>
      <c r="F117" s="6">
        <v>6</v>
      </c>
      <c r="G117" s="15">
        <v>148435</v>
      </c>
      <c r="H117" s="16">
        <v>15321</v>
      </c>
      <c r="I117" s="302">
        <f>+G117/H117</f>
        <v>9.688336270478429</v>
      </c>
      <c r="J117" s="93">
        <v>107</v>
      </c>
      <c r="K117" s="659"/>
    </row>
    <row r="118" spans="1:11" s="94" customFormat="1" ht="12" customHeight="1">
      <c r="A118" s="95">
        <v>108</v>
      </c>
      <c r="B118" s="555" t="s">
        <v>199</v>
      </c>
      <c r="C118" s="206">
        <v>40662</v>
      </c>
      <c r="D118" s="118" t="s">
        <v>32</v>
      </c>
      <c r="E118" s="202">
        <v>8</v>
      </c>
      <c r="F118" s="202">
        <v>5</v>
      </c>
      <c r="G118" s="17">
        <f>67674.75+46830+18110+1476+5524</f>
        <v>139614.75</v>
      </c>
      <c r="H118" s="18">
        <f>4668+3128+1120+94+406</f>
        <v>9416</v>
      </c>
      <c r="I118" s="102">
        <f>+G118/H118</f>
        <v>14.827394859813085</v>
      </c>
      <c r="J118" s="103">
        <v>108</v>
      </c>
      <c r="K118" s="659"/>
    </row>
    <row r="119" spans="1:11" s="94" customFormat="1" ht="12" customHeight="1">
      <c r="A119" s="95">
        <v>109</v>
      </c>
      <c r="B119" s="773" t="s">
        <v>66</v>
      </c>
      <c r="C119" s="117">
        <v>40676</v>
      </c>
      <c r="D119" s="713" t="s">
        <v>32</v>
      </c>
      <c r="E119" s="719">
        <v>10</v>
      </c>
      <c r="F119" s="719">
        <v>12</v>
      </c>
      <c r="G119" s="961">
        <f>25538+8567.5+9964.5+12234+14938.5+9476+11986.5+8134.5+5758+8917.5+7919+5060.5</f>
        <v>128494.5</v>
      </c>
      <c r="H119" s="962">
        <f>2653+1137+1115+1743+2142+1338+1216+1069+896+1180+1242+698</f>
        <v>16429</v>
      </c>
      <c r="I119" s="361">
        <f>G119/H119</f>
        <v>7.821200316513482</v>
      </c>
      <c r="J119" s="93">
        <v>109</v>
      </c>
      <c r="K119" s="659">
        <v>1</v>
      </c>
    </row>
    <row r="120" spans="1:11" s="94" customFormat="1" ht="12" customHeight="1">
      <c r="A120" s="95">
        <v>110</v>
      </c>
      <c r="B120" s="774" t="s">
        <v>200</v>
      </c>
      <c r="C120" s="677">
        <v>40634</v>
      </c>
      <c r="D120" s="676" t="s">
        <v>201</v>
      </c>
      <c r="E120" s="678">
        <v>1</v>
      </c>
      <c r="F120" s="678">
        <v>6</v>
      </c>
      <c r="G120" s="323">
        <v>128300</v>
      </c>
      <c r="H120" s="324">
        <v>14008</v>
      </c>
      <c r="I120" s="301">
        <f>+G120/H120</f>
        <v>9.159051970302684</v>
      </c>
      <c r="J120" s="103">
        <v>110</v>
      </c>
      <c r="K120" s="659">
        <v>1</v>
      </c>
    </row>
    <row r="121" spans="1:11" s="94" customFormat="1" ht="12" customHeight="1">
      <c r="A121" s="95">
        <v>111</v>
      </c>
      <c r="B121" s="772" t="s">
        <v>72</v>
      </c>
      <c r="C121" s="686">
        <v>40683</v>
      </c>
      <c r="D121" s="729" t="s">
        <v>65</v>
      </c>
      <c r="E121" s="728">
        <v>33</v>
      </c>
      <c r="F121" s="728">
        <v>11</v>
      </c>
      <c r="G121" s="379">
        <v>112451.75</v>
      </c>
      <c r="H121" s="376">
        <v>13719</v>
      </c>
      <c r="I121" s="905">
        <f>+G121/H121</f>
        <v>8.196789124571762</v>
      </c>
      <c r="J121" s="103">
        <v>111</v>
      </c>
      <c r="K121" s="659">
        <v>1</v>
      </c>
    </row>
    <row r="122" spans="1:11" s="94" customFormat="1" ht="12" customHeight="1">
      <c r="A122" s="95">
        <v>112</v>
      </c>
      <c r="B122" s="772" t="s">
        <v>64</v>
      </c>
      <c r="C122" s="686">
        <v>40676</v>
      </c>
      <c r="D122" s="729" t="s">
        <v>65</v>
      </c>
      <c r="E122" s="728">
        <v>15</v>
      </c>
      <c r="F122" s="728">
        <v>12</v>
      </c>
      <c r="G122" s="379">
        <v>106549.25</v>
      </c>
      <c r="H122" s="376">
        <v>9709</v>
      </c>
      <c r="I122" s="361">
        <f>G122/H122</f>
        <v>10.974276444535997</v>
      </c>
      <c r="J122" s="93">
        <v>112</v>
      </c>
      <c r="K122" s="659">
        <v>1</v>
      </c>
    </row>
    <row r="123" spans="1:11" s="94" customFormat="1" ht="12" customHeight="1">
      <c r="A123" s="95">
        <v>113</v>
      </c>
      <c r="B123" s="310" t="s">
        <v>371</v>
      </c>
      <c r="C123" s="470">
        <v>40704</v>
      </c>
      <c r="D123" s="736" t="s">
        <v>29</v>
      </c>
      <c r="E123" s="31">
        <v>25</v>
      </c>
      <c r="F123" s="31">
        <v>8</v>
      </c>
      <c r="G123" s="960">
        <f>43219+22056.5+14006+11048+8484+3910+2043+1766</f>
        <v>106532.5</v>
      </c>
      <c r="H123" s="697">
        <f>5354+2999+1948+1502+1234+633+338+284</f>
        <v>14292</v>
      </c>
      <c r="I123" s="905">
        <f>+G123/H123</f>
        <v>7.4539952420934785</v>
      </c>
      <c r="J123" s="103">
        <v>113</v>
      </c>
      <c r="K123" s="659">
        <v>1</v>
      </c>
    </row>
    <row r="124" spans="1:11" s="94" customFormat="1" ht="12" customHeight="1">
      <c r="A124" s="95">
        <v>114</v>
      </c>
      <c r="B124" s="191" t="s">
        <v>202</v>
      </c>
      <c r="C124" s="470">
        <v>40557</v>
      </c>
      <c r="D124" s="474" t="s">
        <v>65</v>
      </c>
      <c r="E124" s="192">
        <v>7</v>
      </c>
      <c r="F124" s="192">
        <v>13</v>
      </c>
      <c r="G124" s="193">
        <v>106233</v>
      </c>
      <c r="H124" s="194">
        <v>8418</v>
      </c>
      <c r="I124" s="383">
        <f>G124/H124</f>
        <v>12.619743406985032</v>
      </c>
      <c r="J124" s="93">
        <v>114</v>
      </c>
      <c r="K124" s="659">
        <v>1</v>
      </c>
    </row>
    <row r="125" spans="1:11" s="94" customFormat="1" ht="12" customHeight="1">
      <c r="A125" s="95">
        <v>115</v>
      </c>
      <c r="B125" s="773" t="s">
        <v>130</v>
      </c>
      <c r="C125" s="117">
        <v>40627</v>
      </c>
      <c r="D125" s="713" t="s">
        <v>32</v>
      </c>
      <c r="E125" s="719">
        <v>28</v>
      </c>
      <c r="F125" s="719">
        <v>16</v>
      </c>
      <c r="G125" s="17">
        <f>43236.5+18123.5+2183+2517+14418.5+7091+2412+1549+490+210+952+2955+475+189+1225.5+4251.5</f>
        <v>102278.5</v>
      </c>
      <c r="H125" s="18">
        <f>4478+2475+287+545+1573+1026+361+242+70+30+145+654+78+27+178+568</f>
        <v>12737</v>
      </c>
      <c r="I125" s="105">
        <f>G125/H125</f>
        <v>8.03003061945513</v>
      </c>
      <c r="J125" s="103">
        <v>115</v>
      </c>
      <c r="K125" s="659"/>
    </row>
    <row r="126" spans="1:11" s="94" customFormat="1" ht="12" customHeight="1">
      <c r="A126" s="95">
        <v>116</v>
      </c>
      <c r="B126" s="756" t="s">
        <v>74</v>
      </c>
      <c r="C126" s="117">
        <v>40683</v>
      </c>
      <c r="D126" s="727" t="s">
        <v>75</v>
      </c>
      <c r="E126" s="727">
        <v>10</v>
      </c>
      <c r="F126" s="854">
        <v>11</v>
      </c>
      <c r="G126" s="864">
        <v>101497</v>
      </c>
      <c r="H126" s="865">
        <v>12310</v>
      </c>
      <c r="I126" s="361">
        <f>G126/H126</f>
        <v>8.245085296506906</v>
      </c>
      <c r="J126" s="103">
        <v>116</v>
      </c>
      <c r="K126" s="659"/>
    </row>
    <row r="127" spans="1:11" s="94" customFormat="1" ht="12" customHeight="1">
      <c r="A127" s="95">
        <v>117</v>
      </c>
      <c r="B127" s="454" t="s">
        <v>203</v>
      </c>
      <c r="C127" s="2">
        <v>40543</v>
      </c>
      <c r="D127" s="556" t="s">
        <v>21</v>
      </c>
      <c r="E127" s="3">
        <v>20</v>
      </c>
      <c r="F127" s="3">
        <v>14</v>
      </c>
      <c r="G127" s="52">
        <f>66843.5+17122+2473.5+3354+459+3105+2586+96+1107+715+177+672.5+455+1188</f>
        <v>100353.5</v>
      </c>
      <c r="H127" s="49">
        <f>6779+1684+271+528+66+413+401+16+171+108+29+104+65+238</f>
        <v>10873</v>
      </c>
      <c r="I127" s="102">
        <f>+G127/H127</f>
        <v>9.229605444679482</v>
      </c>
      <c r="J127" s="93">
        <v>117</v>
      </c>
      <c r="K127" s="659"/>
    </row>
    <row r="128" spans="1:11" s="94" customFormat="1" ht="12" customHeight="1">
      <c r="A128" s="95">
        <v>118</v>
      </c>
      <c r="B128" s="773" t="s">
        <v>388</v>
      </c>
      <c r="C128" s="686">
        <v>40739</v>
      </c>
      <c r="D128" s="713" t="s">
        <v>32</v>
      </c>
      <c r="E128" s="719">
        <v>156</v>
      </c>
      <c r="F128" s="719">
        <v>3</v>
      </c>
      <c r="G128" s="961">
        <f>42541+25929.5+29063</f>
        <v>97533.5</v>
      </c>
      <c r="H128" s="962">
        <f>3864+2719+2642</f>
        <v>9225</v>
      </c>
      <c r="I128" s="905">
        <f>+G128/H128</f>
        <v>10.572737127371274</v>
      </c>
      <c r="J128" s="103">
        <v>118</v>
      </c>
      <c r="K128" s="659">
        <v>1</v>
      </c>
    </row>
    <row r="129" spans="1:11" s="94" customFormat="1" ht="12" customHeight="1">
      <c r="A129" s="95">
        <v>119</v>
      </c>
      <c r="B129" s="770" t="s">
        <v>188</v>
      </c>
      <c r="C129" s="564">
        <v>40571</v>
      </c>
      <c r="D129" s="713" t="s">
        <v>141</v>
      </c>
      <c r="E129" s="727">
        <v>20</v>
      </c>
      <c r="F129" s="31">
        <v>11</v>
      </c>
      <c r="G129" s="857">
        <v>94854</v>
      </c>
      <c r="H129" s="858">
        <v>7697</v>
      </c>
      <c r="I129" s="905">
        <f>+G129/H129</f>
        <v>12.323502663375342</v>
      </c>
      <c r="J129" s="93">
        <v>119</v>
      </c>
      <c r="K129" s="659">
        <v>1</v>
      </c>
    </row>
    <row r="130" spans="1:11" s="94" customFormat="1" ht="12" customHeight="1">
      <c r="A130" s="95">
        <v>120</v>
      </c>
      <c r="B130" s="310" t="s">
        <v>373</v>
      </c>
      <c r="C130" s="117">
        <v>40655</v>
      </c>
      <c r="D130" s="118" t="s">
        <v>82</v>
      </c>
      <c r="E130" s="5">
        <v>10</v>
      </c>
      <c r="F130" s="5">
        <v>9</v>
      </c>
      <c r="G130" s="15">
        <v>93373.5</v>
      </c>
      <c r="H130" s="16">
        <v>8637</v>
      </c>
      <c r="I130" s="102">
        <f>+G130/H130</f>
        <v>10.8108718304967</v>
      </c>
      <c r="J130" s="103">
        <v>120</v>
      </c>
      <c r="K130" s="659">
        <v>1</v>
      </c>
    </row>
    <row r="131" spans="1:11" s="94" customFormat="1" ht="12" customHeight="1">
      <c r="A131" s="95">
        <v>121</v>
      </c>
      <c r="B131" s="236" t="s">
        <v>362</v>
      </c>
      <c r="C131" s="470">
        <v>40732</v>
      </c>
      <c r="D131" s="729" t="s">
        <v>65</v>
      </c>
      <c r="E131" s="728">
        <v>15</v>
      </c>
      <c r="F131" s="728">
        <v>4</v>
      </c>
      <c r="G131" s="379">
        <v>92986.5</v>
      </c>
      <c r="H131" s="376">
        <v>10213</v>
      </c>
      <c r="I131" s="361">
        <f>G131/H131</f>
        <v>9.104719475178694</v>
      </c>
      <c r="J131" s="103">
        <v>121</v>
      </c>
      <c r="K131" s="659">
        <v>1</v>
      </c>
    </row>
    <row r="132" spans="1:11" s="94" customFormat="1" ht="12" customHeight="1">
      <c r="A132" s="95">
        <v>122</v>
      </c>
      <c r="B132" s="782" t="s">
        <v>205</v>
      </c>
      <c r="C132" s="689">
        <v>40620</v>
      </c>
      <c r="D132" s="118" t="s">
        <v>141</v>
      </c>
      <c r="E132" s="33">
        <v>15</v>
      </c>
      <c r="F132" s="33">
        <v>10</v>
      </c>
      <c r="G132" s="442">
        <v>92635</v>
      </c>
      <c r="H132" s="443">
        <v>7488</v>
      </c>
      <c r="I132" s="105">
        <f>G132/H132</f>
        <v>12.371127136752136</v>
      </c>
      <c r="J132" s="93">
        <v>122</v>
      </c>
      <c r="K132" s="659">
        <v>1</v>
      </c>
    </row>
    <row r="133" spans="1:11" s="94" customFormat="1" ht="12" customHeight="1">
      <c r="A133" s="95">
        <v>123</v>
      </c>
      <c r="B133" s="771" t="s">
        <v>239</v>
      </c>
      <c r="C133" s="470">
        <v>40711</v>
      </c>
      <c r="D133" s="713" t="s">
        <v>32</v>
      </c>
      <c r="E133" s="719">
        <v>35</v>
      </c>
      <c r="F133" s="719">
        <v>7</v>
      </c>
      <c r="G133" s="961">
        <f>42716+18359+6954+4671+7219+4213.5+7453.5</f>
        <v>91586</v>
      </c>
      <c r="H133" s="962">
        <f>3820+1772+995+686+1245+656+919</f>
        <v>10093</v>
      </c>
      <c r="I133" s="905">
        <f>+G133/H133</f>
        <v>9.074209848409788</v>
      </c>
      <c r="J133" s="103">
        <v>123</v>
      </c>
      <c r="K133" s="659">
        <v>1</v>
      </c>
    </row>
    <row r="134" spans="1:11" s="94" customFormat="1" ht="12" customHeight="1">
      <c r="A134" s="95">
        <v>124</v>
      </c>
      <c r="B134" s="775" t="s">
        <v>204</v>
      </c>
      <c r="C134" s="206">
        <v>40564</v>
      </c>
      <c r="D134" s="118" t="s">
        <v>32</v>
      </c>
      <c r="E134" s="207">
        <v>13</v>
      </c>
      <c r="F134" s="207">
        <v>10</v>
      </c>
      <c r="G134" s="17">
        <f>64028+21223+629+205+489+141+1188+2376+335+485</f>
        <v>91099</v>
      </c>
      <c r="H134" s="18">
        <f>5321+1577+38+24+63+17+297+594+36+47</f>
        <v>8014</v>
      </c>
      <c r="I134" s="105">
        <f>G134/H134</f>
        <v>11.36748190666334</v>
      </c>
      <c r="J134" s="93">
        <v>124</v>
      </c>
      <c r="K134" s="659">
        <v>1</v>
      </c>
    </row>
    <row r="135" spans="1:11" s="94" customFormat="1" ht="12" customHeight="1">
      <c r="A135" s="95">
        <v>125</v>
      </c>
      <c r="B135" s="547" t="s">
        <v>396</v>
      </c>
      <c r="C135" s="686">
        <v>40690</v>
      </c>
      <c r="D135" s="729" t="s">
        <v>65</v>
      </c>
      <c r="E135" s="728">
        <v>17</v>
      </c>
      <c r="F135" s="728">
        <v>10</v>
      </c>
      <c r="G135" s="379">
        <v>84239.5</v>
      </c>
      <c r="H135" s="376">
        <v>10402</v>
      </c>
      <c r="I135" s="905">
        <f>+G135/H135</f>
        <v>8.098394539511633</v>
      </c>
      <c r="J135" s="103">
        <v>125</v>
      </c>
      <c r="K135" s="659">
        <v>1</v>
      </c>
    </row>
    <row r="136" spans="1:11" s="94" customFormat="1" ht="12" customHeight="1">
      <c r="A136" s="95">
        <v>126</v>
      </c>
      <c r="B136" s="236" t="s">
        <v>240</v>
      </c>
      <c r="C136" s="470">
        <v>40711</v>
      </c>
      <c r="D136" s="729" t="s">
        <v>65</v>
      </c>
      <c r="E136" s="728">
        <v>10</v>
      </c>
      <c r="F136" s="728">
        <v>7</v>
      </c>
      <c r="G136" s="379">
        <v>83689</v>
      </c>
      <c r="H136" s="376">
        <v>8797</v>
      </c>
      <c r="I136" s="361">
        <f>G136/H136</f>
        <v>9.513356826190746</v>
      </c>
      <c r="J136" s="103">
        <v>126</v>
      </c>
      <c r="K136" s="659">
        <v>1</v>
      </c>
    </row>
    <row r="137" spans="1:11" s="94" customFormat="1" ht="12" customHeight="1">
      <c r="A137" s="95">
        <v>127</v>
      </c>
      <c r="B137" s="310" t="s">
        <v>375</v>
      </c>
      <c r="C137" s="117">
        <v>40690</v>
      </c>
      <c r="D137" s="713" t="s">
        <v>32</v>
      </c>
      <c r="E137" s="719">
        <v>11</v>
      </c>
      <c r="F137" s="719">
        <v>10</v>
      </c>
      <c r="G137" s="961">
        <f>21135+10001+7203+6368+7720+4884+7428.5+4294.5+2616+4268</f>
        <v>75918</v>
      </c>
      <c r="H137" s="962">
        <f>2229+1334+989+996+1479+737+886+576+402+612</f>
        <v>10240</v>
      </c>
      <c r="I137" s="361">
        <f>G137/H137</f>
        <v>7.4138671875</v>
      </c>
      <c r="J137" s="93">
        <v>127</v>
      </c>
      <c r="K137" s="659">
        <v>1</v>
      </c>
    </row>
    <row r="138" spans="1:11" s="94" customFormat="1" ht="12" customHeight="1">
      <c r="A138" s="95">
        <v>128</v>
      </c>
      <c r="B138" s="772" t="s">
        <v>73</v>
      </c>
      <c r="C138" s="684">
        <v>40683</v>
      </c>
      <c r="D138" s="729" t="s">
        <v>65</v>
      </c>
      <c r="E138" s="728">
        <v>15</v>
      </c>
      <c r="F138" s="728">
        <v>11</v>
      </c>
      <c r="G138" s="379">
        <v>75815.25</v>
      </c>
      <c r="H138" s="376">
        <v>7000</v>
      </c>
      <c r="I138" s="905">
        <f>+G138/H138</f>
        <v>10.83075</v>
      </c>
      <c r="J138" s="103">
        <v>128</v>
      </c>
      <c r="K138" s="659">
        <v>1</v>
      </c>
    </row>
    <row r="139" spans="1:11" s="94" customFormat="1" ht="12" customHeight="1">
      <c r="A139" s="95">
        <v>129</v>
      </c>
      <c r="B139" s="770" t="s">
        <v>398</v>
      </c>
      <c r="C139" s="684">
        <v>40746</v>
      </c>
      <c r="D139" s="713" t="s">
        <v>21</v>
      </c>
      <c r="E139" s="22">
        <v>23</v>
      </c>
      <c r="F139" s="22">
        <v>2</v>
      </c>
      <c r="G139" s="861">
        <f>47685+27229.5</f>
        <v>74914.5</v>
      </c>
      <c r="H139" s="697">
        <f>4321+2419</f>
        <v>6740</v>
      </c>
      <c r="I139" s="361">
        <f>G139/H139</f>
        <v>11.114910979228487</v>
      </c>
      <c r="J139" s="93">
        <v>129</v>
      </c>
      <c r="K139" s="659"/>
    </row>
    <row r="140" spans="1:11" s="94" customFormat="1" ht="12" customHeight="1">
      <c r="A140" s="95">
        <v>130</v>
      </c>
      <c r="B140" s="672" t="s">
        <v>77</v>
      </c>
      <c r="C140" s="564">
        <v>40655</v>
      </c>
      <c r="D140" s="118" t="s">
        <v>78</v>
      </c>
      <c r="E140" s="33">
        <v>5</v>
      </c>
      <c r="F140" s="33">
        <v>14</v>
      </c>
      <c r="G140" s="394">
        <v>74008</v>
      </c>
      <c r="H140" s="395">
        <v>11689</v>
      </c>
      <c r="I140" s="102">
        <f>+G140/H140</f>
        <v>6.331422705107366</v>
      </c>
      <c r="J140" s="103">
        <v>130</v>
      </c>
      <c r="K140" s="659"/>
    </row>
    <row r="141" spans="1:11" s="94" customFormat="1" ht="12" customHeight="1">
      <c r="A141" s="95">
        <v>131</v>
      </c>
      <c r="B141" s="201" t="s">
        <v>206</v>
      </c>
      <c r="C141" s="32">
        <v>40543</v>
      </c>
      <c r="D141" s="30" t="s">
        <v>47</v>
      </c>
      <c r="E141" s="33">
        <v>37</v>
      </c>
      <c r="F141" s="33">
        <v>11</v>
      </c>
      <c r="G141" s="48">
        <v>70550.5</v>
      </c>
      <c r="H141" s="49">
        <v>10066</v>
      </c>
      <c r="I141" s="330">
        <f>G141/H141</f>
        <v>7.008791972978343</v>
      </c>
      <c r="J141" s="103">
        <v>131</v>
      </c>
      <c r="K141" s="659"/>
    </row>
    <row r="142" spans="1:11" s="94" customFormat="1" ht="12" customHeight="1">
      <c r="A142" s="95">
        <v>132</v>
      </c>
      <c r="B142" s="770" t="s">
        <v>389</v>
      </c>
      <c r="C142" s="684">
        <v>40739</v>
      </c>
      <c r="D142" s="713" t="s">
        <v>65</v>
      </c>
      <c r="E142" s="727">
        <v>15</v>
      </c>
      <c r="F142" s="728">
        <v>3</v>
      </c>
      <c r="G142" s="379">
        <v>69680.5</v>
      </c>
      <c r="H142" s="376">
        <v>6698</v>
      </c>
      <c r="I142" s="905">
        <f>+G142/H142</f>
        <v>10.403180053747388</v>
      </c>
      <c r="J142" s="93">
        <v>132</v>
      </c>
      <c r="K142" s="659"/>
    </row>
    <row r="143" spans="1:11" s="94" customFormat="1" ht="12" customHeight="1">
      <c r="A143" s="95">
        <v>133</v>
      </c>
      <c r="B143" s="783" t="s">
        <v>207</v>
      </c>
      <c r="C143" s="690">
        <v>40543</v>
      </c>
      <c r="D143" s="663" t="s">
        <v>65</v>
      </c>
      <c r="E143" s="237">
        <v>2</v>
      </c>
      <c r="F143" s="235">
        <v>13</v>
      </c>
      <c r="G143" s="398">
        <v>69613.5</v>
      </c>
      <c r="H143" s="395">
        <v>5640</v>
      </c>
      <c r="I143" s="105">
        <f>G143/H143</f>
        <v>12.34281914893617</v>
      </c>
      <c r="J143" s="103">
        <v>133</v>
      </c>
      <c r="K143" s="659">
        <v>1</v>
      </c>
    </row>
    <row r="144" spans="1:11" s="94" customFormat="1" ht="12" customHeight="1">
      <c r="A144" s="95">
        <v>134</v>
      </c>
      <c r="B144" s="771" t="s">
        <v>131</v>
      </c>
      <c r="C144" s="206">
        <v>40606</v>
      </c>
      <c r="D144" s="713" t="s">
        <v>32</v>
      </c>
      <c r="E144" s="719">
        <v>6</v>
      </c>
      <c r="F144" s="719">
        <v>18</v>
      </c>
      <c r="G144" s="961">
        <f>23509.5+4775.5+1638+419+8818.5+506+3133+2970+2646+2538+107+2062+2879.5+1195+1956+1584+3301+2206</f>
        <v>66244</v>
      </c>
      <c r="H144" s="962">
        <f>1642+339+312+83+823+52+341+742+437+351+14+315+704+136+274+191+392+306</f>
        <v>7454</v>
      </c>
      <c r="I144" s="361">
        <f>+G144/H144</f>
        <v>8.887040515159645</v>
      </c>
      <c r="J144" s="93">
        <v>134</v>
      </c>
      <c r="K144" s="659"/>
    </row>
    <row r="145" spans="1:11" s="94" customFormat="1" ht="12" customHeight="1">
      <c r="A145" s="95">
        <v>135</v>
      </c>
      <c r="B145" s="773" t="s">
        <v>399</v>
      </c>
      <c r="C145" s="686">
        <v>40746</v>
      </c>
      <c r="D145" s="713" t="s">
        <v>32</v>
      </c>
      <c r="E145" s="719">
        <v>8</v>
      </c>
      <c r="F145" s="719">
        <v>2</v>
      </c>
      <c r="G145" s="961">
        <f>34995.5+29767</f>
        <v>64762.5</v>
      </c>
      <c r="H145" s="962">
        <f>2476+2114</f>
        <v>4590</v>
      </c>
      <c r="I145" s="904">
        <f>+G145/H145</f>
        <v>14.109477124183007</v>
      </c>
      <c r="J145" s="103">
        <v>135</v>
      </c>
      <c r="K145" s="659">
        <v>1</v>
      </c>
    </row>
    <row r="146" spans="1:11" s="94" customFormat="1" ht="12" customHeight="1">
      <c r="A146" s="95">
        <v>136</v>
      </c>
      <c r="B146" s="770" t="s">
        <v>226</v>
      </c>
      <c r="C146" s="117">
        <v>40697</v>
      </c>
      <c r="D146" s="713" t="s">
        <v>47</v>
      </c>
      <c r="E146" s="22">
        <v>49</v>
      </c>
      <c r="F146" s="22">
        <v>7</v>
      </c>
      <c r="G146" s="696">
        <v>63967</v>
      </c>
      <c r="H146" s="697">
        <v>8542</v>
      </c>
      <c r="I146" s="905">
        <f>+G146/H146</f>
        <v>7.488527276984313</v>
      </c>
      <c r="J146" s="103">
        <v>136</v>
      </c>
      <c r="K146" s="659"/>
    </row>
    <row r="147" spans="1:11" s="94" customFormat="1" ht="12" customHeight="1">
      <c r="A147" s="95">
        <v>137</v>
      </c>
      <c r="B147" s="773" t="s">
        <v>76</v>
      </c>
      <c r="C147" s="117">
        <v>40683</v>
      </c>
      <c r="D147" s="713" t="s">
        <v>32</v>
      </c>
      <c r="E147" s="719">
        <v>6</v>
      </c>
      <c r="F147" s="719">
        <v>11</v>
      </c>
      <c r="G147" s="961">
        <f>16905.5+10044+3710+2342+9911.5+7248+6024+1678+1960+374+2139</f>
        <v>62336</v>
      </c>
      <c r="H147" s="965">
        <f>1241+811+837+224+905+1125+738+283+277+57+267</f>
        <v>6765</v>
      </c>
      <c r="I147" s="361">
        <f>G147/H147</f>
        <v>9.214486326681449</v>
      </c>
      <c r="J147" s="93">
        <v>137</v>
      </c>
      <c r="K147" s="659"/>
    </row>
    <row r="148" spans="1:11" s="94" customFormat="1" ht="12" customHeight="1">
      <c r="A148" s="95">
        <v>138</v>
      </c>
      <c r="B148" s="310" t="s">
        <v>48</v>
      </c>
      <c r="C148" s="117">
        <v>40655</v>
      </c>
      <c r="D148" s="118" t="s">
        <v>47</v>
      </c>
      <c r="E148" s="3">
        <v>26</v>
      </c>
      <c r="F148" s="643">
        <v>8</v>
      </c>
      <c r="G148" s="48">
        <v>60604</v>
      </c>
      <c r="H148" s="49">
        <v>9497</v>
      </c>
      <c r="I148" s="105">
        <f>G148/H148</f>
        <v>6.381383594819416</v>
      </c>
      <c r="J148" s="103">
        <v>138</v>
      </c>
      <c r="K148" s="659"/>
    </row>
    <row r="149" spans="1:11" s="94" customFormat="1" ht="12" customHeight="1">
      <c r="A149" s="95">
        <v>139</v>
      </c>
      <c r="B149" s="785" t="s">
        <v>208</v>
      </c>
      <c r="C149" s="465">
        <v>40585</v>
      </c>
      <c r="D149" s="692" t="s">
        <v>23</v>
      </c>
      <c r="E149" s="970">
        <v>13</v>
      </c>
      <c r="F149" s="970">
        <v>2</v>
      </c>
      <c r="G149" s="971">
        <v>60408</v>
      </c>
      <c r="H149" s="972">
        <v>4591</v>
      </c>
      <c r="I149" s="301">
        <v>13.157917664996733</v>
      </c>
      <c r="J149" s="93">
        <v>139</v>
      </c>
      <c r="K149" s="659"/>
    </row>
    <row r="150" spans="1:11" s="94" customFormat="1" ht="12" customHeight="1">
      <c r="A150" s="95">
        <v>140</v>
      </c>
      <c r="B150" s="773" t="s">
        <v>265</v>
      </c>
      <c r="C150" s="117">
        <v>40725</v>
      </c>
      <c r="D150" s="713" t="s">
        <v>32</v>
      </c>
      <c r="E150" s="744">
        <v>6</v>
      </c>
      <c r="F150" s="744">
        <v>5</v>
      </c>
      <c r="G150" s="964">
        <f>16465+9500+5645+13030+10398</f>
        <v>55038</v>
      </c>
      <c r="H150" s="965">
        <f>1904+1204+844+1431+1183</f>
        <v>6566</v>
      </c>
      <c r="I150" s="905">
        <f>+G150/H150</f>
        <v>8.382272311909839</v>
      </c>
      <c r="J150" s="103">
        <v>140</v>
      </c>
      <c r="K150" s="659">
        <v>1</v>
      </c>
    </row>
    <row r="151" spans="1:11" s="94" customFormat="1" ht="12" customHeight="1">
      <c r="A151" s="95">
        <v>141</v>
      </c>
      <c r="B151" s="772" t="s">
        <v>59</v>
      </c>
      <c r="C151" s="686">
        <v>40669</v>
      </c>
      <c r="D151" s="729" t="s">
        <v>65</v>
      </c>
      <c r="E151" s="728">
        <v>10</v>
      </c>
      <c r="F151" s="728">
        <v>10</v>
      </c>
      <c r="G151" s="859">
        <v>51151.25</v>
      </c>
      <c r="H151" s="860">
        <v>4395</v>
      </c>
      <c r="I151" s="361">
        <f>G151/H151</f>
        <v>11.638509670079635</v>
      </c>
      <c r="J151" s="103">
        <v>141</v>
      </c>
      <c r="K151" s="659">
        <v>1</v>
      </c>
    </row>
    <row r="152" spans="1:11" s="94" customFormat="1" ht="12" customHeight="1">
      <c r="A152" s="95">
        <v>142</v>
      </c>
      <c r="B152" s="772" t="s">
        <v>212</v>
      </c>
      <c r="C152" s="686">
        <v>40662</v>
      </c>
      <c r="D152" s="729" t="s">
        <v>32</v>
      </c>
      <c r="E152" s="742">
        <v>10</v>
      </c>
      <c r="F152" s="719">
        <v>13</v>
      </c>
      <c r="G152" s="961">
        <f>12741+4425+5437.5+2837.5+1398+7610.5+2745+1373+5773+1526+509+395+2116</f>
        <v>48886.5</v>
      </c>
      <c r="H152" s="962">
        <f>1277+498+629+407+231+902+351+177+635+249+80+61+242</f>
        <v>5739</v>
      </c>
      <c r="I152" s="361">
        <f>G152/H152</f>
        <v>8.51829587036069</v>
      </c>
      <c r="J152" s="93">
        <v>142</v>
      </c>
      <c r="K152" s="659"/>
    </row>
    <row r="153" spans="1:11" s="94" customFormat="1" ht="12" customHeight="1">
      <c r="A153" s="95">
        <v>143</v>
      </c>
      <c r="B153" s="771" t="s">
        <v>67</v>
      </c>
      <c r="C153" s="206">
        <v>40676</v>
      </c>
      <c r="D153" s="713" t="s">
        <v>32</v>
      </c>
      <c r="E153" s="719">
        <v>10</v>
      </c>
      <c r="F153" s="719">
        <v>12</v>
      </c>
      <c r="G153" s="961">
        <f>19776.5+5289.5+3941.5+4149+6030.5+491+2263+886+669+235+576+182</f>
        <v>44489</v>
      </c>
      <c r="H153" s="962">
        <f>2214+710+772+646+1024+103+434+139+105+46+100+16</f>
        <v>6309</v>
      </c>
      <c r="I153" s="361">
        <f>+G153/H153</f>
        <v>7.051672214297036</v>
      </c>
      <c r="J153" s="103">
        <v>143</v>
      </c>
      <c r="K153" s="659"/>
    </row>
    <row r="154" spans="1:11" s="94" customFormat="1" ht="12" customHeight="1">
      <c r="A154" s="95">
        <v>144</v>
      </c>
      <c r="B154" s="774" t="s">
        <v>209</v>
      </c>
      <c r="C154" s="677">
        <v>40634</v>
      </c>
      <c r="D154" s="676" t="s">
        <v>210</v>
      </c>
      <c r="E154" s="678">
        <v>10</v>
      </c>
      <c r="F154" s="678">
        <v>5</v>
      </c>
      <c r="G154" s="323">
        <v>42084</v>
      </c>
      <c r="H154" s="324">
        <v>6690</v>
      </c>
      <c r="I154" s="301">
        <f>+G154/H154</f>
        <v>6.290582959641256</v>
      </c>
      <c r="J154" s="93">
        <v>144</v>
      </c>
      <c r="K154" s="659">
        <v>1</v>
      </c>
    </row>
    <row r="155" spans="1:11" s="94" customFormat="1" ht="12" customHeight="1">
      <c r="A155" s="95">
        <v>145</v>
      </c>
      <c r="B155" s="555" t="s">
        <v>30</v>
      </c>
      <c r="C155" s="505">
        <v>40634</v>
      </c>
      <c r="D155" s="556" t="s">
        <v>32</v>
      </c>
      <c r="E155" s="207">
        <v>15</v>
      </c>
      <c r="F155" s="207">
        <v>12</v>
      </c>
      <c r="G155" s="17">
        <f>24857+8396+642+3588+1398.5+758+731+306+150+623+266</f>
        <v>41715.5</v>
      </c>
      <c r="H155" s="18">
        <f>1900+772+80+693+212+86+92+46+22+124+39</f>
        <v>4066</v>
      </c>
      <c r="I155" s="102">
        <f>+G155/H155</f>
        <v>10.259591736350222</v>
      </c>
      <c r="J155" s="103">
        <v>145</v>
      </c>
      <c r="K155" s="659"/>
    </row>
    <row r="156" spans="1:11" s="94" customFormat="1" ht="12" customHeight="1">
      <c r="A156" s="95">
        <v>146</v>
      </c>
      <c r="B156" s="784" t="s">
        <v>410</v>
      </c>
      <c r="C156" s="206">
        <v>40753</v>
      </c>
      <c r="D156" s="713" t="s">
        <v>32</v>
      </c>
      <c r="E156" s="719">
        <v>13</v>
      </c>
      <c r="F156" s="719">
        <v>1</v>
      </c>
      <c r="G156" s="961">
        <f>37355</f>
        <v>37355</v>
      </c>
      <c r="H156" s="962">
        <f>3112</f>
        <v>3112</v>
      </c>
      <c r="I156" s="905">
        <f>+G156/H156</f>
        <v>12.00353470437018</v>
      </c>
      <c r="J156" s="103">
        <v>146</v>
      </c>
      <c r="K156" s="659"/>
    </row>
    <row r="157" spans="1:11" s="94" customFormat="1" ht="12" customHeight="1">
      <c r="A157" s="95">
        <v>147</v>
      </c>
      <c r="B157" s="771" t="s">
        <v>236</v>
      </c>
      <c r="C157" s="470">
        <v>40704</v>
      </c>
      <c r="D157" s="713" t="s">
        <v>32</v>
      </c>
      <c r="E157" s="719">
        <v>5</v>
      </c>
      <c r="F157" s="719">
        <v>8</v>
      </c>
      <c r="G157" s="961">
        <f>20401.5+5027+2422+1135.5+4917+1138.5+597+1238.5</f>
        <v>36877</v>
      </c>
      <c r="H157" s="962">
        <f>1380+485+214+81+460+135+75+159</f>
        <v>2989</v>
      </c>
      <c r="I157" s="361">
        <f>+G157/H157</f>
        <v>12.337571094011375</v>
      </c>
      <c r="J157" s="93">
        <v>147</v>
      </c>
      <c r="K157" s="659"/>
    </row>
    <row r="158" spans="1:11" s="94" customFormat="1" ht="12" customHeight="1">
      <c r="A158" s="95">
        <v>148</v>
      </c>
      <c r="B158" s="770" t="s">
        <v>253</v>
      </c>
      <c r="C158" s="117">
        <v>40718</v>
      </c>
      <c r="D158" s="713" t="s">
        <v>141</v>
      </c>
      <c r="E158" s="31">
        <v>4</v>
      </c>
      <c r="F158" s="31">
        <v>6</v>
      </c>
      <c r="G158" s="857">
        <v>35355</v>
      </c>
      <c r="H158" s="858">
        <v>3041</v>
      </c>
      <c r="I158" s="361">
        <f>G158/H158</f>
        <v>11.62610983229201</v>
      </c>
      <c r="J158" s="103">
        <v>148</v>
      </c>
      <c r="K158" s="659"/>
    </row>
    <row r="159" spans="1:11" s="94" customFormat="1" ht="12" customHeight="1">
      <c r="A159" s="95">
        <v>149</v>
      </c>
      <c r="B159" s="770" t="s">
        <v>60</v>
      </c>
      <c r="C159" s="117">
        <v>40669</v>
      </c>
      <c r="D159" s="713" t="s">
        <v>21</v>
      </c>
      <c r="E159" s="22">
        <v>9</v>
      </c>
      <c r="F159" s="22">
        <v>13</v>
      </c>
      <c r="G159" s="861">
        <f>10611.5+6246+3879+1660+2650+3829+1318+645+1041+24+977.5+84+1681</f>
        <v>34646</v>
      </c>
      <c r="H159" s="697">
        <f>1405+909+512+224+387+611+221+87+151+4+128+14+189</f>
        <v>4842</v>
      </c>
      <c r="I159" s="361">
        <f>G159/H159</f>
        <v>7.155307724080958</v>
      </c>
      <c r="J159" s="93">
        <v>149</v>
      </c>
      <c r="K159" s="659">
        <v>1</v>
      </c>
    </row>
    <row r="160" spans="1:11" s="94" customFormat="1" ht="12" customHeight="1">
      <c r="A160" s="95">
        <v>150</v>
      </c>
      <c r="B160" s="236" t="s">
        <v>52</v>
      </c>
      <c r="C160" s="470">
        <v>40662</v>
      </c>
      <c r="D160" s="729" t="s">
        <v>65</v>
      </c>
      <c r="E160" s="728">
        <v>4</v>
      </c>
      <c r="F160" s="728">
        <v>13</v>
      </c>
      <c r="G160" s="379">
        <v>33495.75</v>
      </c>
      <c r="H160" s="376">
        <v>4155</v>
      </c>
      <c r="I160" s="905">
        <f>+G160/H160</f>
        <v>8.061552346570398</v>
      </c>
      <c r="J160" s="103">
        <v>150</v>
      </c>
      <c r="K160" s="659"/>
    </row>
    <row r="161" spans="1:11" s="94" customFormat="1" ht="12" customHeight="1">
      <c r="A161" s="95">
        <v>151</v>
      </c>
      <c r="B161" s="786" t="s">
        <v>257</v>
      </c>
      <c r="C161" s="465">
        <v>40606</v>
      </c>
      <c r="D161" s="692" t="s">
        <v>29</v>
      </c>
      <c r="E161" s="693">
        <v>30</v>
      </c>
      <c r="F161" s="693">
        <v>4</v>
      </c>
      <c r="G161" s="325">
        <v>32873.5</v>
      </c>
      <c r="H161" s="322">
        <v>5254</v>
      </c>
      <c r="I161" s="301">
        <v>6.25685192234488</v>
      </c>
      <c r="J161" s="103">
        <v>151</v>
      </c>
      <c r="K161" s="659"/>
    </row>
    <row r="162" spans="1:11" s="94" customFormat="1" ht="12" customHeight="1">
      <c r="A162" s="95">
        <v>152</v>
      </c>
      <c r="B162" s="547" t="s">
        <v>376</v>
      </c>
      <c r="C162" s="686">
        <v>40627</v>
      </c>
      <c r="D162" s="729" t="s">
        <v>65</v>
      </c>
      <c r="E162" s="728">
        <v>2</v>
      </c>
      <c r="F162" s="728">
        <v>19</v>
      </c>
      <c r="G162" s="379">
        <v>31817</v>
      </c>
      <c r="H162" s="376">
        <v>4389</v>
      </c>
      <c r="I162" s="905">
        <f>+G162/H162</f>
        <v>7.2492595124174075</v>
      </c>
      <c r="J162" s="93">
        <v>152</v>
      </c>
      <c r="K162" s="659"/>
    </row>
    <row r="163" spans="1:11" s="94" customFormat="1" ht="12" customHeight="1">
      <c r="A163" s="95">
        <v>153</v>
      </c>
      <c r="B163" s="756" t="s">
        <v>411</v>
      </c>
      <c r="C163" s="117">
        <v>40753</v>
      </c>
      <c r="D163" s="727" t="s">
        <v>75</v>
      </c>
      <c r="E163" s="727">
        <v>10</v>
      </c>
      <c r="F163" s="854">
        <v>1</v>
      </c>
      <c r="G163" s="696">
        <v>31505</v>
      </c>
      <c r="H163" s="697">
        <v>3493</v>
      </c>
      <c r="I163" s="905">
        <f>+G163/H163</f>
        <v>9.019467506441455</v>
      </c>
      <c r="J163" s="103">
        <v>153</v>
      </c>
      <c r="K163" s="659">
        <v>1</v>
      </c>
    </row>
    <row r="164" spans="1:11" s="94" customFormat="1" ht="12" customHeight="1">
      <c r="A164" s="95">
        <v>154</v>
      </c>
      <c r="B164" s="547" t="s">
        <v>377</v>
      </c>
      <c r="C164" s="117">
        <v>40725</v>
      </c>
      <c r="D164" s="729" t="s">
        <v>65</v>
      </c>
      <c r="E164" s="728">
        <v>3</v>
      </c>
      <c r="F164" s="728">
        <v>5</v>
      </c>
      <c r="G164" s="379">
        <v>30920</v>
      </c>
      <c r="H164" s="376">
        <v>3263</v>
      </c>
      <c r="I164" s="361">
        <f>G164/H164</f>
        <v>9.475942384308919</v>
      </c>
      <c r="J164" s="93">
        <v>154</v>
      </c>
      <c r="K164" s="659"/>
    </row>
    <row r="165" spans="1:11" s="94" customFormat="1" ht="12" customHeight="1">
      <c r="A165" s="95">
        <v>155</v>
      </c>
      <c r="B165" s="781">
        <v>3</v>
      </c>
      <c r="C165" s="684">
        <v>40746</v>
      </c>
      <c r="D165" s="713" t="s">
        <v>32</v>
      </c>
      <c r="E165" s="719">
        <v>5</v>
      </c>
      <c r="F165" s="719">
        <v>2</v>
      </c>
      <c r="G165" s="961">
        <f>15287.5+10909.5</f>
        <v>26197</v>
      </c>
      <c r="H165" s="962">
        <f>1370+1093</f>
        <v>2463</v>
      </c>
      <c r="I165" s="905">
        <f>+G165/H165</f>
        <v>10.636215996751929</v>
      </c>
      <c r="J165" s="103">
        <v>155</v>
      </c>
      <c r="K165" s="659"/>
    </row>
    <row r="166" spans="1:11" s="94" customFormat="1" ht="12" customHeight="1">
      <c r="A166" s="95">
        <v>156</v>
      </c>
      <c r="B166" s="201" t="s">
        <v>211</v>
      </c>
      <c r="C166" s="32">
        <v>40557</v>
      </c>
      <c r="D166" s="30" t="s">
        <v>141</v>
      </c>
      <c r="E166" s="33">
        <v>12</v>
      </c>
      <c r="F166" s="33">
        <v>7</v>
      </c>
      <c r="G166" s="604">
        <v>25081</v>
      </c>
      <c r="H166" s="605">
        <v>2782</v>
      </c>
      <c r="I166" s="304">
        <v>9.015456506110711</v>
      </c>
      <c r="J166" s="103">
        <v>156</v>
      </c>
      <c r="K166" s="659"/>
    </row>
    <row r="167" spans="1:11" s="94" customFormat="1" ht="12" customHeight="1">
      <c r="A167" s="95">
        <v>157</v>
      </c>
      <c r="B167" s="236" t="s">
        <v>228</v>
      </c>
      <c r="C167" s="470">
        <v>40697</v>
      </c>
      <c r="D167" s="729" t="s">
        <v>65</v>
      </c>
      <c r="E167" s="728">
        <v>2</v>
      </c>
      <c r="F167" s="728">
        <v>9</v>
      </c>
      <c r="G167" s="379">
        <v>24598</v>
      </c>
      <c r="H167" s="376">
        <v>2731</v>
      </c>
      <c r="I167" s="361">
        <f>+G167/H167</f>
        <v>9.006957158549982</v>
      </c>
      <c r="J167" s="93">
        <v>157</v>
      </c>
      <c r="K167" s="659"/>
    </row>
    <row r="168" spans="1:11" s="94" customFormat="1" ht="12" customHeight="1">
      <c r="A168" s="95">
        <v>158</v>
      </c>
      <c r="B168" s="310" t="s">
        <v>378</v>
      </c>
      <c r="C168" s="117">
        <v>40718</v>
      </c>
      <c r="D168" s="713" t="s">
        <v>65</v>
      </c>
      <c r="E168" s="728">
        <v>5</v>
      </c>
      <c r="F168" s="728">
        <v>6</v>
      </c>
      <c r="G168" s="379">
        <v>23933.75</v>
      </c>
      <c r="H168" s="376">
        <v>2263</v>
      </c>
      <c r="I168" s="361">
        <f>G168/H168</f>
        <v>10.576115775519222</v>
      </c>
      <c r="J168" s="103">
        <v>158</v>
      </c>
      <c r="K168" s="659">
        <v>1</v>
      </c>
    </row>
    <row r="169" spans="1:11" s="94" customFormat="1" ht="12" customHeight="1">
      <c r="A169" s="95">
        <v>159</v>
      </c>
      <c r="B169" s="770" t="s">
        <v>221</v>
      </c>
      <c r="C169" s="117">
        <v>40690</v>
      </c>
      <c r="D169" s="713" t="s">
        <v>21</v>
      </c>
      <c r="E169" s="22">
        <v>5</v>
      </c>
      <c r="F169" s="22">
        <v>10</v>
      </c>
      <c r="G169" s="861">
        <f>10523.5+2274+1975+2483+1830+1012+648.5+1263+1016+808</f>
        <v>23833</v>
      </c>
      <c r="H169" s="697">
        <f>1295+340+276+411+209+137+95+167+160+122</f>
        <v>3212</v>
      </c>
      <c r="I169" s="905">
        <f>+G169/H169</f>
        <v>7.4199875466998755</v>
      </c>
      <c r="J169" s="93">
        <v>159</v>
      </c>
      <c r="K169" s="659"/>
    </row>
    <row r="170" spans="1:11" s="94" customFormat="1" ht="12" customHeight="1">
      <c r="A170" s="95">
        <v>160</v>
      </c>
      <c r="B170" s="772" t="s">
        <v>244</v>
      </c>
      <c r="C170" s="470">
        <v>40711</v>
      </c>
      <c r="D170" s="729" t="s">
        <v>65</v>
      </c>
      <c r="E170" s="728">
        <v>4</v>
      </c>
      <c r="F170" s="728">
        <v>7</v>
      </c>
      <c r="G170" s="379">
        <v>23625.5</v>
      </c>
      <c r="H170" s="376">
        <v>2130</v>
      </c>
      <c r="I170" s="905">
        <f>+G170/H170</f>
        <v>11.091784037558686</v>
      </c>
      <c r="J170" s="103">
        <v>160</v>
      </c>
      <c r="K170" s="659"/>
    </row>
    <row r="171" spans="1:11" s="94" customFormat="1" ht="12" customHeight="1">
      <c r="A171" s="95">
        <v>161</v>
      </c>
      <c r="B171" s="555" t="s">
        <v>213</v>
      </c>
      <c r="C171" s="206">
        <v>40550</v>
      </c>
      <c r="D171" s="118" t="s">
        <v>32</v>
      </c>
      <c r="E171" s="207">
        <v>2</v>
      </c>
      <c r="F171" s="207">
        <v>11</v>
      </c>
      <c r="G171" s="17">
        <f>8356+3109+3208+1189+694+1140+96+624+1782+356.5+2856.5</f>
        <v>23411</v>
      </c>
      <c r="H171" s="18">
        <f>789+330+327+132+146+315+11+68+446+89+680</f>
        <v>3333</v>
      </c>
      <c r="I171" s="102">
        <f>+G171/H171</f>
        <v>7.024002400240024</v>
      </c>
      <c r="J171" s="103">
        <v>161</v>
      </c>
      <c r="K171" s="659"/>
    </row>
    <row r="172" spans="1:11" s="94" customFormat="1" ht="12" customHeight="1">
      <c r="A172" s="95">
        <v>162</v>
      </c>
      <c r="B172" s="771" t="s">
        <v>214</v>
      </c>
      <c r="C172" s="206">
        <v>40662</v>
      </c>
      <c r="D172" s="713" t="s">
        <v>32</v>
      </c>
      <c r="E172" s="719">
        <v>10</v>
      </c>
      <c r="F172" s="719">
        <v>10</v>
      </c>
      <c r="G172" s="961">
        <f>12563.75+2983.5+2680+354+641+412+470+299+1405.5+1335</f>
        <v>23143.75</v>
      </c>
      <c r="H172" s="965">
        <f>1693+350+279+68+81+51+66+35+228+169</f>
        <v>3020</v>
      </c>
      <c r="I172" s="361">
        <f>+G172/H172</f>
        <v>7.6634933774834435</v>
      </c>
      <c r="J172" s="93">
        <v>162</v>
      </c>
      <c r="K172" s="659"/>
    </row>
    <row r="173" spans="1:11" s="94" customFormat="1" ht="12" customHeight="1">
      <c r="A173" s="95">
        <v>163</v>
      </c>
      <c r="B173" s="770" t="s">
        <v>237</v>
      </c>
      <c r="C173" s="470">
        <v>40704</v>
      </c>
      <c r="D173" s="713" t="s">
        <v>47</v>
      </c>
      <c r="E173" s="31">
        <v>35</v>
      </c>
      <c r="F173" s="31">
        <v>7</v>
      </c>
      <c r="G173" s="696">
        <v>22094.5</v>
      </c>
      <c r="H173" s="697">
        <v>2920</v>
      </c>
      <c r="I173" s="905">
        <f>+G173/H173</f>
        <v>7.566609589041096</v>
      </c>
      <c r="J173" s="103">
        <v>163</v>
      </c>
      <c r="K173" s="659"/>
    </row>
    <row r="174" spans="1:11" s="94" customFormat="1" ht="12" customHeight="1">
      <c r="A174" s="95">
        <v>164</v>
      </c>
      <c r="B174" s="771" t="s">
        <v>229</v>
      </c>
      <c r="C174" s="206">
        <v>40697</v>
      </c>
      <c r="D174" s="713" t="s">
        <v>32</v>
      </c>
      <c r="E174" s="744">
        <v>6</v>
      </c>
      <c r="F174" s="744">
        <v>9</v>
      </c>
      <c r="G174" s="964">
        <f>7308.5+4183+1649+2054+1803+655+1433+1497+84</f>
        <v>20666.5</v>
      </c>
      <c r="H174" s="965">
        <f>676+456+178+256+234+96+216+221+14</f>
        <v>2347</v>
      </c>
      <c r="I174" s="361">
        <f>+G174/H174</f>
        <v>8.805496378355347</v>
      </c>
      <c r="J174" s="103">
        <v>164</v>
      </c>
      <c r="K174" s="659"/>
    </row>
    <row r="175" spans="1:11" s="94" customFormat="1" ht="12" customHeight="1">
      <c r="A175" s="95">
        <v>165</v>
      </c>
      <c r="B175" s="978" t="s">
        <v>390</v>
      </c>
      <c r="C175" s="684">
        <v>40739</v>
      </c>
      <c r="D175" s="723" t="s">
        <v>65</v>
      </c>
      <c r="E175" s="728">
        <v>3</v>
      </c>
      <c r="F175" s="728">
        <v>3</v>
      </c>
      <c r="G175" s="379">
        <v>20136.5</v>
      </c>
      <c r="H175" s="376">
        <v>1957</v>
      </c>
      <c r="I175" s="361">
        <f>+G175/H175</f>
        <v>10.289473684210526</v>
      </c>
      <c r="J175" s="93">
        <v>165</v>
      </c>
      <c r="K175" s="659"/>
    </row>
    <row r="176" spans="1:11" s="94" customFormat="1" ht="12" customHeight="1">
      <c r="A176" s="95">
        <v>166</v>
      </c>
      <c r="B176" s="771" t="s">
        <v>266</v>
      </c>
      <c r="C176" s="117">
        <v>40725</v>
      </c>
      <c r="D176" s="713" t="s">
        <v>32</v>
      </c>
      <c r="E176" s="719">
        <v>5</v>
      </c>
      <c r="F176" s="719">
        <v>5</v>
      </c>
      <c r="G176" s="961">
        <f>10816+3994+1279+2322+578</f>
        <v>18989</v>
      </c>
      <c r="H176" s="962">
        <f>727+361+121+270+90</f>
        <v>1569</v>
      </c>
      <c r="I176" s="361">
        <f>+G176/H176</f>
        <v>12.102613129381773</v>
      </c>
      <c r="J176" s="103">
        <v>166</v>
      </c>
      <c r="K176" s="659"/>
    </row>
    <row r="177" spans="1:11" s="94" customFormat="1" ht="12" customHeight="1">
      <c r="A177" s="95">
        <v>167</v>
      </c>
      <c r="B177" s="770" t="s">
        <v>216</v>
      </c>
      <c r="C177" s="117">
        <v>40592</v>
      </c>
      <c r="D177" s="713" t="s">
        <v>47</v>
      </c>
      <c r="E177" s="31">
        <v>6</v>
      </c>
      <c r="F177" s="31">
        <v>9</v>
      </c>
      <c r="G177" s="696">
        <v>17306</v>
      </c>
      <c r="H177" s="697">
        <v>2342</v>
      </c>
      <c r="I177" s="905">
        <f>+G177/H177</f>
        <v>7.389410760034159</v>
      </c>
      <c r="J177" s="93">
        <v>167</v>
      </c>
      <c r="K177" s="659"/>
    </row>
    <row r="178" spans="1:11" s="94" customFormat="1" ht="12" customHeight="1">
      <c r="A178" s="95">
        <v>168</v>
      </c>
      <c r="B178" s="310" t="s">
        <v>241</v>
      </c>
      <c r="C178" s="117">
        <v>40711</v>
      </c>
      <c r="D178" s="118" t="s">
        <v>21</v>
      </c>
      <c r="E178" s="3">
        <v>12</v>
      </c>
      <c r="F178" s="3">
        <v>4</v>
      </c>
      <c r="G178" s="52">
        <f>11028.25+3970.5+941+78</f>
        <v>16017.75</v>
      </c>
      <c r="H178" s="49">
        <f>879+413+152+13</f>
        <v>1457</v>
      </c>
      <c r="I178" s="105">
        <f>G178/H178</f>
        <v>10.993651338366506</v>
      </c>
      <c r="J178" s="103">
        <v>168</v>
      </c>
      <c r="K178" s="659"/>
    </row>
    <row r="179" spans="1:11" s="94" customFormat="1" ht="12" customHeight="1">
      <c r="A179" s="95">
        <v>169</v>
      </c>
      <c r="B179" s="770" t="s">
        <v>248</v>
      </c>
      <c r="C179" s="117">
        <v>40718</v>
      </c>
      <c r="D179" s="713" t="s">
        <v>21</v>
      </c>
      <c r="E179" s="22">
        <v>1</v>
      </c>
      <c r="F179" s="22">
        <v>6</v>
      </c>
      <c r="G179" s="861">
        <f>8627+3793+343+630+280+932</f>
        <v>14605</v>
      </c>
      <c r="H179" s="697">
        <f>544+238+67+126+42+81</f>
        <v>1098</v>
      </c>
      <c r="I179" s="905">
        <f>+G179/H179</f>
        <v>13.301457194899818</v>
      </c>
      <c r="J179" s="103">
        <v>169</v>
      </c>
      <c r="K179" s="659"/>
    </row>
    <row r="180" spans="1:11" s="94" customFormat="1" ht="12" customHeight="1">
      <c r="A180" s="95">
        <v>170</v>
      </c>
      <c r="B180" s="547" t="s">
        <v>215</v>
      </c>
      <c r="C180" s="666">
        <v>40564</v>
      </c>
      <c r="D180" s="665" t="s">
        <v>65</v>
      </c>
      <c r="E180" s="237">
        <v>1</v>
      </c>
      <c r="F180" s="237">
        <v>9</v>
      </c>
      <c r="G180" s="379">
        <v>14581</v>
      </c>
      <c r="H180" s="376">
        <v>1892</v>
      </c>
      <c r="I180" s="361">
        <f>G180/H180</f>
        <v>7.706659619450317</v>
      </c>
      <c r="J180" s="93">
        <v>170</v>
      </c>
      <c r="K180" s="659"/>
    </row>
    <row r="181" spans="1:11" s="94" customFormat="1" ht="12" customHeight="1">
      <c r="A181" s="95">
        <v>171</v>
      </c>
      <c r="B181" s="756" t="s">
        <v>363</v>
      </c>
      <c r="C181" s="117">
        <v>40732</v>
      </c>
      <c r="D181" s="736" t="s">
        <v>8</v>
      </c>
      <c r="E181" s="24">
        <v>1</v>
      </c>
      <c r="F181" s="24">
        <v>4</v>
      </c>
      <c r="G181" s="862">
        <v>12803</v>
      </c>
      <c r="H181" s="863">
        <v>908</v>
      </c>
      <c r="I181" s="361">
        <f>G181/H181</f>
        <v>14.10022026431718</v>
      </c>
      <c r="J181" s="103">
        <v>171</v>
      </c>
      <c r="K181" s="659"/>
    </row>
    <row r="182" spans="1:11" s="94" customFormat="1" ht="12" customHeight="1">
      <c r="A182" s="95">
        <v>172</v>
      </c>
      <c r="B182" s="785" t="s">
        <v>379</v>
      </c>
      <c r="C182" s="973">
        <v>40564</v>
      </c>
      <c r="D182" s="691" t="s">
        <v>65</v>
      </c>
      <c r="E182" s="694">
        <v>3</v>
      </c>
      <c r="F182" s="694">
        <v>5</v>
      </c>
      <c r="G182" s="327">
        <v>12546.5</v>
      </c>
      <c r="H182" s="326">
        <v>891</v>
      </c>
      <c r="I182" s="301">
        <v>14.081369248035914</v>
      </c>
      <c r="J182" s="93">
        <v>172</v>
      </c>
      <c r="K182" s="659"/>
    </row>
    <row r="183" spans="1:11" s="94" customFormat="1" ht="12" customHeight="1">
      <c r="A183" s="95">
        <v>173</v>
      </c>
      <c r="B183" s="555" t="s">
        <v>380</v>
      </c>
      <c r="C183" s="206">
        <v>40676</v>
      </c>
      <c r="D183" s="713" t="s">
        <v>32</v>
      </c>
      <c r="E183" s="719">
        <v>3</v>
      </c>
      <c r="F183" s="719">
        <v>6</v>
      </c>
      <c r="G183" s="961">
        <f>6347+909.5+628+750+577.5+2136+808</f>
        <v>12156</v>
      </c>
      <c r="H183" s="962">
        <f>404+81+65+79+78+218+117</f>
        <v>1042</v>
      </c>
      <c r="I183" s="361">
        <f>+G183/H183</f>
        <v>11.66602687140115</v>
      </c>
      <c r="J183" s="103">
        <v>173</v>
      </c>
      <c r="K183" s="659"/>
    </row>
    <row r="184" spans="1:11" s="94" customFormat="1" ht="12" customHeight="1">
      <c r="A184" s="95">
        <v>174</v>
      </c>
      <c r="B184" s="531" t="s">
        <v>381</v>
      </c>
      <c r="C184" s="206">
        <v>40606</v>
      </c>
      <c r="D184" s="118" t="s">
        <v>32</v>
      </c>
      <c r="E184" s="207">
        <v>3</v>
      </c>
      <c r="F184" s="207">
        <v>10</v>
      </c>
      <c r="G184" s="17">
        <f>3944+1062+155+222+677+559+950+399+2357.5+328+280</f>
        <v>10933.5</v>
      </c>
      <c r="H184" s="18">
        <f>424+116+24+26+92+116+142+57+222+50+33</f>
        <v>1302</v>
      </c>
      <c r="I184" s="102">
        <f>+G184/H184</f>
        <v>8.397465437788018</v>
      </c>
      <c r="J184" s="103">
        <v>174</v>
      </c>
      <c r="K184" s="659"/>
    </row>
    <row r="185" spans="1:11" s="94" customFormat="1" ht="12" customHeight="1">
      <c r="A185" s="95">
        <v>175</v>
      </c>
      <c r="B185" s="310" t="s">
        <v>80</v>
      </c>
      <c r="C185" s="117">
        <v>40655</v>
      </c>
      <c r="D185" s="118" t="s">
        <v>81</v>
      </c>
      <c r="E185" s="119">
        <v>1</v>
      </c>
      <c r="F185" s="119">
        <v>5</v>
      </c>
      <c r="G185" s="382">
        <v>10083</v>
      </c>
      <c r="H185" s="452">
        <v>1564</v>
      </c>
      <c r="I185" s="361">
        <f>G185/H185</f>
        <v>6.44693094629156</v>
      </c>
      <c r="J185" s="93">
        <v>175</v>
      </c>
      <c r="K185" s="659">
        <v>1</v>
      </c>
    </row>
    <row r="186" spans="1:11" s="94" customFormat="1" ht="12" customHeight="1">
      <c r="A186" s="95">
        <v>176</v>
      </c>
      <c r="B186" s="772" t="s">
        <v>413</v>
      </c>
      <c r="C186" s="686">
        <v>40753</v>
      </c>
      <c r="D186" s="729" t="s">
        <v>65</v>
      </c>
      <c r="E186" s="728">
        <v>3</v>
      </c>
      <c r="F186" s="728">
        <v>1</v>
      </c>
      <c r="G186" s="379">
        <v>9009.5</v>
      </c>
      <c r="H186" s="376">
        <v>660</v>
      </c>
      <c r="I186" s="905">
        <f>+G186/H186</f>
        <v>13.650757575757575</v>
      </c>
      <c r="J186" s="103">
        <v>176</v>
      </c>
      <c r="K186" s="659">
        <v>1</v>
      </c>
    </row>
    <row r="187" spans="1:11" s="94" customFormat="1" ht="12" customHeight="1">
      <c r="A187" s="95">
        <v>177</v>
      </c>
      <c r="B187" s="771" t="s">
        <v>401</v>
      </c>
      <c r="C187" s="686">
        <v>40746</v>
      </c>
      <c r="D187" s="713" t="s">
        <v>32</v>
      </c>
      <c r="E187" s="719">
        <v>1</v>
      </c>
      <c r="F187" s="719">
        <v>2</v>
      </c>
      <c r="G187" s="961">
        <f>5298+3611</f>
        <v>8909</v>
      </c>
      <c r="H187" s="962">
        <f>334+225</f>
        <v>559</v>
      </c>
      <c r="I187" s="361">
        <f>+G187/H187</f>
        <v>15.937388193202146</v>
      </c>
      <c r="J187" s="93">
        <v>177</v>
      </c>
      <c r="K187" s="659"/>
    </row>
    <row r="188" spans="1:11" s="94" customFormat="1" ht="12" customHeight="1">
      <c r="A188" s="95">
        <v>178</v>
      </c>
      <c r="B188" s="773" t="s">
        <v>412</v>
      </c>
      <c r="C188" s="117">
        <v>40753</v>
      </c>
      <c r="D188" s="713" t="s">
        <v>32</v>
      </c>
      <c r="E188" s="719">
        <v>1</v>
      </c>
      <c r="F188" s="719">
        <v>1</v>
      </c>
      <c r="G188" s="961">
        <f>8466</f>
        <v>8466</v>
      </c>
      <c r="H188" s="962">
        <f>472</f>
        <v>472</v>
      </c>
      <c r="I188" s="361">
        <f>G188/H188</f>
        <v>17.9364406779661</v>
      </c>
      <c r="J188" s="103">
        <v>178</v>
      </c>
      <c r="K188" s="659"/>
    </row>
    <row r="189" spans="1:11" s="94" customFormat="1" ht="12" customHeight="1">
      <c r="A189" s="95">
        <v>179</v>
      </c>
      <c r="B189" s="772" t="s">
        <v>400</v>
      </c>
      <c r="C189" s="686">
        <v>40746</v>
      </c>
      <c r="D189" s="729" t="s">
        <v>65</v>
      </c>
      <c r="E189" s="728">
        <v>35</v>
      </c>
      <c r="F189" s="728">
        <v>2</v>
      </c>
      <c r="G189" s="379">
        <v>8422.5</v>
      </c>
      <c r="H189" s="376">
        <v>719</v>
      </c>
      <c r="I189" s="361">
        <f>G189/H189</f>
        <v>11.714186369958275</v>
      </c>
      <c r="J189" s="103">
        <v>179</v>
      </c>
      <c r="K189" s="659"/>
    </row>
    <row r="190" spans="1:11" s="94" customFormat="1" ht="12" customHeight="1">
      <c r="A190" s="95">
        <v>180</v>
      </c>
      <c r="B190" s="475" t="s">
        <v>382</v>
      </c>
      <c r="C190" s="476">
        <v>40613</v>
      </c>
      <c r="D190" s="665" t="s">
        <v>65</v>
      </c>
      <c r="E190" s="235">
        <v>2</v>
      </c>
      <c r="F190" s="237">
        <v>6</v>
      </c>
      <c r="G190" s="398">
        <v>7213.5</v>
      </c>
      <c r="H190" s="395">
        <v>966</v>
      </c>
      <c r="I190" s="102">
        <f>+G190/H190</f>
        <v>7.467391304347826</v>
      </c>
      <c r="J190" s="93">
        <v>180</v>
      </c>
      <c r="K190" s="659"/>
    </row>
    <row r="191" spans="1:11" s="94" customFormat="1" ht="12" customHeight="1">
      <c r="A191" s="95">
        <v>181</v>
      </c>
      <c r="B191" s="771" t="s">
        <v>365</v>
      </c>
      <c r="C191" s="206">
        <v>40732</v>
      </c>
      <c r="D191" s="713" t="s">
        <v>32</v>
      </c>
      <c r="E191" s="719">
        <v>2</v>
      </c>
      <c r="F191" s="719">
        <v>4</v>
      </c>
      <c r="G191" s="961">
        <f>3347.5+953+825.5+1396</f>
        <v>6522</v>
      </c>
      <c r="H191" s="962">
        <f>237+71+61+165</f>
        <v>534</v>
      </c>
      <c r="I191" s="905">
        <f>+G191/H191</f>
        <v>12.213483146067416</v>
      </c>
      <c r="J191" s="103">
        <v>181</v>
      </c>
      <c r="K191" s="659">
        <v>1</v>
      </c>
    </row>
    <row r="192" spans="1:11" s="94" customFormat="1" ht="12" customHeight="1">
      <c r="A192" s="95">
        <v>182</v>
      </c>
      <c r="B192" s="223" t="s">
        <v>418</v>
      </c>
      <c r="C192" s="2">
        <v>40760</v>
      </c>
      <c r="D192" s="713" t="s">
        <v>10</v>
      </c>
      <c r="E192" s="31">
        <v>184</v>
      </c>
      <c r="F192" s="645">
        <v>0</v>
      </c>
      <c r="G192" s="747">
        <v>6272</v>
      </c>
      <c r="H192" s="768">
        <v>331</v>
      </c>
      <c r="I192" s="361">
        <f>+G192/H192</f>
        <v>18.948640483383684</v>
      </c>
      <c r="J192" s="93">
        <v>182</v>
      </c>
      <c r="K192" s="659">
        <v>1</v>
      </c>
    </row>
    <row r="193" spans="1:11" s="94" customFormat="1" ht="12" customHeight="1">
      <c r="A193" s="95">
        <v>183</v>
      </c>
      <c r="B193" s="771" t="s">
        <v>242</v>
      </c>
      <c r="C193" s="206">
        <v>40711</v>
      </c>
      <c r="D193" s="713" t="s">
        <v>32</v>
      </c>
      <c r="E193" s="719">
        <v>1</v>
      </c>
      <c r="F193" s="719">
        <v>6</v>
      </c>
      <c r="G193" s="961">
        <f>2079+2156+600+711+244+159</f>
        <v>5949</v>
      </c>
      <c r="H193" s="962">
        <f>143+271+75+67+107+28</f>
        <v>691</v>
      </c>
      <c r="I193" s="361">
        <f>+G193/H193</f>
        <v>8.609261939218523</v>
      </c>
      <c r="J193" s="103">
        <v>183</v>
      </c>
      <c r="K193" s="659"/>
    </row>
    <row r="194" spans="1:11" s="94" customFormat="1" ht="12" customHeight="1">
      <c r="A194" s="95">
        <v>184</v>
      </c>
      <c r="B194" s="310" t="s">
        <v>49</v>
      </c>
      <c r="C194" s="117">
        <v>40627</v>
      </c>
      <c r="D194" s="118" t="s">
        <v>21</v>
      </c>
      <c r="E194" s="3">
        <v>2</v>
      </c>
      <c r="F194" s="3">
        <v>12</v>
      </c>
      <c r="G194" s="52">
        <f>2223.5+279.5+324+90+90+114+120+14+1140+705+219+150</f>
        <v>5469</v>
      </c>
      <c r="H194" s="49">
        <f>155+19+39+15+15+20+20+2+154+141+30+25</f>
        <v>635</v>
      </c>
      <c r="I194" s="102">
        <f>+G194/H194</f>
        <v>8.61259842519685</v>
      </c>
      <c r="J194" s="103">
        <v>184</v>
      </c>
      <c r="K194" s="659"/>
    </row>
    <row r="195" spans="1:11" s="94" customFormat="1" ht="12" customHeight="1">
      <c r="A195" s="95">
        <v>185</v>
      </c>
      <c r="B195" s="191" t="s">
        <v>260</v>
      </c>
      <c r="C195" s="32">
        <v>40669</v>
      </c>
      <c r="D195" s="273" t="s">
        <v>23</v>
      </c>
      <c r="E195" s="33">
        <v>2</v>
      </c>
      <c r="F195" s="33">
        <v>1</v>
      </c>
      <c r="G195" s="48">
        <v>4244</v>
      </c>
      <c r="H195" s="194">
        <v>341</v>
      </c>
      <c r="I195" s="308">
        <f>+G195/H195</f>
        <v>12.44574780058651</v>
      </c>
      <c r="J195" s="93">
        <v>185</v>
      </c>
      <c r="K195" s="659"/>
    </row>
    <row r="196" spans="1:11" s="94" customFormat="1" ht="12" customHeight="1" thickBot="1">
      <c r="A196" s="95">
        <v>186</v>
      </c>
      <c r="B196" s="979" t="s">
        <v>243</v>
      </c>
      <c r="C196" s="132">
        <v>40711</v>
      </c>
      <c r="D196" s="980" t="s">
        <v>47</v>
      </c>
      <c r="E196" s="981">
        <v>4</v>
      </c>
      <c r="F196" s="981">
        <v>5</v>
      </c>
      <c r="G196" s="982">
        <v>2675.5</v>
      </c>
      <c r="H196" s="983">
        <v>384</v>
      </c>
      <c r="I196" s="984">
        <f>+G196/H196</f>
        <v>6.967447916666667</v>
      </c>
      <c r="J196" s="103">
        <v>186</v>
      </c>
      <c r="K196" s="659"/>
    </row>
    <row r="197" spans="1:11" s="94" customFormat="1" ht="15.75" thickBot="1">
      <c r="A197" s="146"/>
      <c r="C197" s="148"/>
      <c r="E197" s="147"/>
      <c r="F197" s="147"/>
      <c r="G197" s="149"/>
      <c r="H197" s="158"/>
      <c r="I197" s="153"/>
      <c r="K197" s="659"/>
    </row>
    <row r="198" spans="1:11" s="159" customFormat="1" ht="15.75" customHeight="1">
      <c r="A198" s="798" t="s">
        <v>87</v>
      </c>
      <c r="B198" s="799"/>
      <c r="C198" s="799"/>
      <c r="D198" s="799"/>
      <c r="E198" s="799"/>
      <c r="F198" s="799"/>
      <c r="G198" s="799"/>
      <c r="H198" s="799"/>
      <c r="I198" s="799"/>
      <c r="J198" s="800"/>
      <c r="K198" s="660"/>
    </row>
    <row r="199" spans="1:11" s="159" customFormat="1" ht="15.75" customHeight="1">
      <c r="A199" s="801"/>
      <c r="B199" s="802"/>
      <c r="C199" s="802"/>
      <c r="D199" s="802"/>
      <c r="E199" s="802"/>
      <c r="F199" s="802"/>
      <c r="G199" s="802"/>
      <c r="H199" s="802"/>
      <c r="I199" s="802"/>
      <c r="J199" s="803"/>
      <c r="K199" s="660"/>
    </row>
    <row r="200" spans="1:11" s="159" customFormat="1" ht="15.75" customHeight="1">
      <c r="A200" s="801"/>
      <c r="B200" s="802"/>
      <c r="C200" s="802"/>
      <c r="D200" s="802"/>
      <c r="E200" s="802"/>
      <c r="F200" s="802"/>
      <c r="G200" s="802"/>
      <c r="H200" s="802"/>
      <c r="I200" s="802"/>
      <c r="J200" s="803"/>
      <c r="K200" s="660"/>
    </row>
    <row r="201" spans="1:11" s="159" customFormat="1" ht="15.75" customHeight="1">
      <c r="A201" s="801"/>
      <c r="B201" s="802"/>
      <c r="C201" s="802"/>
      <c r="D201" s="802"/>
      <c r="E201" s="802"/>
      <c r="F201" s="802"/>
      <c r="G201" s="802"/>
      <c r="H201" s="802"/>
      <c r="I201" s="802"/>
      <c r="J201" s="803"/>
      <c r="K201" s="660"/>
    </row>
    <row r="202" spans="1:11" s="159" customFormat="1" ht="15.75" customHeight="1">
      <c r="A202" s="801"/>
      <c r="B202" s="802"/>
      <c r="C202" s="802"/>
      <c r="D202" s="802"/>
      <c r="E202" s="802"/>
      <c r="F202" s="802"/>
      <c r="G202" s="802"/>
      <c r="H202" s="802"/>
      <c r="I202" s="802"/>
      <c r="J202" s="803"/>
      <c r="K202" s="660"/>
    </row>
    <row r="203" spans="1:11" s="159" customFormat="1" ht="15.75" customHeight="1" thickBot="1">
      <c r="A203" s="804"/>
      <c r="B203" s="805"/>
      <c r="C203" s="805"/>
      <c r="D203" s="805"/>
      <c r="E203" s="805"/>
      <c r="F203" s="805"/>
      <c r="G203" s="805"/>
      <c r="H203" s="805"/>
      <c r="I203" s="805"/>
      <c r="J203" s="806"/>
      <c r="K203" s="660"/>
    </row>
  </sheetData>
  <mergeCells count="10">
    <mergeCell ref="A4:C4"/>
    <mergeCell ref="A5:C5"/>
    <mergeCell ref="G5:J5"/>
    <mergeCell ref="A1:J1"/>
    <mergeCell ref="A2:J2"/>
    <mergeCell ref="A3:J3"/>
    <mergeCell ref="B6:E6"/>
    <mergeCell ref="G6:J6"/>
    <mergeCell ref="G7:H7"/>
    <mergeCell ref="A198:J203"/>
  </mergeCells>
  <hyperlinks>
    <hyperlink ref="A3" r:id="rId1" display="http://www.antraktsinema.com"/>
  </hyperlinks>
  <printOptions/>
  <pageMargins left="0.75" right="0.75" top="1" bottom="1" header="0.5" footer="0.5"/>
  <pageSetup horizontalDpi="200" verticalDpi="200" orientation="portrait" paperSize="9" r:id="rId3"/>
  <ignoredErrors>
    <ignoredError sqref="I72:I79 H72:H73" formula="1"/>
    <ignoredError sqref="G21:G71 H21:I31 G74:G81 H80:H81 G117:H132 G82:H89 I82:I87 G133:H142 I135:I142" unlockedFormula="1"/>
    <ignoredError sqref="E90:F116" numberStoredAsText="1"/>
    <ignoredError sqref="H32:I71 H74:H79 I88:I132 I133:I134 G90:H116" formula="1" unlockedFormula="1"/>
    <ignoredError sqref="G90:H116" numberStoredAsText="1" unlockedFormula="1"/>
  </ignoredErrors>
  <drawing r:id="rId2"/>
</worksheet>
</file>

<file path=xl/worksheets/sheet3.xml><?xml version="1.0" encoding="utf-8"?>
<worksheet xmlns="http://schemas.openxmlformats.org/spreadsheetml/2006/main" xmlns:r="http://schemas.openxmlformats.org/officeDocument/2006/relationships">
  <dimension ref="A1:Q486"/>
  <sheetViews>
    <sheetView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9.140625" defaultRowHeight="12.75"/>
  <cols>
    <col min="1" max="1" width="4.421875" style="160" bestFit="1" customWidth="1"/>
    <col min="2" max="2" width="52.7109375" style="163" bestFit="1" customWidth="1"/>
    <col min="3" max="3" width="7.8515625" style="164" bestFit="1" customWidth="1"/>
    <col min="4" max="4" width="19.7109375" style="164" bestFit="1" customWidth="1"/>
    <col min="5" max="5" width="5.8515625" style="164" bestFit="1" customWidth="1"/>
    <col min="6" max="6" width="8.7109375" style="165" customWidth="1"/>
    <col min="7" max="7" width="8.7109375" style="166" customWidth="1"/>
    <col min="8" max="9" width="11.8515625" style="174" customWidth="1"/>
    <col min="10" max="10" width="9.7109375" style="175" customWidth="1"/>
    <col min="11" max="11" width="9.7109375" style="176" customWidth="1"/>
    <col min="12" max="12" width="12.28125" style="163" bestFit="1" customWidth="1"/>
    <col min="13" max="13" width="8.8515625" style="163" bestFit="1" customWidth="1"/>
    <col min="14" max="14" width="9.140625" style="163" customWidth="1"/>
    <col min="15" max="15" width="4.421875" style="163" bestFit="1" customWidth="1"/>
    <col min="16" max="20" width="6.8515625" style="163" customWidth="1"/>
    <col min="21" max="16384" width="4.421875" style="163" customWidth="1"/>
  </cols>
  <sheetData>
    <row r="1" spans="1:15" s="55" customFormat="1" ht="34.5">
      <c r="A1" s="836" t="s">
        <v>174</v>
      </c>
      <c r="B1" s="837"/>
      <c r="C1" s="837"/>
      <c r="D1" s="837"/>
      <c r="E1" s="837"/>
      <c r="F1" s="837"/>
      <c r="G1" s="837"/>
      <c r="H1" s="832"/>
      <c r="I1" s="832"/>
      <c r="J1" s="832"/>
      <c r="K1" s="832"/>
      <c r="L1" s="832"/>
      <c r="M1" s="832"/>
      <c r="N1" s="832"/>
      <c r="O1" s="832"/>
    </row>
    <row r="2" spans="1:15" s="55" customFormat="1" ht="18.75">
      <c r="A2" s="827" t="s">
        <v>178</v>
      </c>
      <c r="B2" s="838"/>
      <c r="C2" s="838"/>
      <c r="D2" s="838"/>
      <c r="E2" s="838"/>
      <c r="F2" s="838"/>
      <c r="G2" s="838"/>
      <c r="H2" s="178"/>
      <c r="I2" s="178"/>
      <c r="J2" s="178"/>
      <c r="K2" s="178"/>
      <c r="L2" s="178"/>
      <c r="M2" s="178"/>
      <c r="N2" s="178"/>
      <c r="O2" s="178"/>
    </row>
    <row r="3" spans="1:15" s="55" customFormat="1" ht="27" thickBot="1">
      <c r="A3" s="790" t="s">
        <v>136</v>
      </c>
      <c r="B3" s="787"/>
      <c r="C3" s="787"/>
      <c r="D3" s="787"/>
      <c r="E3" s="787"/>
      <c r="F3" s="787"/>
      <c r="G3" s="787"/>
      <c r="H3" s="179"/>
      <c r="I3" s="180"/>
      <c r="J3" s="183"/>
      <c r="K3" s="179"/>
      <c r="L3" s="180"/>
      <c r="M3" s="181"/>
      <c r="N3" s="182"/>
      <c r="O3" s="183"/>
    </row>
    <row r="4" spans="1:15" s="55" customFormat="1" ht="32.25">
      <c r="A4" s="839" t="s">
        <v>406</v>
      </c>
      <c r="B4" s="840"/>
      <c r="C4" s="840"/>
      <c r="D4" s="59"/>
      <c r="E4" s="59"/>
      <c r="F4" s="59"/>
      <c r="G4" s="59"/>
      <c r="H4" s="833"/>
      <c r="I4" s="834"/>
      <c r="J4" s="834"/>
      <c r="K4" s="186"/>
      <c r="L4" s="186"/>
      <c r="M4" s="187"/>
      <c r="N4" s="186"/>
      <c r="O4" s="186"/>
    </row>
    <row r="5" spans="1:15" s="55" customFormat="1" ht="33" thickBot="1">
      <c r="A5" s="821" t="s">
        <v>405</v>
      </c>
      <c r="B5" s="822"/>
      <c r="C5" s="822"/>
      <c r="D5" s="61"/>
      <c r="E5" s="61"/>
      <c r="F5" s="61"/>
      <c r="G5" s="61"/>
      <c r="H5" s="835"/>
      <c r="I5" s="823"/>
      <c r="J5" s="823"/>
      <c r="K5" s="823"/>
      <c r="L5" s="823"/>
      <c r="M5" s="823"/>
      <c r="N5" s="823"/>
      <c r="O5" s="823"/>
    </row>
    <row r="6" spans="1:15" s="64" customFormat="1" ht="15.75" customHeight="1" thickBot="1">
      <c r="A6" s="62"/>
      <c r="B6" s="817" t="s">
        <v>119</v>
      </c>
      <c r="C6" s="817"/>
      <c r="D6" s="817"/>
      <c r="E6" s="817"/>
      <c r="F6" s="817" t="s">
        <v>118</v>
      </c>
      <c r="G6" s="817"/>
      <c r="H6" s="817" t="s">
        <v>222</v>
      </c>
      <c r="I6" s="817"/>
      <c r="J6" s="817" t="s">
        <v>125</v>
      </c>
      <c r="K6" s="817"/>
      <c r="L6" s="817" t="s">
        <v>117</v>
      </c>
      <c r="M6" s="817"/>
      <c r="N6" s="817"/>
      <c r="O6" s="817"/>
    </row>
    <row r="7" spans="1:15" s="68" customFormat="1" ht="12.75" customHeight="1">
      <c r="A7" s="65"/>
      <c r="B7" s="1"/>
      <c r="C7" s="67" t="s">
        <v>88</v>
      </c>
      <c r="D7" s="1"/>
      <c r="E7" s="1" t="s">
        <v>91</v>
      </c>
      <c r="F7" s="1" t="s">
        <v>91</v>
      </c>
      <c r="G7" s="1" t="s">
        <v>93</v>
      </c>
      <c r="H7" s="830"/>
      <c r="I7" s="830"/>
      <c r="J7" s="818" t="s">
        <v>126</v>
      </c>
      <c r="K7" s="818"/>
      <c r="L7" s="818"/>
      <c r="M7" s="818"/>
      <c r="N7" s="66" t="s">
        <v>103</v>
      </c>
      <c r="O7" s="66"/>
    </row>
    <row r="8" spans="1:15" s="68" customFormat="1" ht="13.5" thickBot="1">
      <c r="A8" s="69"/>
      <c r="B8" s="71" t="s">
        <v>9</v>
      </c>
      <c r="C8" s="72" t="s">
        <v>89</v>
      </c>
      <c r="D8" s="73" t="s">
        <v>1</v>
      </c>
      <c r="E8" s="73" t="s">
        <v>90</v>
      </c>
      <c r="F8" s="73" t="s">
        <v>92</v>
      </c>
      <c r="G8" s="73" t="s">
        <v>88</v>
      </c>
      <c r="H8" s="74" t="s">
        <v>7</v>
      </c>
      <c r="I8" s="74" t="s">
        <v>6</v>
      </c>
      <c r="J8" s="75" t="s">
        <v>6</v>
      </c>
      <c r="K8" s="76" t="s">
        <v>104</v>
      </c>
      <c r="L8" s="70" t="s">
        <v>7</v>
      </c>
      <c r="M8" s="70" t="s">
        <v>6</v>
      </c>
      <c r="N8" s="70" t="s">
        <v>104</v>
      </c>
      <c r="O8" s="70"/>
    </row>
    <row r="9" spans="1:15" s="82" customFormat="1" ht="12.75" customHeight="1">
      <c r="A9" s="77"/>
      <c r="B9" s="77"/>
      <c r="C9" s="78" t="s">
        <v>95</v>
      </c>
      <c r="D9" s="77"/>
      <c r="E9" s="77" t="s">
        <v>98</v>
      </c>
      <c r="F9" s="77" t="s">
        <v>100</v>
      </c>
      <c r="G9" s="77" t="s">
        <v>101</v>
      </c>
      <c r="H9" s="80"/>
      <c r="I9" s="80"/>
      <c r="J9" s="831" t="s">
        <v>127</v>
      </c>
      <c r="K9" s="831"/>
      <c r="L9" s="81"/>
      <c r="M9" s="81"/>
      <c r="N9" s="79" t="s">
        <v>109</v>
      </c>
      <c r="O9" s="79"/>
    </row>
    <row r="10" spans="1:15" s="82" customFormat="1" ht="13.5" thickBot="1">
      <c r="A10" s="83"/>
      <c r="B10" s="315" t="s">
        <v>94</v>
      </c>
      <c r="C10" s="316" t="s">
        <v>96</v>
      </c>
      <c r="D10" s="317" t="s">
        <v>97</v>
      </c>
      <c r="E10" s="317" t="s">
        <v>99</v>
      </c>
      <c r="F10" s="317" t="s">
        <v>99</v>
      </c>
      <c r="G10" s="317" t="s">
        <v>102</v>
      </c>
      <c r="H10" s="318" t="s">
        <v>111</v>
      </c>
      <c r="I10" s="318" t="s">
        <v>108</v>
      </c>
      <c r="J10" s="319" t="s">
        <v>108</v>
      </c>
      <c r="K10" s="320" t="s">
        <v>110</v>
      </c>
      <c r="L10" s="321" t="s">
        <v>108</v>
      </c>
      <c r="M10" s="321" t="s">
        <v>110</v>
      </c>
      <c r="N10" s="321" t="s">
        <v>110</v>
      </c>
      <c r="O10" s="83"/>
    </row>
    <row r="11" spans="1:15" s="94" customFormat="1" ht="12" customHeight="1">
      <c r="A11" s="90">
        <v>1</v>
      </c>
      <c r="B11" s="309">
        <v>120</v>
      </c>
      <c r="C11" s="311">
        <v>39493</v>
      </c>
      <c r="D11" s="312" t="s">
        <v>29</v>
      </c>
      <c r="E11" s="313">
        <v>179</v>
      </c>
      <c r="F11" s="313">
        <v>1</v>
      </c>
      <c r="G11" s="313">
        <v>47</v>
      </c>
      <c r="H11" s="606">
        <v>1919</v>
      </c>
      <c r="I11" s="607">
        <v>320</v>
      </c>
      <c r="J11" s="188">
        <f>(I11/F11)</f>
        <v>320</v>
      </c>
      <c r="K11" s="189">
        <f>H11/I11</f>
        <v>5.996875</v>
      </c>
      <c r="L11" s="314">
        <f>5039812.5+1919</f>
        <v>5041731.5</v>
      </c>
      <c r="M11" s="53">
        <f>1038442+320</f>
        <v>1038762</v>
      </c>
      <c r="N11" s="190">
        <f>L11/M11</f>
        <v>4.853596396479656</v>
      </c>
      <c r="O11" s="93">
        <v>1</v>
      </c>
    </row>
    <row r="12" spans="1:15" s="94" customFormat="1" ht="12" customHeight="1">
      <c r="A12" s="95">
        <v>2</v>
      </c>
      <c r="B12" s="213" t="s">
        <v>272</v>
      </c>
      <c r="C12" s="32">
        <v>40095</v>
      </c>
      <c r="D12" s="460" t="s">
        <v>32</v>
      </c>
      <c r="E12" s="202">
        <v>22</v>
      </c>
      <c r="F12" s="202">
        <v>1</v>
      </c>
      <c r="G12" s="202">
        <v>20</v>
      </c>
      <c r="H12" s="392">
        <v>952</v>
      </c>
      <c r="I12" s="393">
        <v>238</v>
      </c>
      <c r="J12" s="112">
        <f>(I12/F12)</f>
        <v>238</v>
      </c>
      <c r="K12" s="195">
        <f>H12/I12</f>
        <v>4</v>
      </c>
      <c r="L12" s="12">
        <f>158809.5+140713.25+103696.25+38523+19360+17458+1188+196+2484+3158+1780+2933+1780+2461+6600.5+2668.5+440+441+476+952</f>
        <v>506118</v>
      </c>
      <c r="M12" s="13">
        <f>14214+13110+10683+4685+3074+2645+297+16+571+596+445+584+445+466+837+295+44+65+72+238</f>
        <v>53382</v>
      </c>
      <c r="N12" s="197">
        <f>L12/M12</f>
        <v>9.481061031808474</v>
      </c>
      <c r="O12" s="103">
        <v>2</v>
      </c>
    </row>
    <row r="13" spans="1:15" s="94" customFormat="1" ht="12" customHeight="1">
      <c r="A13" s="95">
        <v>3</v>
      </c>
      <c r="B13" s="198" t="s">
        <v>273</v>
      </c>
      <c r="C13" s="32">
        <v>40417</v>
      </c>
      <c r="D13" s="199" t="s">
        <v>32</v>
      </c>
      <c r="E13" s="33">
        <v>25</v>
      </c>
      <c r="F13" s="33">
        <v>1</v>
      </c>
      <c r="G13" s="33">
        <v>15</v>
      </c>
      <c r="H13" s="608">
        <v>807</v>
      </c>
      <c r="I13" s="393">
        <v>102</v>
      </c>
      <c r="J13" s="112">
        <f>(I13/F13)</f>
        <v>102</v>
      </c>
      <c r="K13" s="200">
        <f>H13/I13</f>
        <v>7.911764705882353</v>
      </c>
      <c r="L13" s="26">
        <f>87475.5+57473+42134+23624+14854.5+21662+13363.5+5246+6057+2099+300.5+763+292.5+496.5+807</f>
        <v>276648</v>
      </c>
      <c r="M13" s="13">
        <f>7817+5228+5394+3109+2109+2845+2026+770+762+416+44+111+45+73+102</f>
        <v>30851</v>
      </c>
      <c r="N13" s="197">
        <f>L13/M13</f>
        <v>8.96722958737156</v>
      </c>
      <c r="O13" s="103">
        <v>3</v>
      </c>
    </row>
    <row r="14" spans="1:15" s="94" customFormat="1" ht="12" customHeight="1">
      <c r="A14" s="95">
        <v>4</v>
      </c>
      <c r="B14" s="201" t="s">
        <v>274</v>
      </c>
      <c r="C14" s="32">
        <v>40172</v>
      </c>
      <c r="D14" s="30" t="s">
        <v>32</v>
      </c>
      <c r="E14" s="33">
        <v>60</v>
      </c>
      <c r="F14" s="33">
        <v>1</v>
      </c>
      <c r="G14" s="33">
        <v>37</v>
      </c>
      <c r="H14" s="392">
        <v>70</v>
      </c>
      <c r="I14" s="393">
        <v>7</v>
      </c>
      <c r="J14" s="112">
        <f>(I14/F14)</f>
        <v>7</v>
      </c>
      <c r="K14" s="195">
        <f>H14/I14</f>
        <v>10</v>
      </c>
      <c r="L14" s="12">
        <f>421775.5+397095.5+287050+215248.5+189819.5+180729.5+86816.5+23840+19148+14942.5+8798.5+9599+13618.5+4298+4028+3310+8547+6712.5+1803+1172+973+2291+380.5+3015+1103.5+65+2061.5+1262+1020+2232+2970+5074+2970+1188+250+200+70</f>
        <v>1925477.5</v>
      </c>
      <c r="M14" s="13">
        <f>43739+40732+31780+27356+25902+24895+12153+4496+3179+3069+1650+2236+3335+954+829+540+1945+1297+429+261+173+594+53+613+200+10+480+240+102+533+743+1267+742+297+28+20+7</f>
        <v>236879</v>
      </c>
      <c r="N14" s="197">
        <f>L14/M14</f>
        <v>8.128527644915758</v>
      </c>
      <c r="O14" s="103">
        <v>4</v>
      </c>
    </row>
    <row r="15" spans="1:15" s="94" customFormat="1" ht="12" customHeight="1">
      <c r="A15" s="95">
        <v>5</v>
      </c>
      <c r="B15" s="285" t="s">
        <v>274</v>
      </c>
      <c r="C15" s="941">
        <v>40172</v>
      </c>
      <c r="D15" s="943" t="s">
        <v>32</v>
      </c>
      <c r="E15" s="946">
        <v>60</v>
      </c>
      <c r="F15" s="946">
        <v>1</v>
      </c>
      <c r="G15" s="946">
        <v>36</v>
      </c>
      <c r="H15" s="600">
        <v>200</v>
      </c>
      <c r="I15" s="597">
        <v>20</v>
      </c>
      <c r="J15" s="538">
        <v>20</v>
      </c>
      <c r="K15" s="229">
        <v>10</v>
      </c>
      <c r="L15" s="43">
        <v>1925407.5</v>
      </c>
      <c r="M15" s="9">
        <v>236872</v>
      </c>
      <c r="N15" s="219">
        <v>8.12847233949137</v>
      </c>
      <c r="O15" s="103">
        <v>5</v>
      </c>
    </row>
    <row r="16" spans="1:15" s="94" customFormat="1" ht="12" customHeight="1">
      <c r="A16" s="95">
        <v>6</v>
      </c>
      <c r="B16" s="285" t="s">
        <v>274</v>
      </c>
      <c r="C16" s="272">
        <v>40172</v>
      </c>
      <c r="D16" s="586" t="s">
        <v>32</v>
      </c>
      <c r="E16" s="230">
        <v>60</v>
      </c>
      <c r="F16" s="230">
        <v>1</v>
      </c>
      <c r="G16" s="230">
        <v>35</v>
      </c>
      <c r="H16" s="600">
        <v>250</v>
      </c>
      <c r="I16" s="597">
        <v>28</v>
      </c>
      <c r="J16" s="110">
        <f>(I16/F16)</f>
        <v>28</v>
      </c>
      <c r="K16" s="218">
        <f>H16/I16</f>
        <v>8.928571428571429</v>
      </c>
      <c r="L16" s="43">
        <f>421775.5+397095.5+287050+215248.5+189819.5+180729.5+86816.5+23840+19148+14942.5+8798.5+9599+13618.5+4298+4028+3310+8547+6712.5+1803+1172+973+2291+380.5+3015+1103.5+65+2061.5+1262+1020+2232+2970+5074+2970+1188+250</f>
        <v>1925207.5</v>
      </c>
      <c r="M16" s="9">
        <f>43739+40732+31780+27356+25902+24895+12153+4496+3179+3069+1650+2236+3335+954+829+540+1945+1297+429+261+173+594+53+613+200+10+480+240+102+533+743+1267+742+297+28</f>
        <v>236852</v>
      </c>
      <c r="N16" s="219">
        <f>L16/M16</f>
        <v>8.128314305980105</v>
      </c>
      <c r="O16" s="103">
        <v>6</v>
      </c>
    </row>
    <row r="17" spans="1:15" s="94" customFormat="1" ht="12" customHeight="1">
      <c r="A17" s="95">
        <v>7</v>
      </c>
      <c r="B17" s="201" t="s">
        <v>274</v>
      </c>
      <c r="C17" s="32">
        <v>40172</v>
      </c>
      <c r="D17" s="199" t="s">
        <v>32</v>
      </c>
      <c r="E17" s="202">
        <v>60</v>
      </c>
      <c r="F17" s="202">
        <v>1</v>
      </c>
      <c r="G17" s="202">
        <v>34</v>
      </c>
      <c r="H17" s="608">
        <v>1188</v>
      </c>
      <c r="I17" s="622">
        <v>297</v>
      </c>
      <c r="J17" s="203">
        <f>(I17/F17)</f>
        <v>297</v>
      </c>
      <c r="K17" s="200">
        <f>H17/I17</f>
        <v>4</v>
      </c>
      <c r="L17" s="26">
        <f>421775.5+397095.5+287050+215248.5+189819.5+180729.5+86816.5+23840+19148+14942.5+8798.5+9599+13618.5+4298+4028+3310+8547+6712.5+1803+1172+973+2291+380.5+3015+1103.5+65+2061.5+1262+1020+2232+2970+5074+2970+1188</f>
        <v>1924957.5</v>
      </c>
      <c r="M17" s="27">
        <f>43739+40732+31780+27356+25902+24895+12153+4496+3179+3069+1650+2236+3335+954+829+540+1945+1297+429+261+173+594+53+613+200+10+480+240+102+533+743+1267+742+297</f>
        <v>236824</v>
      </c>
      <c r="N17" s="197">
        <f>L17/M17</f>
        <v>8.128219690571902</v>
      </c>
      <c r="O17" s="103">
        <v>7</v>
      </c>
    </row>
    <row r="18" spans="1:15" s="94" customFormat="1" ht="12" customHeight="1">
      <c r="A18" s="95">
        <v>8</v>
      </c>
      <c r="B18" s="201" t="s">
        <v>274</v>
      </c>
      <c r="C18" s="32">
        <v>40172</v>
      </c>
      <c r="D18" s="199" t="s">
        <v>32</v>
      </c>
      <c r="E18" s="202">
        <v>60</v>
      </c>
      <c r="F18" s="202">
        <v>2</v>
      </c>
      <c r="G18" s="202">
        <v>33</v>
      </c>
      <c r="H18" s="392">
        <v>2970</v>
      </c>
      <c r="I18" s="393">
        <v>742</v>
      </c>
      <c r="J18" s="112">
        <f>(I18/F18)</f>
        <v>371</v>
      </c>
      <c r="K18" s="195">
        <f>H18/I18</f>
        <v>4.002695417789758</v>
      </c>
      <c r="L18" s="12">
        <f>421775.5+397095.5+287050+215248.5+189819.5+180729.5+86816.5+23840+19148+14942.5+8798.5+9599+13618.5+4298+4028+3310+8547+6712.5+1803+1172+973+2291+380.5+3015+1103.5+65+2061.5+1262+1020+2232+2970+5074+2970</f>
        <v>1923769.5</v>
      </c>
      <c r="M18" s="13">
        <f>43739+40732+31780+27356+25902+24895+12153+4496+3179+3069+1650+2236+3335+954+829+540+1945+1297+429+261+173+594+53+613+200+10+480+240+102+533+743+1267+742</f>
        <v>236527</v>
      </c>
      <c r="N18" s="197">
        <f>L18/M18</f>
        <v>8.133403374667585</v>
      </c>
      <c r="O18" s="103">
        <v>8</v>
      </c>
    </row>
    <row r="19" spans="1:15" s="94" customFormat="1" ht="12" customHeight="1">
      <c r="A19" s="95">
        <v>9</v>
      </c>
      <c r="B19" s="201" t="s">
        <v>274</v>
      </c>
      <c r="C19" s="32">
        <v>40172</v>
      </c>
      <c r="D19" s="30" t="s">
        <v>32</v>
      </c>
      <c r="E19" s="33">
        <v>60</v>
      </c>
      <c r="F19" s="33">
        <v>3</v>
      </c>
      <c r="G19" s="33">
        <v>32</v>
      </c>
      <c r="H19" s="392">
        <v>5074</v>
      </c>
      <c r="I19" s="393">
        <v>1267</v>
      </c>
      <c r="J19" s="112">
        <f>(I19/F19)</f>
        <v>422.3333333333333</v>
      </c>
      <c r="K19" s="195">
        <f>H19/I19</f>
        <v>4.004735595895817</v>
      </c>
      <c r="L19" s="12">
        <f>421775.5+397095.5+287050+215248.5+189819.5+180729.5+86816.5+23840+19148+14942.5+8798.5+9599+13618.5+4298+4028+3310+8547+6712.5+1803+1172+973+2291+380.5+3015+1103.5+65+2061.5+1262+1020+2232+2970+5074</f>
        <v>1920799.5</v>
      </c>
      <c r="M19" s="13">
        <f>43739+40732+31780+27356+25902+24895+12153+4496+3179+3069+1650+2236+3335+954+829+540+1945+1297+429+261+173+594+53+613+200+10+480+240+102+533+743+1267</f>
        <v>235785</v>
      </c>
      <c r="N19" s="197">
        <f>L19/M19</f>
        <v>8.146402442903492</v>
      </c>
      <c r="O19" s="103">
        <v>9</v>
      </c>
    </row>
    <row r="20" spans="1:15" s="94" customFormat="1" ht="12" customHeight="1">
      <c r="A20" s="95">
        <v>10</v>
      </c>
      <c r="B20" s="205" t="s">
        <v>275</v>
      </c>
      <c r="C20" s="206">
        <v>40228</v>
      </c>
      <c r="D20" s="199" t="s">
        <v>32</v>
      </c>
      <c r="E20" s="207">
        <v>17</v>
      </c>
      <c r="F20" s="207">
        <v>1</v>
      </c>
      <c r="G20" s="207">
        <v>33</v>
      </c>
      <c r="H20" s="603">
        <v>1188</v>
      </c>
      <c r="I20" s="611">
        <v>297</v>
      </c>
      <c r="J20" s="208">
        <f>(I20/F20)</f>
        <v>297</v>
      </c>
      <c r="K20" s="209">
        <f>H20/I20</f>
        <v>4</v>
      </c>
      <c r="L20" s="210">
        <f>289107+1009.5+669+336+323+699+1238+121+1782+1782+1188</f>
        <v>298254.5</v>
      </c>
      <c r="M20" s="211">
        <f>30560+127+85+56+54+123+217+22+445+445+297</f>
        <v>32431</v>
      </c>
      <c r="N20" s="212">
        <f>L20/M20</f>
        <v>9.196586599241467</v>
      </c>
      <c r="O20" s="103">
        <v>10</v>
      </c>
    </row>
    <row r="21" spans="1:15" s="94" customFormat="1" ht="12" customHeight="1">
      <c r="A21" s="95">
        <v>11</v>
      </c>
      <c r="B21" s="213" t="s">
        <v>145</v>
      </c>
      <c r="C21" s="32">
        <v>40123</v>
      </c>
      <c r="D21" s="199" t="s">
        <v>138</v>
      </c>
      <c r="E21" s="202">
        <v>144</v>
      </c>
      <c r="F21" s="202">
        <v>3</v>
      </c>
      <c r="G21" s="202">
        <v>23</v>
      </c>
      <c r="H21" s="392">
        <v>6416</v>
      </c>
      <c r="I21" s="393">
        <v>1604</v>
      </c>
      <c r="J21" s="112">
        <f>(I21/F21)</f>
        <v>534.6666666666666</v>
      </c>
      <c r="K21" s="214">
        <f>H21/I21</f>
        <v>4</v>
      </c>
      <c r="L21" s="12">
        <f>909778+593215.5+203934.5+91391+32233.5+29451.5+14597.5+12123.5+12906+13616+5350+7885.5+2130+3662+3564+2376+1780+1424+2848+1620+109+5940+6416</f>
        <v>1958351.5</v>
      </c>
      <c r="M21" s="13">
        <f>103944+67300+25860+13426+5611+5689+2739+1975+2803+2381+1177+1755+350+881+891+594+445+356+712+393+20+1485+1604</f>
        <v>242391</v>
      </c>
      <c r="N21" s="197">
        <f>L21/M21</f>
        <v>8.079307812583801</v>
      </c>
      <c r="O21" s="103">
        <v>11</v>
      </c>
    </row>
    <row r="22" spans="1:15" s="94" customFormat="1" ht="12" customHeight="1">
      <c r="A22" s="95">
        <v>12</v>
      </c>
      <c r="B22" s="771" t="s">
        <v>139</v>
      </c>
      <c r="C22" s="206">
        <v>40459</v>
      </c>
      <c r="D22" s="713" t="s">
        <v>32</v>
      </c>
      <c r="E22" s="719">
        <v>142</v>
      </c>
      <c r="F22" s="719">
        <v>1</v>
      </c>
      <c r="G22" s="719">
        <v>22</v>
      </c>
      <c r="H22" s="608">
        <v>1188</v>
      </c>
      <c r="I22" s="622">
        <v>297</v>
      </c>
      <c r="J22" s="267">
        <f>I22/F22</f>
        <v>297</v>
      </c>
      <c r="K22" s="360">
        <f>H22/I22</f>
        <v>4</v>
      </c>
      <c r="L22" s="26">
        <f>569713+434829.5+295345.5+223420+26108+12415.5+5998+1904+1368+799+648+306+1782+594+1782+1425.5+3089+151+1188+1188+2376+1188</f>
        <v>1587618</v>
      </c>
      <c r="M22" s="27">
        <f>61050+47827+36467+29781+4601+2405+1000+284+287+123+103+51+445+113+446+267+708+24+297+287+594+297</f>
        <v>187457</v>
      </c>
      <c r="N22" s="501">
        <f>+L22/M22</f>
        <v>8.469238278645236</v>
      </c>
      <c r="O22" s="103">
        <v>12</v>
      </c>
    </row>
    <row r="23" spans="1:15" s="94" customFormat="1" ht="12" customHeight="1">
      <c r="A23" s="95">
        <v>13</v>
      </c>
      <c r="B23" s="753" t="s">
        <v>139</v>
      </c>
      <c r="C23" s="497">
        <v>40459</v>
      </c>
      <c r="D23" s="118" t="s">
        <v>32</v>
      </c>
      <c r="E23" s="499">
        <v>142</v>
      </c>
      <c r="F23" s="207">
        <v>1</v>
      </c>
      <c r="G23" s="499">
        <v>21</v>
      </c>
      <c r="H23" s="392">
        <v>2376</v>
      </c>
      <c r="I23" s="393">
        <v>594</v>
      </c>
      <c r="J23" s="101">
        <f>I23/F23</f>
        <v>594</v>
      </c>
      <c r="K23" s="100">
        <f>H23/I23</f>
        <v>4</v>
      </c>
      <c r="L23" s="12">
        <f>569713+434829.5+295345.5+223420+26108+12415.5+5998+1904+1368+799+648+306+1782+594+1782+1425.5+3089+151+1188+1188+2376</f>
        <v>1586430</v>
      </c>
      <c r="M23" s="13">
        <f>61050+47827+36467+29781+4601+2405+1000+284+287+123+103+51+445+113+446+267+708+24+297+287+594</f>
        <v>187160</v>
      </c>
      <c r="N23" s="128">
        <f>L23/M23</f>
        <v>8.4763304124813</v>
      </c>
      <c r="O23" s="103">
        <v>13</v>
      </c>
    </row>
    <row r="24" spans="1:15" s="94" customFormat="1" ht="12" customHeight="1">
      <c r="A24" s="95">
        <v>14</v>
      </c>
      <c r="B24" s="555" t="s">
        <v>139</v>
      </c>
      <c r="C24" s="206">
        <v>40459</v>
      </c>
      <c r="D24" s="118" t="s">
        <v>32</v>
      </c>
      <c r="E24" s="207">
        <v>142</v>
      </c>
      <c r="F24" s="207">
        <v>1</v>
      </c>
      <c r="G24" s="207">
        <v>20</v>
      </c>
      <c r="H24" s="392">
        <v>1188</v>
      </c>
      <c r="I24" s="393">
        <v>287</v>
      </c>
      <c r="J24" s="101">
        <f>I24/F24</f>
        <v>287</v>
      </c>
      <c r="K24" s="100">
        <f>H24/I24</f>
        <v>4.139372822299651</v>
      </c>
      <c r="L24" s="12">
        <f>569713+434829.5+295345.5+223420+26108+12415.5+5998+1904+1368+799+648+306+1782+594+1782+1425.5+3089+151+1188+1188</f>
        <v>1584054</v>
      </c>
      <c r="M24" s="13">
        <f>61050+47827+36467+29781+4601+2405+1000+284+287+123+103+51+445+113+446+267+708+24+297+287</f>
        <v>186566</v>
      </c>
      <c r="N24" s="126">
        <f>+L24/M24</f>
        <v>8.490582421234308</v>
      </c>
      <c r="O24" s="103">
        <v>14</v>
      </c>
    </row>
    <row r="25" spans="1:15" s="94" customFormat="1" ht="12" customHeight="1">
      <c r="A25" s="95">
        <v>15</v>
      </c>
      <c r="B25" s="201" t="s">
        <v>139</v>
      </c>
      <c r="C25" s="32">
        <v>40459</v>
      </c>
      <c r="D25" s="30" t="s">
        <v>32</v>
      </c>
      <c r="E25" s="33">
        <v>142</v>
      </c>
      <c r="F25" s="33">
        <v>1</v>
      </c>
      <c r="G25" s="33">
        <v>19</v>
      </c>
      <c r="H25" s="392">
        <v>1188</v>
      </c>
      <c r="I25" s="393">
        <v>297</v>
      </c>
      <c r="J25" s="112">
        <f>(I25/F25)</f>
        <v>297</v>
      </c>
      <c r="K25" s="195">
        <f>H25/I25</f>
        <v>4</v>
      </c>
      <c r="L25" s="12">
        <f>569713+434829.5+295345.5+223420+26108+12415.5+5998+1904+1368+799+648+306+1782+594+1782+1425.5+3089+151+188</f>
        <v>1581866</v>
      </c>
      <c r="M25" s="13">
        <f>61050+47827+36467+29781+4601+2405+1000+284+287+123+103+51+445+113+446+267+708+24+297</f>
        <v>186279</v>
      </c>
      <c r="N25" s="197">
        <f>L25/M25</f>
        <v>8.49191803692311</v>
      </c>
      <c r="O25" s="103">
        <v>15</v>
      </c>
    </row>
    <row r="26" spans="1:15" s="94" customFormat="1" ht="12" customHeight="1">
      <c r="A26" s="95">
        <v>16</v>
      </c>
      <c r="B26" s="201" t="s">
        <v>146</v>
      </c>
      <c r="C26" s="32">
        <v>40459</v>
      </c>
      <c r="D26" s="30" t="s">
        <v>32</v>
      </c>
      <c r="E26" s="33">
        <v>142</v>
      </c>
      <c r="F26" s="33">
        <v>1</v>
      </c>
      <c r="G26" s="33">
        <v>18</v>
      </c>
      <c r="H26" s="392">
        <v>151</v>
      </c>
      <c r="I26" s="393">
        <v>24</v>
      </c>
      <c r="J26" s="112">
        <f>(I26/F26)</f>
        <v>24</v>
      </c>
      <c r="K26" s="195">
        <f>H26/I26</f>
        <v>6.291666666666667</v>
      </c>
      <c r="L26" s="12">
        <f>569713+434829.5+295345.5+223420+26108+12415.5+5998+1904+1368+799+648+306+1782+594+1782+1425.5+3089+151</f>
        <v>1581678</v>
      </c>
      <c r="M26" s="13">
        <f>61050+47827+36467+29781+4601+2405+1000+284+287+123+103+51+445+113+446+267+708+24</f>
        <v>185982</v>
      </c>
      <c r="N26" s="197">
        <f>L26/M26</f>
        <v>8.504468174339452</v>
      </c>
      <c r="O26" s="103">
        <v>16</v>
      </c>
    </row>
    <row r="27" spans="1:15" s="94" customFormat="1" ht="12" customHeight="1">
      <c r="A27" s="95">
        <v>17</v>
      </c>
      <c r="B27" s="201" t="s">
        <v>146</v>
      </c>
      <c r="C27" s="32">
        <v>40459</v>
      </c>
      <c r="D27" s="30" t="s">
        <v>32</v>
      </c>
      <c r="E27" s="33">
        <v>142</v>
      </c>
      <c r="F27" s="33">
        <v>2</v>
      </c>
      <c r="G27" s="33">
        <v>17</v>
      </c>
      <c r="H27" s="392">
        <v>3207.5</v>
      </c>
      <c r="I27" s="393">
        <v>725</v>
      </c>
      <c r="J27" s="112">
        <f>(I27/F27)</f>
        <v>362.5</v>
      </c>
      <c r="K27" s="195">
        <f>H27/I27</f>
        <v>4.424137931034482</v>
      </c>
      <c r="L27" s="12">
        <f>569713+434829.5+295345.5+223420+26108+12415.5+5998+1904+1368+799+648+306+1782+594+1782+1425.5+3207.5</f>
        <v>1581645.5</v>
      </c>
      <c r="M27" s="13">
        <f>61050+47827+36467+29781+4601+2405+1000+284+287+123+103+51+445+113+446+267+725</f>
        <v>185975</v>
      </c>
      <c r="N27" s="197">
        <f>L27/M27</f>
        <v>8.504613523323027</v>
      </c>
      <c r="O27" s="103">
        <v>17</v>
      </c>
    </row>
    <row r="28" spans="1:15" s="94" customFormat="1" ht="12" customHeight="1">
      <c r="A28" s="95">
        <v>18</v>
      </c>
      <c r="B28" s="213" t="s">
        <v>146</v>
      </c>
      <c r="C28" s="32">
        <v>40459</v>
      </c>
      <c r="D28" s="199" t="s">
        <v>32</v>
      </c>
      <c r="E28" s="202">
        <v>142</v>
      </c>
      <c r="F28" s="202">
        <v>1</v>
      </c>
      <c r="G28" s="202">
        <v>16</v>
      </c>
      <c r="H28" s="392">
        <v>1425.5</v>
      </c>
      <c r="I28" s="393">
        <v>267</v>
      </c>
      <c r="J28" s="112">
        <f>(I28/F28)</f>
        <v>267</v>
      </c>
      <c r="K28" s="195">
        <f>H28/I28</f>
        <v>5.3389513108614235</v>
      </c>
      <c r="L28" s="12">
        <f>569713+434829.5+295345.5+223420+26108+12415.5+5998+1904+1368+799+648+306+1782+594+1782+1425.5</f>
        <v>1578438</v>
      </c>
      <c r="M28" s="13">
        <f>61050+47827+36467+29781+4601+2405+1000+284+287+123+103+51+445+113+446+267</f>
        <v>185250</v>
      </c>
      <c r="N28" s="197">
        <f>L28/M28</f>
        <v>8.520582995951417</v>
      </c>
      <c r="O28" s="103">
        <v>18</v>
      </c>
    </row>
    <row r="29" spans="1:15" s="94" customFormat="1" ht="12" customHeight="1">
      <c r="A29" s="95">
        <v>19</v>
      </c>
      <c r="B29" s="201" t="s">
        <v>146</v>
      </c>
      <c r="C29" s="32">
        <v>40459</v>
      </c>
      <c r="D29" s="199" t="s">
        <v>32</v>
      </c>
      <c r="E29" s="33">
        <v>142</v>
      </c>
      <c r="F29" s="33">
        <v>1</v>
      </c>
      <c r="G29" s="33">
        <v>15</v>
      </c>
      <c r="H29" s="392">
        <v>1782</v>
      </c>
      <c r="I29" s="393">
        <v>446</v>
      </c>
      <c r="J29" s="112">
        <f>(I29/F29)</f>
        <v>446</v>
      </c>
      <c r="K29" s="195">
        <f>H29/I29</f>
        <v>3.995515695067265</v>
      </c>
      <c r="L29" s="12">
        <f>569713+434829.5+295345.5+223420+26108+12415.5+5998+1904+1368+799+648+306+1782+594+1782</f>
        <v>1577012.5</v>
      </c>
      <c r="M29" s="13">
        <f>61050+47827+36467+29781+4601+2405+1000+284+287+123+103+51+445+113+446</f>
        <v>184983</v>
      </c>
      <c r="N29" s="197">
        <f>L29/M29</f>
        <v>8.525175286377667</v>
      </c>
      <c r="O29" s="103">
        <v>19</v>
      </c>
    </row>
    <row r="30" spans="1:15" s="94" customFormat="1" ht="12" customHeight="1">
      <c r="A30" s="95">
        <v>20</v>
      </c>
      <c r="B30" s="205" t="s">
        <v>146</v>
      </c>
      <c r="C30" s="206">
        <v>40459</v>
      </c>
      <c r="D30" s="199" t="s">
        <v>32</v>
      </c>
      <c r="E30" s="207">
        <v>142</v>
      </c>
      <c r="F30" s="207">
        <v>1</v>
      </c>
      <c r="G30" s="207">
        <v>14</v>
      </c>
      <c r="H30" s="603">
        <v>594</v>
      </c>
      <c r="I30" s="611">
        <v>113</v>
      </c>
      <c r="J30" s="208">
        <f>(I30/F30)</f>
        <v>113</v>
      </c>
      <c r="K30" s="209">
        <f>H30/I30</f>
        <v>5.256637168141593</v>
      </c>
      <c r="L30" s="210">
        <f>569713+434829.5+295345.5+223420+26108+12415.5+5998+1904+1368+799+648+306+1782+594</f>
        <v>1575230.5</v>
      </c>
      <c r="M30" s="211">
        <f>61050+47827+36467+29781+4601+2405+1000+284+287+123+103+51+445+113</f>
        <v>184537</v>
      </c>
      <c r="N30" s="212">
        <f>L30/M30</f>
        <v>8.53612283715461</v>
      </c>
      <c r="O30" s="103">
        <v>20</v>
      </c>
    </row>
    <row r="31" spans="1:15" s="94" customFormat="1" ht="12" customHeight="1">
      <c r="A31" s="95">
        <v>21</v>
      </c>
      <c r="B31" s="198" t="s">
        <v>146</v>
      </c>
      <c r="C31" s="32">
        <v>40459</v>
      </c>
      <c r="D31" s="199" t="s">
        <v>32</v>
      </c>
      <c r="E31" s="230">
        <v>142</v>
      </c>
      <c r="F31" s="33">
        <v>1</v>
      </c>
      <c r="G31" s="230">
        <v>13</v>
      </c>
      <c r="H31" s="608">
        <v>1782</v>
      </c>
      <c r="I31" s="597">
        <v>445</v>
      </c>
      <c r="J31" s="112">
        <f>(I31/F31)</f>
        <v>445</v>
      </c>
      <c r="K31" s="288">
        <f>H31/I31</f>
        <v>4.004494382022472</v>
      </c>
      <c r="L31" s="26">
        <f>569713+434829.5+295345.5+223420+26108+12415.5+5998+1904+1368+799+648+306+1782</f>
        <v>1574636.5</v>
      </c>
      <c r="M31" s="9">
        <f>61050+47827+36467+29781+4601+2405+1000+284+287+123+103+51+445</f>
        <v>184424</v>
      </c>
      <c r="N31" s="197">
        <f>L31/M31</f>
        <v>8.538132238754175</v>
      </c>
      <c r="O31" s="103">
        <v>21</v>
      </c>
    </row>
    <row r="32" spans="1:15" s="94" customFormat="1" ht="12" customHeight="1">
      <c r="A32" s="95">
        <v>22</v>
      </c>
      <c r="B32" s="221" t="s">
        <v>369</v>
      </c>
      <c r="C32" s="117">
        <v>40515</v>
      </c>
      <c r="D32" s="118" t="s">
        <v>10</v>
      </c>
      <c r="E32" s="3">
        <v>337</v>
      </c>
      <c r="F32" s="3">
        <v>1</v>
      </c>
      <c r="G32" s="3">
        <v>24</v>
      </c>
      <c r="H32" s="445">
        <v>2381</v>
      </c>
      <c r="I32" s="446">
        <v>300</v>
      </c>
      <c r="J32" s="101">
        <f>I32/F32</f>
        <v>300</v>
      </c>
      <c r="K32" s="100">
        <f>H32/I32</f>
        <v>7.9366666666666665</v>
      </c>
      <c r="L32" s="44">
        <v>19681137</v>
      </c>
      <c r="M32" s="46">
        <v>2106490</v>
      </c>
      <c r="N32" s="128">
        <f>L32/M32</f>
        <v>9.343095386163712</v>
      </c>
      <c r="O32" s="103">
        <v>22</v>
      </c>
    </row>
    <row r="33" spans="1:15" s="94" customFormat="1" ht="12" customHeight="1">
      <c r="A33" s="95">
        <v>23</v>
      </c>
      <c r="B33" s="757" t="s">
        <v>140</v>
      </c>
      <c r="C33" s="117">
        <v>40515</v>
      </c>
      <c r="D33" s="713" t="s">
        <v>10</v>
      </c>
      <c r="E33" s="381">
        <v>337</v>
      </c>
      <c r="F33" s="3">
        <v>1</v>
      </c>
      <c r="G33" s="4">
        <v>26</v>
      </c>
      <c r="H33" s="445">
        <v>5950</v>
      </c>
      <c r="I33" s="598">
        <v>1428</v>
      </c>
      <c r="J33" s="101">
        <f>I33/F33</f>
        <v>1428</v>
      </c>
      <c r="K33" s="99">
        <f>H33/I33</f>
        <v>4.166666666666667</v>
      </c>
      <c r="L33" s="44">
        <v>19688277</v>
      </c>
      <c r="M33" s="42">
        <v>2108156</v>
      </c>
      <c r="N33" s="126">
        <f>+L33/M33</f>
        <v>9.339098719449604</v>
      </c>
      <c r="O33" s="103">
        <v>23</v>
      </c>
    </row>
    <row r="34" spans="1:15" s="94" customFormat="1" ht="12" customHeight="1">
      <c r="A34" s="95">
        <v>24</v>
      </c>
      <c r="B34" s="672" t="s">
        <v>140</v>
      </c>
      <c r="C34" s="444">
        <v>40515</v>
      </c>
      <c r="D34" s="118" t="s">
        <v>10</v>
      </c>
      <c r="E34" s="123">
        <v>337</v>
      </c>
      <c r="F34" s="33">
        <v>1</v>
      </c>
      <c r="G34" s="33">
        <v>25</v>
      </c>
      <c r="H34" s="644">
        <v>1190</v>
      </c>
      <c r="I34" s="952">
        <v>238</v>
      </c>
      <c r="J34" s="267">
        <f>I34/F34</f>
        <v>238</v>
      </c>
      <c r="K34" s="360">
        <f>H34/I34</f>
        <v>5</v>
      </c>
      <c r="L34" s="44">
        <f>19681137+1190</f>
        <v>19682327</v>
      </c>
      <c r="M34" s="46">
        <f>2106490+238</f>
        <v>2106728</v>
      </c>
      <c r="N34" s="128">
        <f>+L34/M34</f>
        <v>9.342604740621475</v>
      </c>
      <c r="O34" s="103">
        <v>24</v>
      </c>
    </row>
    <row r="35" spans="1:15" s="94" customFormat="1" ht="12" customHeight="1">
      <c r="A35" s="95">
        <v>25</v>
      </c>
      <c r="B35" s="310" t="s">
        <v>140</v>
      </c>
      <c r="C35" s="117">
        <v>40515</v>
      </c>
      <c r="D35" s="118" t="s">
        <v>10</v>
      </c>
      <c r="E35" s="4">
        <v>337</v>
      </c>
      <c r="F35" s="3">
        <v>1</v>
      </c>
      <c r="G35" s="4">
        <v>23</v>
      </c>
      <c r="H35" s="445">
        <v>2380</v>
      </c>
      <c r="I35" s="598">
        <v>595</v>
      </c>
      <c r="J35" s="101">
        <f>I35/F35</f>
        <v>595</v>
      </c>
      <c r="K35" s="99">
        <f>H35/I35</f>
        <v>4</v>
      </c>
      <c r="L35" s="44">
        <v>19678756</v>
      </c>
      <c r="M35" s="42">
        <v>2106190</v>
      </c>
      <c r="N35" s="128">
        <f>L35/M35</f>
        <v>9.343295714061885</v>
      </c>
      <c r="O35" s="103">
        <v>25</v>
      </c>
    </row>
    <row r="36" spans="1:15" s="94" customFormat="1" ht="12" customHeight="1">
      <c r="A36" s="95">
        <v>26</v>
      </c>
      <c r="B36" s="310" t="s">
        <v>140</v>
      </c>
      <c r="C36" s="444">
        <v>40515</v>
      </c>
      <c r="D36" s="118" t="s">
        <v>10</v>
      </c>
      <c r="E36" s="123">
        <v>337</v>
      </c>
      <c r="F36" s="3">
        <v>1</v>
      </c>
      <c r="G36" s="3">
        <v>22</v>
      </c>
      <c r="H36" s="445">
        <v>2380</v>
      </c>
      <c r="I36" s="446">
        <v>595</v>
      </c>
      <c r="J36" s="267">
        <f>I36/F36</f>
        <v>595</v>
      </c>
      <c r="K36" s="360">
        <f>H36/I36</f>
        <v>4</v>
      </c>
      <c r="L36" s="44">
        <v>19676376</v>
      </c>
      <c r="M36" s="46">
        <v>2105595</v>
      </c>
      <c r="N36" s="128">
        <f>L36/M36</f>
        <v>9.344805625013358</v>
      </c>
      <c r="O36" s="103">
        <v>26</v>
      </c>
    </row>
    <row r="37" spans="1:15" s="94" customFormat="1" ht="12" customHeight="1">
      <c r="A37" s="95">
        <v>27</v>
      </c>
      <c r="B37" s="310" t="s">
        <v>140</v>
      </c>
      <c r="C37" s="2">
        <v>40515</v>
      </c>
      <c r="D37" s="118" t="s">
        <v>10</v>
      </c>
      <c r="E37" s="667">
        <v>337</v>
      </c>
      <c r="F37" s="119">
        <v>1</v>
      </c>
      <c r="G37" s="667">
        <v>21</v>
      </c>
      <c r="H37" s="612">
        <v>4760</v>
      </c>
      <c r="I37" s="951">
        <v>1190</v>
      </c>
      <c r="J37" s="267">
        <f>I37/F37</f>
        <v>1190</v>
      </c>
      <c r="K37" s="359">
        <f>H37/I37</f>
        <v>4</v>
      </c>
      <c r="L37" s="225">
        <v>19673996</v>
      </c>
      <c r="M37" s="890">
        <v>2105000</v>
      </c>
      <c r="N37" s="373">
        <f>+L37/M37</f>
        <v>9.346316389548694</v>
      </c>
      <c r="O37" s="103">
        <v>27</v>
      </c>
    </row>
    <row r="38" spans="1:15" s="94" customFormat="1" ht="12" customHeight="1">
      <c r="A38" s="95">
        <v>28</v>
      </c>
      <c r="B38" s="221" t="s">
        <v>140</v>
      </c>
      <c r="C38" s="2">
        <v>40515</v>
      </c>
      <c r="D38" s="19" t="s">
        <v>10</v>
      </c>
      <c r="E38" s="4">
        <v>337</v>
      </c>
      <c r="F38" s="3">
        <v>2</v>
      </c>
      <c r="G38" s="4">
        <v>20</v>
      </c>
      <c r="H38" s="445">
        <v>4760</v>
      </c>
      <c r="I38" s="598">
        <v>1190</v>
      </c>
      <c r="J38" s="109">
        <f>I38/F38</f>
        <v>595</v>
      </c>
      <c r="K38" s="229">
        <f>H38/I38</f>
        <v>4</v>
      </c>
      <c r="L38" s="44">
        <v>19669236</v>
      </c>
      <c r="M38" s="42">
        <v>2103810</v>
      </c>
      <c r="N38" s="222">
        <f>+L38/M38</f>
        <v>9.349340482267886</v>
      </c>
      <c r="O38" s="103">
        <v>28</v>
      </c>
    </row>
    <row r="39" spans="1:15" s="94" customFormat="1" ht="12" customHeight="1">
      <c r="A39" s="95">
        <v>29</v>
      </c>
      <c r="B39" s="221" t="s">
        <v>147</v>
      </c>
      <c r="C39" s="2">
        <v>40515</v>
      </c>
      <c r="D39" s="19" t="s">
        <v>10</v>
      </c>
      <c r="E39" s="3">
        <v>337</v>
      </c>
      <c r="F39" s="3">
        <v>1</v>
      </c>
      <c r="G39" s="3">
        <v>19</v>
      </c>
      <c r="H39" s="445">
        <v>2380</v>
      </c>
      <c r="I39" s="446">
        <v>595</v>
      </c>
      <c r="J39" s="109">
        <f>I39/F39</f>
        <v>595</v>
      </c>
      <c r="K39" s="224">
        <f>H39/I39</f>
        <v>4</v>
      </c>
      <c r="L39" s="44">
        <v>19664476</v>
      </c>
      <c r="M39" s="46">
        <v>2102620</v>
      </c>
      <c r="N39" s="222">
        <f>+L39/M39</f>
        <v>9.352367998021515</v>
      </c>
      <c r="O39" s="103">
        <v>29</v>
      </c>
    </row>
    <row r="40" spans="1:15" s="94" customFormat="1" ht="12" customHeight="1">
      <c r="A40" s="95">
        <v>30</v>
      </c>
      <c r="B40" s="221" t="s">
        <v>147</v>
      </c>
      <c r="C40" s="2">
        <v>40515</v>
      </c>
      <c r="D40" s="19" t="s">
        <v>10</v>
      </c>
      <c r="E40" s="3">
        <v>337</v>
      </c>
      <c r="F40" s="3">
        <v>2</v>
      </c>
      <c r="G40" s="3">
        <v>18</v>
      </c>
      <c r="H40" s="445">
        <v>9524</v>
      </c>
      <c r="I40" s="446">
        <v>2381</v>
      </c>
      <c r="J40" s="109">
        <f>I40/F40</f>
        <v>1190.5</v>
      </c>
      <c r="K40" s="204">
        <f>H40/I40</f>
        <v>4</v>
      </c>
      <c r="L40" s="44">
        <v>19662096</v>
      </c>
      <c r="M40" s="46">
        <v>2102025</v>
      </c>
      <c r="N40" s="222">
        <f>+L40/M40</f>
        <v>9.353883041352981</v>
      </c>
      <c r="O40" s="103">
        <v>30</v>
      </c>
    </row>
    <row r="41" spans="1:15" s="94" customFormat="1" ht="12" customHeight="1">
      <c r="A41" s="95">
        <v>31</v>
      </c>
      <c r="B41" s="221" t="s">
        <v>147</v>
      </c>
      <c r="C41" s="2">
        <v>40515</v>
      </c>
      <c r="D41" s="19" t="s">
        <v>10</v>
      </c>
      <c r="E41" s="3">
        <v>337</v>
      </c>
      <c r="F41" s="3">
        <v>2</v>
      </c>
      <c r="G41" s="3">
        <v>17</v>
      </c>
      <c r="H41" s="445">
        <v>7143</v>
      </c>
      <c r="I41" s="446">
        <v>1422</v>
      </c>
      <c r="J41" s="109">
        <f>I41/F41</f>
        <v>711</v>
      </c>
      <c r="K41" s="204">
        <f>H41/I41</f>
        <v>5.023206751054852</v>
      </c>
      <c r="L41" s="44">
        <v>19652572</v>
      </c>
      <c r="M41" s="46">
        <v>2099644</v>
      </c>
      <c r="N41" s="222">
        <f>+L41/M41</f>
        <v>9.359954354166707</v>
      </c>
      <c r="O41" s="103">
        <v>31</v>
      </c>
    </row>
    <row r="42" spans="1:15" s="94" customFormat="1" ht="12" customHeight="1">
      <c r="A42" s="95">
        <v>32</v>
      </c>
      <c r="B42" s="226" t="s">
        <v>147</v>
      </c>
      <c r="C42" s="2">
        <v>40515</v>
      </c>
      <c r="D42" s="20" t="s">
        <v>10</v>
      </c>
      <c r="E42" s="5">
        <v>337</v>
      </c>
      <c r="F42" s="5">
        <v>1</v>
      </c>
      <c r="G42" s="5">
        <v>16</v>
      </c>
      <c r="H42" s="445">
        <v>2380</v>
      </c>
      <c r="I42" s="446">
        <v>476</v>
      </c>
      <c r="J42" s="109">
        <f>I42/F42</f>
        <v>476</v>
      </c>
      <c r="K42" s="228">
        <f>H42/I42</f>
        <v>5</v>
      </c>
      <c r="L42" s="44">
        <v>19645429</v>
      </c>
      <c r="M42" s="46">
        <v>2098222</v>
      </c>
      <c r="N42" s="222">
        <f>+L42/M42</f>
        <v>9.362893440255608</v>
      </c>
      <c r="O42" s="103">
        <v>32</v>
      </c>
    </row>
    <row r="43" spans="1:15" s="94" customFormat="1" ht="12" customHeight="1">
      <c r="A43" s="95">
        <v>33</v>
      </c>
      <c r="B43" s="221" t="s">
        <v>147</v>
      </c>
      <c r="C43" s="2">
        <v>40515</v>
      </c>
      <c r="D43" s="19" t="s">
        <v>10</v>
      </c>
      <c r="E43" s="3">
        <v>337</v>
      </c>
      <c r="F43" s="3">
        <v>1</v>
      </c>
      <c r="G43" s="3">
        <v>15</v>
      </c>
      <c r="H43" s="445">
        <v>2380</v>
      </c>
      <c r="I43" s="446">
        <v>476</v>
      </c>
      <c r="J43" s="109">
        <f>I43/F43</f>
        <v>476</v>
      </c>
      <c r="K43" s="204">
        <f>H43/I43</f>
        <v>5</v>
      </c>
      <c r="L43" s="44">
        <v>19643049</v>
      </c>
      <c r="M43" s="46">
        <v>2097746</v>
      </c>
      <c r="N43" s="222">
        <f>+L43/M43</f>
        <v>9.363883425352736</v>
      </c>
      <c r="O43" s="103">
        <v>33</v>
      </c>
    </row>
    <row r="44" spans="1:15" s="94" customFormat="1" ht="12" customHeight="1">
      <c r="A44" s="95">
        <v>34</v>
      </c>
      <c r="B44" s="221" t="s">
        <v>147</v>
      </c>
      <c r="C44" s="2">
        <v>40515</v>
      </c>
      <c r="D44" s="19" t="s">
        <v>10</v>
      </c>
      <c r="E44" s="3">
        <v>337</v>
      </c>
      <c r="F44" s="3">
        <v>1</v>
      </c>
      <c r="G44" s="3">
        <v>14</v>
      </c>
      <c r="H44" s="445">
        <v>1781</v>
      </c>
      <c r="I44" s="446">
        <v>1306</v>
      </c>
      <c r="J44" s="109">
        <f>I44/F44</f>
        <v>1306</v>
      </c>
      <c r="K44" s="204">
        <f>H44/I44</f>
        <v>1.3637059724349159</v>
      </c>
      <c r="L44" s="44">
        <v>19640669</v>
      </c>
      <c r="M44" s="46">
        <v>2097270</v>
      </c>
      <c r="N44" s="222">
        <f>+L44/M44</f>
        <v>9.364873859827298</v>
      </c>
      <c r="O44" s="103">
        <v>34</v>
      </c>
    </row>
    <row r="45" spans="1:15" s="94" customFormat="1" ht="12" customHeight="1">
      <c r="A45" s="95">
        <v>35</v>
      </c>
      <c r="B45" s="226" t="s">
        <v>147</v>
      </c>
      <c r="C45" s="2">
        <v>40515</v>
      </c>
      <c r="D45" s="20" t="s">
        <v>10</v>
      </c>
      <c r="E45" s="5">
        <v>337</v>
      </c>
      <c r="F45" s="5">
        <v>1</v>
      </c>
      <c r="G45" s="5">
        <v>13</v>
      </c>
      <c r="H45" s="612">
        <v>2380</v>
      </c>
      <c r="I45" s="613">
        <v>476</v>
      </c>
      <c r="J45" s="227">
        <f>I45/F45</f>
        <v>476</v>
      </c>
      <c r="K45" s="224">
        <f>H45/I45</f>
        <v>5</v>
      </c>
      <c r="L45" s="225">
        <v>19638888</v>
      </c>
      <c r="M45" s="362">
        <v>2095964</v>
      </c>
      <c r="N45" s="222">
        <f>+L45/M45</f>
        <v>9.369859405982163</v>
      </c>
      <c r="O45" s="103">
        <v>35</v>
      </c>
    </row>
    <row r="46" spans="1:15" s="94" customFormat="1" ht="12" customHeight="1">
      <c r="A46" s="95">
        <v>36</v>
      </c>
      <c r="B46" s="226" t="s">
        <v>147</v>
      </c>
      <c r="C46" s="2">
        <v>40515</v>
      </c>
      <c r="D46" s="20" t="s">
        <v>10</v>
      </c>
      <c r="E46" s="5">
        <v>337</v>
      </c>
      <c r="F46" s="5">
        <v>3</v>
      </c>
      <c r="G46" s="5">
        <v>12</v>
      </c>
      <c r="H46" s="445">
        <v>7416</v>
      </c>
      <c r="I46" s="446">
        <v>1461</v>
      </c>
      <c r="J46" s="109">
        <f>I46/F46</f>
        <v>487</v>
      </c>
      <c r="K46" s="204">
        <f>H46/I46</f>
        <v>5.075975359342916</v>
      </c>
      <c r="L46" s="44">
        <v>19636508</v>
      </c>
      <c r="M46" s="46">
        <v>2095488</v>
      </c>
      <c r="N46" s="222">
        <f>+L46/M46</f>
        <v>9.370852040193025</v>
      </c>
      <c r="O46" s="103">
        <v>36</v>
      </c>
    </row>
    <row r="47" spans="1:15" s="94" customFormat="1" ht="12" customHeight="1">
      <c r="A47" s="95">
        <v>37</v>
      </c>
      <c r="B47" s="221" t="s">
        <v>147</v>
      </c>
      <c r="C47" s="2">
        <v>40515</v>
      </c>
      <c r="D47" s="19" t="s">
        <v>10</v>
      </c>
      <c r="E47" s="3">
        <v>337</v>
      </c>
      <c r="F47" s="3">
        <v>2</v>
      </c>
      <c r="G47" s="3">
        <v>11</v>
      </c>
      <c r="H47" s="445">
        <v>778</v>
      </c>
      <c r="I47" s="446">
        <v>78</v>
      </c>
      <c r="J47" s="109">
        <f>I47/F47</f>
        <v>39</v>
      </c>
      <c r="K47" s="204">
        <f>H47/I47</f>
        <v>9.974358974358974</v>
      </c>
      <c r="L47" s="44">
        <v>19629092</v>
      </c>
      <c r="M47" s="46">
        <v>2094027</v>
      </c>
      <c r="N47" s="222">
        <f>+L47/M47</f>
        <v>9.373848570242886</v>
      </c>
      <c r="O47" s="103">
        <v>37</v>
      </c>
    </row>
    <row r="48" spans="1:15" s="94" customFormat="1" ht="12" customHeight="1">
      <c r="A48" s="95">
        <v>38</v>
      </c>
      <c r="B48" s="226" t="s">
        <v>147</v>
      </c>
      <c r="C48" s="2">
        <v>40515</v>
      </c>
      <c r="D48" s="20" t="s">
        <v>10</v>
      </c>
      <c r="E48" s="5">
        <v>337</v>
      </c>
      <c r="F48" s="5">
        <v>3</v>
      </c>
      <c r="G48" s="5">
        <v>10</v>
      </c>
      <c r="H48" s="445">
        <v>1124</v>
      </c>
      <c r="I48" s="446">
        <v>121</v>
      </c>
      <c r="J48" s="109">
        <f>I48/F48</f>
        <v>40.333333333333336</v>
      </c>
      <c r="K48" s="204">
        <f>H48/I48</f>
        <v>9.289256198347108</v>
      </c>
      <c r="L48" s="44">
        <v>19628314</v>
      </c>
      <c r="M48" s="46">
        <v>2093949</v>
      </c>
      <c r="N48" s="222">
        <f>+L48/M48</f>
        <v>9.37382620111569</v>
      </c>
      <c r="O48" s="103">
        <v>38</v>
      </c>
    </row>
    <row r="49" spans="1:15" s="94" customFormat="1" ht="12" customHeight="1">
      <c r="A49" s="95">
        <v>39</v>
      </c>
      <c r="B49" s="221" t="s">
        <v>147</v>
      </c>
      <c r="C49" s="2">
        <v>40515</v>
      </c>
      <c r="D49" s="19" t="s">
        <v>10</v>
      </c>
      <c r="E49" s="3">
        <v>337</v>
      </c>
      <c r="F49" s="3">
        <v>6</v>
      </c>
      <c r="G49" s="3">
        <v>9</v>
      </c>
      <c r="H49" s="445">
        <v>3519</v>
      </c>
      <c r="I49" s="446">
        <v>429</v>
      </c>
      <c r="J49" s="109">
        <f>I49/F49</f>
        <v>71.5</v>
      </c>
      <c r="K49" s="204">
        <f>H49/I49</f>
        <v>8.202797202797203</v>
      </c>
      <c r="L49" s="44">
        <v>19627190</v>
      </c>
      <c r="M49" s="46">
        <v>2093828</v>
      </c>
      <c r="N49" s="222">
        <f>+L49/M49</f>
        <v>9.373831088322442</v>
      </c>
      <c r="O49" s="103">
        <v>39</v>
      </c>
    </row>
    <row r="50" spans="1:15" s="94" customFormat="1" ht="12" customHeight="1">
      <c r="A50" s="95">
        <v>40</v>
      </c>
      <c r="B50" s="223" t="s">
        <v>147</v>
      </c>
      <c r="C50" s="2">
        <v>40515</v>
      </c>
      <c r="D50" s="19" t="s">
        <v>10</v>
      </c>
      <c r="E50" s="3">
        <v>337</v>
      </c>
      <c r="F50" s="3">
        <v>32</v>
      </c>
      <c r="G50" s="3">
        <v>8</v>
      </c>
      <c r="H50" s="445">
        <v>59187</v>
      </c>
      <c r="I50" s="446">
        <v>7792</v>
      </c>
      <c r="J50" s="109">
        <f>I50/F50</f>
        <v>243.5</v>
      </c>
      <c r="K50" s="204">
        <f>H50/I50</f>
        <v>7.595867556468172</v>
      </c>
      <c r="L50" s="44">
        <v>19623671</v>
      </c>
      <c r="M50" s="46">
        <v>2093399</v>
      </c>
      <c r="N50" s="222">
        <f>+L50/M50</f>
        <v>9.374071068152798</v>
      </c>
      <c r="O50" s="103">
        <v>40</v>
      </c>
    </row>
    <row r="51" spans="1:15" s="94" customFormat="1" ht="12" customHeight="1">
      <c r="A51" s="95">
        <v>41</v>
      </c>
      <c r="B51" s="226" t="s">
        <v>147</v>
      </c>
      <c r="C51" s="2">
        <v>40515</v>
      </c>
      <c r="D51" s="20" t="s">
        <v>10</v>
      </c>
      <c r="E51" s="5">
        <v>337</v>
      </c>
      <c r="F51" s="5">
        <v>128</v>
      </c>
      <c r="G51" s="5">
        <v>7</v>
      </c>
      <c r="H51" s="445">
        <v>271404</v>
      </c>
      <c r="I51" s="446">
        <v>30669</v>
      </c>
      <c r="J51" s="109">
        <f>I51/F51</f>
        <v>239.6015625</v>
      </c>
      <c r="K51" s="204">
        <f>H51/I51</f>
        <v>8.849457106524504</v>
      </c>
      <c r="L51" s="44">
        <v>19564484</v>
      </c>
      <c r="M51" s="46">
        <v>2085607</v>
      </c>
      <c r="N51" s="222">
        <f>+L51/M51</f>
        <v>9.380714583332335</v>
      </c>
      <c r="O51" s="103">
        <v>41</v>
      </c>
    </row>
    <row r="52" spans="1:15" s="94" customFormat="1" ht="12" customHeight="1">
      <c r="A52" s="95">
        <v>42</v>
      </c>
      <c r="B52" s="221" t="s">
        <v>147</v>
      </c>
      <c r="C52" s="2">
        <v>40515</v>
      </c>
      <c r="D52" s="22" t="s">
        <v>10</v>
      </c>
      <c r="E52" s="3">
        <v>337</v>
      </c>
      <c r="F52" s="3">
        <v>292</v>
      </c>
      <c r="G52" s="3">
        <v>6</v>
      </c>
      <c r="H52" s="445">
        <v>638062</v>
      </c>
      <c r="I52" s="446">
        <v>72167</v>
      </c>
      <c r="J52" s="538">
        <f>I52/F52</f>
        <v>247.1472602739726</v>
      </c>
      <c r="K52" s="229">
        <f>H52/I52</f>
        <v>8.841464935496834</v>
      </c>
      <c r="L52" s="44">
        <v>19293080</v>
      </c>
      <c r="M52" s="46">
        <v>2054938</v>
      </c>
      <c r="N52" s="301">
        <f>+L52/M52</f>
        <v>9.388643355663286</v>
      </c>
      <c r="O52" s="103">
        <v>42</v>
      </c>
    </row>
    <row r="53" spans="1:15" s="94" customFormat="1" ht="12" customHeight="1">
      <c r="A53" s="95">
        <v>43</v>
      </c>
      <c r="B53" s="223" t="s">
        <v>147</v>
      </c>
      <c r="C53" s="2">
        <v>40515</v>
      </c>
      <c r="D53" s="22" t="s">
        <v>10</v>
      </c>
      <c r="E53" s="3">
        <v>337</v>
      </c>
      <c r="F53" s="3">
        <v>349</v>
      </c>
      <c r="G53" s="3">
        <v>5</v>
      </c>
      <c r="H53" s="612">
        <v>1719523</v>
      </c>
      <c r="I53" s="446">
        <v>182375</v>
      </c>
      <c r="J53" s="109">
        <f>I53/F53</f>
        <v>522.5644699140402</v>
      </c>
      <c r="K53" s="224">
        <f>H53/I53</f>
        <v>9.4285017135024</v>
      </c>
      <c r="L53" s="225">
        <v>18655018</v>
      </c>
      <c r="M53" s="46">
        <v>1982618</v>
      </c>
      <c r="N53" s="222">
        <f>+L53/M53</f>
        <v>9.409285096776081</v>
      </c>
      <c r="O53" s="103">
        <v>43</v>
      </c>
    </row>
    <row r="54" spans="1:15" s="94" customFormat="1" ht="12" customHeight="1">
      <c r="A54" s="95">
        <v>44</v>
      </c>
      <c r="B54" s="753" t="s">
        <v>276</v>
      </c>
      <c r="C54" s="497">
        <v>40165</v>
      </c>
      <c r="D54" s="118" t="s">
        <v>32</v>
      </c>
      <c r="E54" s="499">
        <v>150</v>
      </c>
      <c r="F54" s="207">
        <v>1</v>
      </c>
      <c r="G54" s="499">
        <v>47</v>
      </c>
      <c r="H54" s="392">
        <v>1782</v>
      </c>
      <c r="I54" s="393">
        <v>446</v>
      </c>
      <c r="J54" s="101">
        <f>I54/F54</f>
        <v>446</v>
      </c>
      <c r="K54" s="100">
        <f>H54/I54</f>
        <v>3.995515695067265</v>
      </c>
      <c r="L54" s="12">
        <f>26351050.5+1782+1045+250+135084.5+75530.5+42949.5+5302.5+6113+4133+420+7038.5+950.5+1188+1782</f>
        <v>26634619.5</v>
      </c>
      <c r="M54" s="13">
        <f>2457871+446+113+30+11058+6318+3444+432+464+353+42+964+238+297+446</f>
        <v>2482516</v>
      </c>
      <c r="N54" s="128">
        <f>L54/M54</f>
        <v>10.728881304289681</v>
      </c>
      <c r="O54" s="103">
        <v>44</v>
      </c>
    </row>
    <row r="55" spans="1:15" s="94" customFormat="1" ht="12" customHeight="1">
      <c r="A55" s="95">
        <v>45</v>
      </c>
      <c r="B55" s="555" t="s">
        <v>276</v>
      </c>
      <c r="C55" s="206">
        <v>40165</v>
      </c>
      <c r="D55" s="118" t="s">
        <v>32</v>
      </c>
      <c r="E55" s="207">
        <v>150</v>
      </c>
      <c r="F55" s="207">
        <v>1</v>
      </c>
      <c r="G55" s="207">
        <v>46</v>
      </c>
      <c r="H55" s="392">
        <v>1188</v>
      </c>
      <c r="I55" s="393">
        <v>297</v>
      </c>
      <c r="J55" s="267">
        <f>I55/F55</f>
        <v>297</v>
      </c>
      <c r="K55" s="360">
        <f>H55/I55</f>
        <v>4</v>
      </c>
      <c r="L55" s="12">
        <f>26351050.5+1782+1045+250+135084.5+75530.5+42949.5+5302.5+6113+4133+420+7038.5+950.5+1188</f>
        <v>26632837.5</v>
      </c>
      <c r="M55" s="13">
        <f>2457871+446+113+30+11058+6318+3444+432+464+353+42+964+238+297</f>
        <v>2482070</v>
      </c>
      <c r="N55" s="128">
        <f>+L55/M55</f>
        <v>10.730091214188157</v>
      </c>
      <c r="O55" s="103">
        <v>45</v>
      </c>
    </row>
    <row r="56" spans="1:15" s="94" customFormat="1" ht="12" customHeight="1">
      <c r="A56" s="95">
        <v>46</v>
      </c>
      <c r="B56" s="468" t="s">
        <v>276</v>
      </c>
      <c r="C56" s="32">
        <v>40165</v>
      </c>
      <c r="D56" s="30" t="s">
        <v>32</v>
      </c>
      <c r="E56" s="33">
        <v>150</v>
      </c>
      <c r="F56" s="33">
        <v>2</v>
      </c>
      <c r="G56" s="33">
        <v>45</v>
      </c>
      <c r="H56" s="392">
        <v>7038.5</v>
      </c>
      <c r="I56" s="393">
        <v>964</v>
      </c>
      <c r="J56" s="112">
        <f>(I56/F56)</f>
        <v>482</v>
      </c>
      <c r="K56" s="195">
        <f>H56/I56</f>
        <v>7.301348547717843</v>
      </c>
      <c r="L56" s="12">
        <f>26351050.5+1782+1045+250+135084.5+75530.5+42949.5+5302.5+6113+4133+420+7038.5</f>
        <v>26630699</v>
      </c>
      <c r="M56" s="13">
        <f>2457871+446+113+30+11058+6318+3444+432+464+353+42+964</f>
        <v>2481535</v>
      </c>
      <c r="N56" s="197">
        <v>10.72108768116797</v>
      </c>
      <c r="O56" s="103">
        <v>46</v>
      </c>
    </row>
    <row r="57" spans="1:15" s="94" customFormat="1" ht="12" customHeight="1">
      <c r="A57" s="95">
        <v>47</v>
      </c>
      <c r="B57" s="201" t="s">
        <v>276</v>
      </c>
      <c r="C57" s="32">
        <v>40165</v>
      </c>
      <c r="D57" s="30" t="s">
        <v>32</v>
      </c>
      <c r="E57" s="33">
        <v>150</v>
      </c>
      <c r="F57" s="33">
        <v>1</v>
      </c>
      <c r="G57" s="33">
        <v>45</v>
      </c>
      <c r="H57" s="392">
        <v>950.5</v>
      </c>
      <c r="I57" s="393">
        <v>238</v>
      </c>
      <c r="J57" s="112">
        <f>(I57/F57)</f>
        <v>238</v>
      </c>
      <c r="K57" s="195">
        <f>H57/I57</f>
        <v>3.9936974789915967</v>
      </c>
      <c r="L57" s="12">
        <f>26351050.5+1782+1045+250+135084.5+75530.5+42949.5+5302.5+6113+4133+420+7038.5+950.5</f>
        <v>26631649.5</v>
      </c>
      <c r="M57" s="13">
        <f>2457871+446+113+30+11058+6318+3444+432+464+353+42+964+238</f>
        <v>2481773</v>
      </c>
      <c r="N57" s="197">
        <v>10.72108768116797</v>
      </c>
      <c r="O57" s="103">
        <v>47</v>
      </c>
    </row>
    <row r="58" spans="1:15" s="94" customFormat="1" ht="12" customHeight="1">
      <c r="A58" s="95">
        <v>48</v>
      </c>
      <c r="B58" s="226" t="s">
        <v>148</v>
      </c>
      <c r="C58" s="2">
        <v>40249</v>
      </c>
      <c r="D58" s="20" t="s">
        <v>21</v>
      </c>
      <c r="E58" s="5">
        <v>116</v>
      </c>
      <c r="F58" s="5">
        <v>1</v>
      </c>
      <c r="G58" s="5">
        <v>30</v>
      </c>
      <c r="H58" s="593">
        <v>3020</v>
      </c>
      <c r="I58" s="594">
        <v>604</v>
      </c>
      <c r="J58" s="101">
        <f>+I58/F58</f>
        <v>604</v>
      </c>
      <c r="K58" s="231">
        <f>+H58/I58</f>
        <v>5</v>
      </c>
      <c r="L58" s="35">
        <f>1547543.25+3020+3020</f>
        <v>1553583.25</v>
      </c>
      <c r="M58" s="38">
        <f>209803+604+604</f>
        <v>211011</v>
      </c>
      <c r="N58" s="232">
        <f>IF(L58&lt;&gt;0,L58/M58,"")</f>
        <v>7.36256996080773</v>
      </c>
      <c r="O58" s="103">
        <v>48</v>
      </c>
    </row>
    <row r="59" spans="1:15" s="94" customFormat="1" ht="12" customHeight="1">
      <c r="A59" s="95">
        <v>49</v>
      </c>
      <c r="B59" s="226" t="s">
        <v>277</v>
      </c>
      <c r="C59" s="2">
        <v>40466</v>
      </c>
      <c r="D59" s="20" t="s">
        <v>21</v>
      </c>
      <c r="E59" s="5">
        <v>10</v>
      </c>
      <c r="F59" s="5">
        <v>1</v>
      </c>
      <c r="G59" s="5">
        <v>8</v>
      </c>
      <c r="H59" s="593">
        <v>251</v>
      </c>
      <c r="I59" s="594">
        <v>68</v>
      </c>
      <c r="J59" s="101">
        <f>IF(H59&lt;&gt;0,I59/F59,"")</f>
        <v>68</v>
      </c>
      <c r="K59" s="231">
        <f>IF(H59&lt;&gt;0,H59/I59,"")</f>
        <v>3.6911764705882355</v>
      </c>
      <c r="L59" s="35">
        <f>7088+2486+815+33+201+698+325+251</f>
        <v>11897</v>
      </c>
      <c r="M59" s="38">
        <f>735+318+126+5+29+108+44+68</f>
        <v>1433</v>
      </c>
      <c r="N59" s="232">
        <f>IF(L59&lt;&gt;0,L59/M59,"")</f>
        <v>8.302163293789253</v>
      </c>
      <c r="O59" s="103">
        <v>49</v>
      </c>
    </row>
    <row r="60" spans="1:15" s="94" customFormat="1" ht="12" customHeight="1">
      <c r="A60" s="95">
        <v>50</v>
      </c>
      <c r="B60" s="535" t="s">
        <v>277</v>
      </c>
      <c r="C60" s="536">
        <v>40466</v>
      </c>
      <c r="D60" s="664" t="s">
        <v>21</v>
      </c>
      <c r="E60" s="4">
        <v>10</v>
      </c>
      <c r="F60" s="4">
        <v>2</v>
      </c>
      <c r="G60" s="4">
        <v>7</v>
      </c>
      <c r="H60" s="948">
        <v>325</v>
      </c>
      <c r="I60" s="567">
        <v>44</v>
      </c>
      <c r="J60" s="98">
        <f>IF(H60&lt;&gt;0,I60/F60,"")</f>
        <v>22</v>
      </c>
      <c r="K60" s="233">
        <f>IF(H60&lt;&gt;0,H60/I60,"")</f>
        <v>7.386363636363637</v>
      </c>
      <c r="L60" s="714">
        <f>7088+2486+815+33+201+698+H60</f>
        <v>11646</v>
      </c>
      <c r="M60" s="40">
        <f>735+318+126+5+29+108+I60</f>
        <v>1365</v>
      </c>
      <c r="N60" s="302">
        <f>IF(L60&lt;&gt;0,L60/M60,"")</f>
        <v>8.531868131868132</v>
      </c>
      <c r="O60" s="103">
        <v>50</v>
      </c>
    </row>
    <row r="61" spans="1:15" s="94" customFormat="1" ht="12" customHeight="1">
      <c r="A61" s="95">
        <v>51</v>
      </c>
      <c r="B61" s="673" t="s">
        <v>249</v>
      </c>
      <c r="C61" s="564">
        <v>40564</v>
      </c>
      <c r="D61" s="556" t="s">
        <v>29</v>
      </c>
      <c r="E61" s="761">
        <v>135</v>
      </c>
      <c r="F61" s="762">
        <v>1</v>
      </c>
      <c r="G61" s="667">
        <v>81</v>
      </c>
      <c r="H61" s="763">
        <v>3597</v>
      </c>
      <c r="I61" s="669">
        <v>600</v>
      </c>
      <c r="J61" s="98">
        <f>I61/F61</f>
        <v>600</v>
      </c>
      <c r="K61" s="99">
        <f>H61/I61</f>
        <v>5.995</v>
      </c>
      <c r="L61" s="76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61" s="27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61" s="102">
        <f>+L61/M61</f>
        <v>6.633615736416841</v>
      </c>
      <c r="O61" s="103">
        <v>51</v>
      </c>
    </row>
    <row r="62" spans="1:15" s="94" customFormat="1" ht="12" customHeight="1">
      <c r="A62" s="95">
        <v>52</v>
      </c>
      <c r="B62" s="201" t="s">
        <v>278</v>
      </c>
      <c r="C62" s="32">
        <v>40529</v>
      </c>
      <c r="D62" s="30" t="s">
        <v>65</v>
      </c>
      <c r="E62" s="33">
        <v>5</v>
      </c>
      <c r="F62" s="33">
        <v>1</v>
      </c>
      <c r="G62" s="33">
        <v>9</v>
      </c>
      <c r="H62" s="595">
        <v>3025</v>
      </c>
      <c r="I62" s="596">
        <v>605</v>
      </c>
      <c r="J62" s="38">
        <f>I62/F62</f>
        <v>605</v>
      </c>
      <c r="K62" s="269">
        <f>H62/I62</f>
        <v>5</v>
      </c>
      <c r="L62" s="36">
        <v>30459</v>
      </c>
      <c r="M62" s="38">
        <v>3466</v>
      </c>
      <c r="N62" s="259">
        <f>L62/M62</f>
        <v>8.78793998845932</v>
      </c>
      <c r="O62" s="103">
        <v>52</v>
      </c>
    </row>
    <row r="63" spans="1:15" s="94" customFormat="1" ht="12" customHeight="1">
      <c r="A63" s="95">
        <v>53</v>
      </c>
      <c r="B63" s="191" t="s">
        <v>278</v>
      </c>
      <c r="C63" s="470">
        <v>40529</v>
      </c>
      <c r="D63" s="474" t="s">
        <v>65</v>
      </c>
      <c r="E63" s="192">
        <v>5</v>
      </c>
      <c r="F63" s="192">
        <v>1</v>
      </c>
      <c r="G63" s="192">
        <v>8</v>
      </c>
      <c r="H63" s="615">
        <v>747</v>
      </c>
      <c r="I63" s="616">
        <v>103</v>
      </c>
      <c r="J63" s="39">
        <f>I63/F63</f>
        <v>103</v>
      </c>
      <c r="K63" s="472">
        <f>H63/I63</f>
        <v>7.252427184466019</v>
      </c>
      <c r="L63" s="196">
        <v>27434</v>
      </c>
      <c r="M63" s="39">
        <v>2861</v>
      </c>
      <c r="N63" s="473">
        <f>L63/M63</f>
        <v>9.588954910870324</v>
      </c>
      <c r="O63" s="103">
        <v>53</v>
      </c>
    </row>
    <row r="64" spans="1:15" s="94" customFormat="1" ht="12" customHeight="1">
      <c r="A64" s="95">
        <v>54</v>
      </c>
      <c r="B64" s="469" t="s">
        <v>278</v>
      </c>
      <c r="C64" s="470">
        <v>40529</v>
      </c>
      <c r="D64" s="471" t="s">
        <v>279</v>
      </c>
      <c r="E64" s="235">
        <v>5</v>
      </c>
      <c r="F64" s="235">
        <v>4</v>
      </c>
      <c r="G64" s="235">
        <v>7</v>
      </c>
      <c r="H64" s="615">
        <v>1031</v>
      </c>
      <c r="I64" s="616">
        <v>163</v>
      </c>
      <c r="J64" s="39">
        <f>I64/F64</f>
        <v>40.75</v>
      </c>
      <c r="K64" s="472">
        <f>H64/I64</f>
        <v>6.325153374233129</v>
      </c>
      <c r="L64" s="196">
        <v>26687</v>
      </c>
      <c r="M64" s="39">
        <v>2758</v>
      </c>
      <c r="N64" s="473">
        <f>L64/M64</f>
        <v>9.676214648295867</v>
      </c>
      <c r="O64" s="103">
        <v>54</v>
      </c>
    </row>
    <row r="65" spans="1:15" s="94" customFormat="1" ht="12" customHeight="1">
      <c r="A65" s="95">
        <v>55</v>
      </c>
      <c r="B65" s="475" t="s">
        <v>278</v>
      </c>
      <c r="C65" s="476">
        <v>40529</v>
      </c>
      <c r="D65" s="471" t="s">
        <v>279</v>
      </c>
      <c r="E65" s="237">
        <v>5</v>
      </c>
      <c r="F65" s="237">
        <v>5</v>
      </c>
      <c r="G65" s="237">
        <v>6</v>
      </c>
      <c r="H65" s="764">
        <v>2708</v>
      </c>
      <c r="I65" s="449">
        <v>400</v>
      </c>
      <c r="J65" s="238">
        <f>I65/F65</f>
        <v>80</v>
      </c>
      <c r="K65" s="765">
        <f>H65/I65</f>
        <v>6.77</v>
      </c>
      <c r="L65" s="239">
        <v>25656</v>
      </c>
      <c r="M65" s="238">
        <v>2595</v>
      </c>
      <c r="N65" s="767">
        <f>L65/M65</f>
        <v>9.88670520231214</v>
      </c>
      <c r="O65" s="103">
        <v>55</v>
      </c>
    </row>
    <row r="66" spans="1:15" s="94" customFormat="1" ht="12" customHeight="1">
      <c r="A66" s="95">
        <v>56</v>
      </c>
      <c r="B66" s="236" t="s">
        <v>278</v>
      </c>
      <c r="C66" s="470">
        <v>40529</v>
      </c>
      <c r="D66" s="474" t="s">
        <v>279</v>
      </c>
      <c r="E66" s="192">
        <v>5</v>
      </c>
      <c r="F66" s="192">
        <v>3</v>
      </c>
      <c r="G66" s="192">
        <v>5</v>
      </c>
      <c r="H66" s="615">
        <v>3391</v>
      </c>
      <c r="I66" s="616">
        <v>400</v>
      </c>
      <c r="J66" s="39">
        <f>I66/F66</f>
        <v>133.33333333333334</v>
      </c>
      <c r="K66" s="472">
        <f>H66/I66</f>
        <v>8.4775</v>
      </c>
      <c r="L66" s="196">
        <v>22948</v>
      </c>
      <c r="M66" s="39">
        <v>2195</v>
      </c>
      <c r="N66" s="473">
        <f>L66/M66</f>
        <v>10.454669703872437</v>
      </c>
      <c r="O66" s="103">
        <v>56</v>
      </c>
    </row>
    <row r="67" spans="1:15" s="94" customFormat="1" ht="12" customHeight="1">
      <c r="A67" s="95">
        <v>57</v>
      </c>
      <c r="B67" s="469" t="s">
        <v>278</v>
      </c>
      <c r="C67" s="470">
        <v>40529</v>
      </c>
      <c r="D67" s="471" t="s">
        <v>279</v>
      </c>
      <c r="E67" s="235">
        <v>5</v>
      </c>
      <c r="F67" s="235">
        <v>5</v>
      </c>
      <c r="G67" s="235">
        <v>4</v>
      </c>
      <c r="H67" s="615">
        <v>4388</v>
      </c>
      <c r="I67" s="616">
        <v>375</v>
      </c>
      <c r="J67" s="39">
        <f>I67/F67</f>
        <v>75</v>
      </c>
      <c r="K67" s="472">
        <f>H67/I67</f>
        <v>11.701333333333332</v>
      </c>
      <c r="L67" s="196">
        <v>19557</v>
      </c>
      <c r="M67" s="39">
        <v>1795</v>
      </c>
      <c r="N67" s="473">
        <f>L67/M67</f>
        <v>10.895264623955432</v>
      </c>
      <c r="O67" s="103">
        <v>57</v>
      </c>
    </row>
    <row r="68" spans="1:15" s="94" customFormat="1" ht="12" customHeight="1">
      <c r="A68" s="95">
        <v>58</v>
      </c>
      <c r="B68" s="236" t="s">
        <v>278</v>
      </c>
      <c r="C68" s="470">
        <v>40529</v>
      </c>
      <c r="D68" s="471" t="s">
        <v>279</v>
      </c>
      <c r="E68" s="192">
        <v>5</v>
      </c>
      <c r="F68" s="192">
        <v>4</v>
      </c>
      <c r="G68" s="192">
        <v>3</v>
      </c>
      <c r="H68" s="668">
        <v>2473</v>
      </c>
      <c r="I68" s="616">
        <v>284</v>
      </c>
      <c r="J68" s="39">
        <f>I68/F68</f>
        <v>71</v>
      </c>
      <c r="K68" s="670">
        <f>H68/I68</f>
        <v>8.70774647887324</v>
      </c>
      <c r="L68" s="671">
        <v>15169</v>
      </c>
      <c r="M68" s="39">
        <v>1420</v>
      </c>
      <c r="N68" s="473">
        <f>L68/M68</f>
        <v>10.682394366197183</v>
      </c>
      <c r="O68" s="103">
        <v>58</v>
      </c>
    </row>
    <row r="69" spans="1:15" s="94" customFormat="1" ht="12" customHeight="1">
      <c r="A69" s="95">
        <v>59</v>
      </c>
      <c r="B69" s="213" t="s">
        <v>280</v>
      </c>
      <c r="C69" s="32">
        <v>40298</v>
      </c>
      <c r="D69" s="199" t="s">
        <v>32</v>
      </c>
      <c r="E69" s="202">
        <v>10</v>
      </c>
      <c r="F69" s="202">
        <v>1</v>
      </c>
      <c r="G69" s="202">
        <v>22</v>
      </c>
      <c r="H69" s="392">
        <v>952</v>
      </c>
      <c r="I69" s="393">
        <v>238</v>
      </c>
      <c r="J69" s="112">
        <f>(I69/F69)</f>
        <v>238</v>
      </c>
      <c r="K69" s="195">
        <f>H69/I69</f>
        <v>4</v>
      </c>
      <c r="L69" s="12">
        <f>83892.5+865+192+477+220.5+1901+2138.5+1307+952</f>
        <v>91945.5</v>
      </c>
      <c r="M69" s="13">
        <f>10300+144+24+59+48+475+534+327+238</f>
        <v>12149</v>
      </c>
      <c r="N69" s="197">
        <f>L69/M69</f>
        <v>7.568153757510906</v>
      </c>
      <c r="O69" s="103">
        <v>59</v>
      </c>
    </row>
    <row r="70" spans="1:15" s="94" customFormat="1" ht="12" customHeight="1">
      <c r="A70" s="95">
        <v>60</v>
      </c>
      <c r="B70" s="213" t="s">
        <v>280</v>
      </c>
      <c r="C70" s="32">
        <v>40298</v>
      </c>
      <c r="D70" s="199" t="s">
        <v>32</v>
      </c>
      <c r="E70" s="202">
        <v>10</v>
      </c>
      <c r="F70" s="202">
        <v>1</v>
      </c>
      <c r="G70" s="202">
        <v>21</v>
      </c>
      <c r="H70" s="392">
        <v>1307</v>
      </c>
      <c r="I70" s="393">
        <v>327</v>
      </c>
      <c r="J70" s="112">
        <f>(I70/F70)</f>
        <v>327</v>
      </c>
      <c r="K70" s="195">
        <f>H70/I70</f>
        <v>3.996941896024465</v>
      </c>
      <c r="L70" s="12">
        <f>83892.5+865+192+477+220.5+1901+2138.5+1307</f>
        <v>90993.5</v>
      </c>
      <c r="M70" s="13">
        <f>10300+144+24+59+48+475+534+327</f>
        <v>11911</v>
      </c>
      <c r="N70" s="197">
        <f>L70/M70</f>
        <v>7.639450927713878</v>
      </c>
      <c r="O70" s="103">
        <v>60</v>
      </c>
    </row>
    <row r="71" spans="1:15" s="94" customFormat="1" ht="12" customHeight="1">
      <c r="A71" s="95">
        <v>61</v>
      </c>
      <c r="B71" s="201" t="s">
        <v>281</v>
      </c>
      <c r="C71" s="32">
        <v>39577</v>
      </c>
      <c r="D71" s="30" t="s">
        <v>141</v>
      </c>
      <c r="E71" s="33">
        <v>11</v>
      </c>
      <c r="F71" s="33">
        <v>1</v>
      </c>
      <c r="G71" s="33">
        <v>19</v>
      </c>
      <c r="H71" s="617">
        <v>712</v>
      </c>
      <c r="I71" s="618">
        <v>142</v>
      </c>
      <c r="J71" s="115">
        <v>142</v>
      </c>
      <c r="K71" s="477">
        <v>5.014084507042254</v>
      </c>
      <c r="L71" s="240">
        <v>102695</v>
      </c>
      <c r="M71" s="241">
        <v>11305</v>
      </c>
      <c r="N71" s="242">
        <v>9.084033613445378</v>
      </c>
      <c r="O71" s="103">
        <v>61</v>
      </c>
    </row>
    <row r="72" spans="1:15" s="94" customFormat="1" ht="12" customHeight="1">
      <c r="A72" s="95">
        <v>62</v>
      </c>
      <c r="B72" s="223" t="s">
        <v>149</v>
      </c>
      <c r="C72" s="2">
        <v>40452</v>
      </c>
      <c r="D72" s="19" t="s">
        <v>21</v>
      </c>
      <c r="E72" s="3">
        <v>148</v>
      </c>
      <c r="F72" s="3">
        <v>1</v>
      </c>
      <c r="G72" s="3">
        <v>17</v>
      </c>
      <c r="H72" s="593">
        <v>468</v>
      </c>
      <c r="I72" s="594">
        <v>78</v>
      </c>
      <c r="J72" s="101">
        <f>IF(H72&lt;&gt;0,I72/F72,"")</f>
        <v>78</v>
      </c>
      <c r="K72" s="231">
        <f>IF(H72&lt;&gt;0,H72/I72,"")</f>
        <v>6</v>
      </c>
      <c r="L72" s="35">
        <f>896117+528+390+468</f>
        <v>897503</v>
      </c>
      <c r="M72" s="38">
        <f>104061+88+65+78</f>
        <v>104292</v>
      </c>
      <c r="N72" s="232">
        <f>IF(L72&lt;&gt;0,L72/M72,"")</f>
        <v>8.605674452498754</v>
      </c>
      <c r="O72" s="103">
        <v>62</v>
      </c>
    </row>
    <row r="73" spans="1:15" s="94" customFormat="1" ht="12" customHeight="1">
      <c r="A73" s="95">
        <v>63</v>
      </c>
      <c r="B73" s="226" t="s">
        <v>149</v>
      </c>
      <c r="C73" s="2">
        <v>40452</v>
      </c>
      <c r="D73" s="20" t="s">
        <v>21</v>
      </c>
      <c r="E73" s="5">
        <v>148</v>
      </c>
      <c r="F73" s="5">
        <v>1</v>
      </c>
      <c r="G73" s="5">
        <v>16</v>
      </c>
      <c r="H73" s="593">
        <v>390</v>
      </c>
      <c r="I73" s="594">
        <v>65</v>
      </c>
      <c r="J73" s="101">
        <f>+I73/F73</f>
        <v>65</v>
      </c>
      <c r="K73" s="231">
        <f>+H73/I73</f>
        <v>6</v>
      </c>
      <c r="L73" s="35">
        <f>896117+528+390</f>
        <v>897035</v>
      </c>
      <c r="M73" s="38">
        <f>104061+88+65</f>
        <v>104214</v>
      </c>
      <c r="N73" s="232">
        <f>IF(L73&lt;&gt;0,L73/M73,"")</f>
        <v>8.607624695338439</v>
      </c>
      <c r="O73" s="103">
        <v>63</v>
      </c>
    </row>
    <row r="74" spans="1:15" s="94" customFormat="1" ht="12" customHeight="1">
      <c r="A74" s="95">
        <v>64</v>
      </c>
      <c r="B74" s="221" t="s">
        <v>149</v>
      </c>
      <c r="C74" s="2">
        <v>40452</v>
      </c>
      <c r="D74" s="22" t="s">
        <v>21</v>
      </c>
      <c r="E74" s="3">
        <v>148</v>
      </c>
      <c r="F74" s="3">
        <v>1</v>
      </c>
      <c r="G74" s="3">
        <v>15</v>
      </c>
      <c r="H74" s="593">
        <v>528</v>
      </c>
      <c r="I74" s="594">
        <v>88</v>
      </c>
      <c r="J74" s="101">
        <f>IF(H74&lt;&gt;0,I74/F74,"")</f>
        <v>88</v>
      </c>
      <c r="K74" s="231">
        <f>IF(H74&lt;&gt;0,H74/I74,"")</f>
        <v>6</v>
      </c>
      <c r="L74" s="35">
        <f>896117+528</f>
        <v>896645</v>
      </c>
      <c r="M74" s="38">
        <f>104061+88</f>
        <v>104149</v>
      </c>
      <c r="N74" s="232">
        <f>IF(L74&lt;&gt;0,L74/M74,"")</f>
        <v>8.609252129161106</v>
      </c>
      <c r="O74" s="103">
        <v>64</v>
      </c>
    </row>
    <row r="75" spans="1:15" s="94" customFormat="1" ht="12" customHeight="1">
      <c r="A75" s="95">
        <v>65</v>
      </c>
      <c r="B75" s="223" t="s">
        <v>149</v>
      </c>
      <c r="C75" s="2">
        <v>40452</v>
      </c>
      <c r="D75" s="22" t="s">
        <v>21</v>
      </c>
      <c r="E75" s="3">
        <v>148</v>
      </c>
      <c r="F75" s="3">
        <v>3</v>
      </c>
      <c r="G75" s="3">
        <v>14</v>
      </c>
      <c r="H75" s="614">
        <v>4104.5</v>
      </c>
      <c r="I75" s="594">
        <v>531</v>
      </c>
      <c r="J75" s="101">
        <f>IF(H75&lt;&gt;0,I75/F75,"")</f>
        <v>177</v>
      </c>
      <c r="K75" s="243">
        <f>IF(H75&lt;&gt;0,H75/I75,"")</f>
        <v>7.7297551789077215</v>
      </c>
      <c r="L75" s="34">
        <f>699440.5+93480+55329+21058.5+2054+5186.5+3036+2522+4090+1329+2064+2423+H75</f>
        <v>896117</v>
      </c>
      <c r="M75" s="38">
        <f>74937+13125+8283+3296+346+1058+497+365+749+203+322+349+531</f>
        <v>104061</v>
      </c>
      <c r="N75" s="232">
        <f>IF(L75&lt;&gt;0,L75/M75,"")</f>
        <v>8.611458663668426</v>
      </c>
      <c r="O75" s="103">
        <v>65</v>
      </c>
    </row>
    <row r="76" spans="1:15" s="94" customFormat="1" ht="12" customHeight="1">
      <c r="A76" s="95">
        <v>66</v>
      </c>
      <c r="B76" s="201" t="s">
        <v>282</v>
      </c>
      <c r="C76" s="32">
        <v>40473</v>
      </c>
      <c r="D76" s="30" t="s">
        <v>32</v>
      </c>
      <c r="E76" s="33">
        <v>28</v>
      </c>
      <c r="F76" s="33">
        <v>1</v>
      </c>
      <c r="G76" s="33">
        <v>14</v>
      </c>
      <c r="H76" s="392">
        <v>555.5</v>
      </c>
      <c r="I76" s="393">
        <v>69</v>
      </c>
      <c r="J76" s="112">
        <f>(I76/F76)</f>
        <v>69</v>
      </c>
      <c r="K76" s="195">
        <f>H76/I76</f>
        <v>8.05072463768116</v>
      </c>
      <c r="L76" s="12">
        <f>152569.5+122205.5+10562+6863.5+9619+5655+1726.5+3593+4508+310+2166+2675+594+555.5</f>
        <v>323602.5</v>
      </c>
      <c r="M76" s="13">
        <f>12992+10278+1201+886+1535+877+246+644+1351+56+302+301+115+69</f>
        <v>30853</v>
      </c>
      <c r="N76" s="197">
        <f>L76/M76</f>
        <v>10.488526237318899</v>
      </c>
      <c r="O76" s="103">
        <v>66</v>
      </c>
    </row>
    <row r="77" spans="1:15" s="94" customFormat="1" ht="12" customHeight="1">
      <c r="A77" s="95">
        <v>67</v>
      </c>
      <c r="B77" s="201" t="s">
        <v>282</v>
      </c>
      <c r="C77" s="32">
        <v>40473</v>
      </c>
      <c r="D77" s="199" t="s">
        <v>32</v>
      </c>
      <c r="E77" s="33">
        <v>28</v>
      </c>
      <c r="F77" s="33">
        <v>1</v>
      </c>
      <c r="G77" s="33">
        <v>13</v>
      </c>
      <c r="H77" s="392">
        <v>594</v>
      </c>
      <c r="I77" s="393">
        <v>115</v>
      </c>
      <c r="J77" s="112">
        <f>(I77/F77)</f>
        <v>115</v>
      </c>
      <c r="K77" s="195">
        <f>H77/I77</f>
        <v>5.165217391304348</v>
      </c>
      <c r="L77" s="12">
        <f>152569.5+122205.5+10562+6863.5+9619+5655+1726.5+3593+4508+310+2166+2675+594</f>
        <v>323047</v>
      </c>
      <c r="M77" s="13">
        <f>12992+10278+1201+886+1535+877+246+644+1351+56+302+301+115</f>
        <v>30784</v>
      </c>
      <c r="N77" s="197">
        <f>L77/M77</f>
        <v>10.493990384615385</v>
      </c>
      <c r="O77" s="103">
        <v>67</v>
      </c>
    </row>
    <row r="78" spans="1:15" s="94" customFormat="1" ht="12" customHeight="1">
      <c r="A78" s="95">
        <v>68</v>
      </c>
      <c r="B78" s="198" t="s">
        <v>282</v>
      </c>
      <c r="C78" s="32">
        <v>40473</v>
      </c>
      <c r="D78" s="199" t="s">
        <v>32</v>
      </c>
      <c r="E78" s="33">
        <v>28</v>
      </c>
      <c r="F78" s="33">
        <v>1</v>
      </c>
      <c r="G78" s="33">
        <v>12</v>
      </c>
      <c r="H78" s="392">
        <v>2675</v>
      </c>
      <c r="I78" s="393">
        <v>301</v>
      </c>
      <c r="J78" s="112">
        <f>(I78/F78)</f>
        <v>301</v>
      </c>
      <c r="K78" s="195">
        <f>H78/I78</f>
        <v>8.887043189368772</v>
      </c>
      <c r="L78" s="12">
        <f>152569.5+122205.5+10562+6863.5+9619+5655+1726.5+3593+4508+310+2166+2675</f>
        <v>322453</v>
      </c>
      <c r="M78" s="13">
        <f>12992+10278+1201+886+1535+877+246+644+1351+56+302+301</f>
        <v>30669</v>
      </c>
      <c r="N78" s="197">
        <f>L78/M78</f>
        <v>10.51397176301803</v>
      </c>
      <c r="O78" s="103">
        <v>68</v>
      </c>
    </row>
    <row r="79" spans="1:15" s="94" customFormat="1" ht="12" customHeight="1">
      <c r="A79" s="95">
        <v>69</v>
      </c>
      <c r="B79" s="198" t="s">
        <v>282</v>
      </c>
      <c r="C79" s="32">
        <v>40473</v>
      </c>
      <c r="D79" s="199" t="s">
        <v>32</v>
      </c>
      <c r="E79" s="33">
        <v>28</v>
      </c>
      <c r="F79" s="33">
        <v>3</v>
      </c>
      <c r="G79" s="33">
        <v>11</v>
      </c>
      <c r="H79" s="608">
        <v>2166</v>
      </c>
      <c r="I79" s="393">
        <v>302</v>
      </c>
      <c r="J79" s="112">
        <f>(I79/F79)</f>
        <v>100.66666666666667</v>
      </c>
      <c r="K79" s="200">
        <f>H79/I79</f>
        <v>7.172185430463577</v>
      </c>
      <c r="L79" s="26">
        <f>152569.5+122205.5+10562+6863.5+9619+5655+1726.5+3593+4508+310+2166</f>
        <v>319778</v>
      </c>
      <c r="M79" s="13">
        <f>12992+10278+1201+886+1535+877+246+644+1351+56+302</f>
        <v>30368</v>
      </c>
      <c r="N79" s="197">
        <f>L79/M79</f>
        <v>10.53009747102213</v>
      </c>
      <c r="O79" s="103">
        <v>69</v>
      </c>
    </row>
    <row r="80" spans="1:15" s="94" customFormat="1" ht="12" customHeight="1">
      <c r="A80" s="95">
        <v>70</v>
      </c>
      <c r="B80" s="201" t="s">
        <v>283</v>
      </c>
      <c r="C80" s="32">
        <v>40333</v>
      </c>
      <c r="D80" s="199" t="s">
        <v>32</v>
      </c>
      <c r="E80" s="33">
        <v>5</v>
      </c>
      <c r="F80" s="33">
        <v>1</v>
      </c>
      <c r="G80" s="33">
        <v>17</v>
      </c>
      <c r="H80" s="392">
        <v>950.5</v>
      </c>
      <c r="I80" s="393">
        <v>238</v>
      </c>
      <c r="J80" s="112">
        <f>(I80/F80)</f>
        <v>238</v>
      </c>
      <c r="K80" s="195">
        <f>H80/I80</f>
        <v>3.9936974789915967</v>
      </c>
      <c r="L80" s="12">
        <f>36730.5+564+1413+1445+1680+605+2036+437+950.5</f>
        <v>45861</v>
      </c>
      <c r="M80" s="13">
        <f>3877+97+237+234+280+110+317+78+238</f>
        <v>5468</v>
      </c>
      <c r="N80" s="197">
        <f>L80/M80</f>
        <v>8.38716166788588</v>
      </c>
      <c r="O80" s="103">
        <v>70</v>
      </c>
    </row>
    <row r="81" spans="1:15" s="94" customFormat="1" ht="12" customHeight="1">
      <c r="A81" s="95">
        <v>71</v>
      </c>
      <c r="B81" s="201" t="s">
        <v>284</v>
      </c>
      <c r="C81" s="32">
        <v>40123</v>
      </c>
      <c r="D81" s="30" t="s">
        <v>141</v>
      </c>
      <c r="E81" s="33">
        <v>25</v>
      </c>
      <c r="F81" s="33">
        <v>1</v>
      </c>
      <c r="G81" s="33">
        <v>15</v>
      </c>
      <c r="H81" s="617">
        <v>712</v>
      </c>
      <c r="I81" s="618">
        <v>142</v>
      </c>
      <c r="J81" s="115">
        <v>142</v>
      </c>
      <c r="K81" s="477">
        <v>5.014084507042254</v>
      </c>
      <c r="L81" s="240">
        <v>274310</v>
      </c>
      <c r="M81" s="241">
        <v>22843</v>
      </c>
      <c r="N81" s="242">
        <v>12.008492754892089</v>
      </c>
      <c r="O81" s="103">
        <v>71</v>
      </c>
    </row>
    <row r="82" spans="1:15" s="94" customFormat="1" ht="12" customHeight="1">
      <c r="A82" s="95">
        <v>72</v>
      </c>
      <c r="B82" s="213" t="s">
        <v>285</v>
      </c>
      <c r="C82" s="32">
        <v>40102</v>
      </c>
      <c r="D82" s="199" t="s">
        <v>32</v>
      </c>
      <c r="E82" s="202">
        <v>22</v>
      </c>
      <c r="F82" s="202">
        <v>1</v>
      </c>
      <c r="G82" s="202">
        <v>13</v>
      </c>
      <c r="H82" s="392">
        <v>952</v>
      </c>
      <c r="I82" s="393">
        <v>238</v>
      </c>
      <c r="J82" s="112">
        <f>(I82/F82)</f>
        <v>238</v>
      </c>
      <c r="K82" s="195">
        <f>H82/I82</f>
        <v>4</v>
      </c>
      <c r="L82" s="12">
        <f>129717.5+110957+18478+6527+6853.5+1081.5+738.5+250+165+404+829.5+186+952</f>
        <v>277139.5</v>
      </c>
      <c r="M82" s="13">
        <f>10402+8975+1885+691+1109+369+262+48+23+69+109+24+238</f>
        <v>24204</v>
      </c>
      <c r="N82" s="197">
        <f>L82/M82</f>
        <v>11.450152867294662</v>
      </c>
      <c r="O82" s="103">
        <v>72</v>
      </c>
    </row>
    <row r="83" spans="1:15" s="94" customFormat="1" ht="12" customHeight="1">
      <c r="A83" s="95">
        <v>73</v>
      </c>
      <c r="B83" s="226" t="s">
        <v>150</v>
      </c>
      <c r="C83" s="2">
        <v>40529</v>
      </c>
      <c r="D83" s="20" t="s">
        <v>142</v>
      </c>
      <c r="E83" s="5">
        <v>81</v>
      </c>
      <c r="F83" s="5">
        <v>1</v>
      </c>
      <c r="G83" s="5">
        <v>12</v>
      </c>
      <c r="H83" s="621">
        <v>176</v>
      </c>
      <c r="I83" s="620">
        <v>26</v>
      </c>
      <c r="J83" s="246">
        <f>I83/F83</f>
        <v>26</v>
      </c>
      <c r="K83" s="247">
        <f>H83/I83</f>
        <v>6.769230769230769</v>
      </c>
      <c r="L83" s="248">
        <v>487699</v>
      </c>
      <c r="M83" s="249">
        <v>59278</v>
      </c>
      <c r="N83" s="250">
        <f>+L83/M83</f>
        <v>8.227318735449915</v>
      </c>
      <c r="O83" s="103">
        <v>73</v>
      </c>
    </row>
    <row r="84" spans="1:15" s="94" customFormat="1" ht="12" customHeight="1">
      <c r="A84" s="95">
        <v>74</v>
      </c>
      <c r="B84" s="226" t="s">
        <v>150</v>
      </c>
      <c r="C84" s="2">
        <v>40529</v>
      </c>
      <c r="D84" s="20" t="s">
        <v>142</v>
      </c>
      <c r="E84" s="5">
        <v>81</v>
      </c>
      <c r="F84" s="5">
        <v>1</v>
      </c>
      <c r="G84" s="5">
        <v>9</v>
      </c>
      <c r="H84" s="621">
        <v>427</v>
      </c>
      <c r="I84" s="620">
        <v>52</v>
      </c>
      <c r="J84" s="246">
        <f>I84/F84</f>
        <v>52</v>
      </c>
      <c r="K84" s="247">
        <f>H84/I84</f>
        <v>8.211538461538462</v>
      </c>
      <c r="L84" s="248">
        <v>484902</v>
      </c>
      <c r="M84" s="249">
        <v>58658</v>
      </c>
      <c r="N84" s="250">
        <f>+L84/M84</f>
        <v>8.266596201711616</v>
      </c>
      <c r="O84" s="103">
        <v>74</v>
      </c>
    </row>
    <row r="85" spans="1:15" s="94" customFormat="1" ht="12" customHeight="1">
      <c r="A85" s="95">
        <v>75</v>
      </c>
      <c r="B85" s="226" t="s">
        <v>150</v>
      </c>
      <c r="C85" s="2">
        <v>40529</v>
      </c>
      <c r="D85" s="20" t="s">
        <v>142</v>
      </c>
      <c r="E85" s="5">
        <v>81</v>
      </c>
      <c r="F85" s="5">
        <v>1</v>
      </c>
      <c r="G85" s="5">
        <v>8</v>
      </c>
      <c r="H85" s="621">
        <v>997</v>
      </c>
      <c r="I85" s="620">
        <v>367</v>
      </c>
      <c r="J85" s="246">
        <f>I85/F85</f>
        <v>367</v>
      </c>
      <c r="K85" s="247">
        <f>H85/I85</f>
        <v>2.7166212534059944</v>
      </c>
      <c r="L85" s="248">
        <v>485472</v>
      </c>
      <c r="M85" s="249">
        <v>58973</v>
      </c>
      <c r="N85" s="250">
        <f>+L85/M85</f>
        <v>8.232106218099808</v>
      </c>
      <c r="O85" s="103">
        <v>75</v>
      </c>
    </row>
    <row r="86" spans="1:15" s="94" customFormat="1" ht="12" customHeight="1">
      <c r="A86" s="95">
        <v>76</v>
      </c>
      <c r="B86" s="226" t="s">
        <v>150</v>
      </c>
      <c r="C86" s="2">
        <v>40529</v>
      </c>
      <c r="D86" s="20" t="s">
        <v>142</v>
      </c>
      <c r="E86" s="5">
        <v>81</v>
      </c>
      <c r="F86" s="5">
        <v>2</v>
      </c>
      <c r="G86" s="5">
        <v>7</v>
      </c>
      <c r="H86" s="621">
        <v>2351</v>
      </c>
      <c r="I86" s="620">
        <v>769</v>
      </c>
      <c r="J86" s="246">
        <f>I86/F86</f>
        <v>384.5</v>
      </c>
      <c r="K86" s="247">
        <f>H86/I86</f>
        <v>3.057217165149545</v>
      </c>
      <c r="L86" s="248">
        <v>483585</v>
      </c>
      <c r="M86" s="249">
        <v>58275</v>
      </c>
      <c r="N86" s="222">
        <f>+L86/M86</f>
        <v>8.298326898326899</v>
      </c>
      <c r="O86" s="103">
        <v>76</v>
      </c>
    </row>
    <row r="87" spans="1:15" s="94" customFormat="1" ht="12" customHeight="1">
      <c r="A87" s="95">
        <v>77</v>
      </c>
      <c r="B87" s="251" t="s">
        <v>150</v>
      </c>
      <c r="C87" s="2">
        <v>40529</v>
      </c>
      <c r="D87" s="20" t="s">
        <v>142</v>
      </c>
      <c r="E87" s="5">
        <v>81</v>
      </c>
      <c r="F87" s="5">
        <v>4</v>
      </c>
      <c r="G87" s="5">
        <v>6</v>
      </c>
      <c r="H87" s="621">
        <v>2875</v>
      </c>
      <c r="I87" s="620">
        <v>650</v>
      </c>
      <c r="J87" s="112">
        <f>(I87/F87)</f>
        <v>162.5</v>
      </c>
      <c r="K87" s="195">
        <f>H87/I87</f>
        <v>4.423076923076923</v>
      </c>
      <c r="L87" s="248">
        <v>481235</v>
      </c>
      <c r="M87" s="249">
        <v>57506</v>
      </c>
      <c r="N87" s="197">
        <f>L87/M87</f>
        <v>8.368431120230932</v>
      </c>
      <c r="O87" s="103">
        <v>77</v>
      </c>
    </row>
    <row r="88" spans="1:15" s="94" customFormat="1" ht="12" customHeight="1">
      <c r="A88" s="95">
        <v>78</v>
      </c>
      <c r="B88" s="226" t="s">
        <v>150</v>
      </c>
      <c r="C88" s="2">
        <v>40529</v>
      </c>
      <c r="D88" s="20" t="s">
        <v>142</v>
      </c>
      <c r="E88" s="5">
        <v>81</v>
      </c>
      <c r="F88" s="5">
        <v>5</v>
      </c>
      <c r="G88" s="5">
        <v>5</v>
      </c>
      <c r="H88" s="621">
        <v>5631</v>
      </c>
      <c r="I88" s="620">
        <v>879</v>
      </c>
      <c r="J88" s="246">
        <f>I88/F88</f>
        <v>175.8</v>
      </c>
      <c r="K88" s="247">
        <f>H88/I88</f>
        <v>6.406143344709897</v>
      </c>
      <c r="L88" s="248">
        <v>478360</v>
      </c>
      <c r="M88" s="249">
        <v>56856</v>
      </c>
      <c r="N88" s="250">
        <f>+L88/M88</f>
        <v>8.413535950471367</v>
      </c>
      <c r="O88" s="103">
        <v>78</v>
      </c>
    </row>
    <row r="89" spans="1:15" s="94" customFormat="1" ht="12" customHeight="1">
      <c r="A89" s="95">
        <v>79</v>
      </c>
      <c r="B89" s="226" t="s">
        <v>150</v>
      </c>
      <c r="C89" s="2">
        <v>40529</v>
      </c>
      <c r="D89" s="24" t="s">
        <v>142</v>
      </c>
      <c r="E89" s="5">
        <v>81</v>
      </c>
      <c r="F89" s="5">
        <v>5</v>
      </c>
      <c r="G89" s="5">
        <v>4</v>
      </c>
      <c r="H89" s="621">
        <v>431</v>
      </c>
      <c r="I89" s="620">
        <v>43</v>
      </c>
      <c r="J89" s="246">
        <f>I89/F89</f>
        <v>8.6</v>
      </c>
      <c r="K89" s="247">
        <f>H89/I89</f>
        <v>10.023255813953488</v>
      </c>
      <c r="L89" s="248">
        <v>472729</v>
      </c>
      <c r="M89" s="249">
        <v>55977</v>
      </c>
      <c r="N89" s="250">
        <f>+L89/M89</f>
        <v>8.445057791592976</v>
      </c>
      <c r="O89" s="103">
        <v>79</v>
      </c>
    </row>
    <row r="90" spans="1:15" s="94" customFormat="1" ht="12" customHeight="1">
      <c r="A90" s="95">
        <v>80</v>
      </c>
      <c r="B90" s="251" t="s">
        <v>150</v>
      </c>
      <c r="C90" s="2">
        <v>40529</v>
      </c>
      <c r="D90" s="24" t="s">
        <v>142</v>
      </c>
      <c r="E90" s="5">
        <v>81</v>
      </c>
      <c r="F90" s="5">
        <v>69</v>
      </c>
      <c r="G90" s="5">
        <v>3</v>
      </c>
      <c r="H90" s="619">
        <v>90040</v>
      </c>
      <c r="I90" s="620">
        <v>10688</v>
      </c>
      <c r="J90" s="246">
        <f>I90/F90</f>
        <v>154.8985507246377</v>
      </c>
      <c r="K90" s="260">
        <f>H90/I90</f>
        <v>8.42440119760479</v>
      </c>
      <c r="L90" s="289">
        <v>472298</v>
      </c>
      <c r="M90" s="249">
        <v>55934</v>
      </c>
      <c r="N90" s="250">
        <f>+L90/M90</f>
        <v>8.443844531054458</v>
      </c>
      <c r="O90" s="103">
        <v>80</v>
      </c>
    </row>
    <row r="91" spans="1:15" s="94" customFormat="1" ht="12" customHeight="1">
      <c r="A91" s="95">
        <v>81</v>
      </c>
      <c r="B91" s="555" t="s">
        <v>271</v>
      </c>
      <c r="C91" s="206">
        <v>40529</v>
      </c>
      <c r="D91" s="118" t="s">
        <v>32</v>
      </c>
      <c r="E91" s="207">
        <v>147</v>
      </c>
      <c r="F91" s="207">
        <v>1</v>
      </c>
      <c r="G91" s="207">
        <v>14</v>
      </c>
      <c r="H91" s="392">
        <v>1188</v>
      </c>
      <c r="I91" s="393">
        <v>297</v>
      </c>
      <c r="J91" s="101">
        <f>I91/F91</f>
        <v>297</v>
      </c>
      <c r="K91" s="100">
        <f>H91/I91</f>
        <v>4</v>
      </c>
      <c r="L91" s="12">
        <f>691567.5+648414.5+518408+71321.5+45526+17480+7409+4406.5+1874+5613.5+4027+1099+82+1188</f>
        <v>2018416.5</v>
      </c>
      <c r="M91" s="13">
        <f>79327+75064+61133+10266+7792+4345+1731+935+303+1204+784+172+12+297</f>
        <v>243365</v>
      </c>
      <c r="N91" s="126">
        <f>+L91/M91</f>
        <v>8.293783000842357</v>
      </c>
      <c r="O91" s="103">
        <v>81</v>
      </c>
    </row>
    <row r="92" spans="1:15" s="94" customFormat="1" ht="12" customHeight="1">
      <c r="A92" s="95">
        <v>82</v>
      </c>
      <c r="B92" s="205" t="s">
        <v>271</v>
      </c>
      <c r="C92" s="206">
        <v>40529</v>
      </c>
      <c r="D92" s="464" t="s">
        <v>138</v>
      </c>
      <c r="E92" s="207">
        <v>147</v>
      </c>
      <c r="F92" s="207">
        <v>1</v>
      </c>
      <c r="G92" s="207">
        <v>13</v>
      </c>
      <c r="H92" s="603">
        <v>82</v>
      </c>
      <c r="I92" s="611">
        <v>12</v>
      </c>
      <c r="J92" s="101">
        <f>I92/F92</f>
        <v>12</v>
      </c>
      <c r="K92" s="100">
        <f>H92/I92</f>
        <v>6.833333333333333</v>
      </c>
      <c r="L92" s="210">
        <f>691567.5+648414.5+518408+71321.5+45526+17480+7409+4406.5+1874+5613.5+4027+1099+82</f>
        <v>2017228.5</v>
      </c>
      <c r="M92" s="211">
        <f>79327+75064+61133+10266+7792+4345+1731+935+303+1204+784+172+12</f>
        <v>243068</v>
      </c>
      <c r="N92" s="126">
        <f>+L92/M92</f>
        <v>8.299029489690128</v>
      </c>
      <c r="O92" s="103">
        <v>82</v>
      </c>
    </row>
    <row r="93" spans="1:15" s="94" customFormat="1" ht="12" customHeight="1">
      <c r="A93" s="95">
        <v>83</v>
      </c>
      <c r="B93" s="201" t="s">
        <v>151</v>
      </c>
      <c r="C93" s="32">
        <v>40529</v>
      </c>
      <c r="D93" s="30" t="s">
        <v>32</v>
      </c>
      <c r="E93" s="33">
        <v>147</v>
      </c>
      <c r="F93" s="33">
        <v>3</v>
      </c>
      <c r="G93" s="33">
        <v>12</v>
      </c>
      <c r="H93" s="392">
        <v>1099</v>
      </c>
      <c r="I93" s="393">
        <v>172</v>
      </c>
      <c r="J93" s="112">
        <f>(I93/F93)</f>
        <v>57.333333333333336</v>
      </c>
      <c r="K93" s="195">
        <f>H93/I93</f>
        <v>6.3895348837209305</v>
      </c>
      <c r="L93" s="12">
        <f>691567.5+648414.5+518408+71321.5+45526+17480+7409+4406.5+1874+5613.5+4027+1099</f>
        <v>2017146.5</v>
      </c>
      <c r="M93" s="13">
        <f>79327+75064+61133+10266+7792+4345+1731+935+303+1204+784+172</f>
        <v>243056</v>
      </c>
      <c r="N93" s="197">
        <f>L93/M93</f>
        <v>8.299101853070898</v>
      </c>
      <c r="O93" s="103">
        <v>83</v>
      </c>
    </row>
    <row r="94" spans="1:15" s="94" customFormat="1" ht="12" customHeight="1">
      <c r="A94" s="95">
        <v>84</v>
      </c>
      <c r="B94" s="213" t="s">
        <v>151</v>
      </c>
      <c r="C94" s="32">
        <v>40529</v>
      </c>
      <c r="D94" s="199" t="s">
        <v>32</v>
      </c>
      <c r="E94" s="202">
        <v>147</v>
      </c>
      <c r="F94" s="202">
        <v>5</v>
      </c>
      <c r="G94" s="202">
        <v>11</v>
      </c>
      <c r="H94" s="608">
        <v>4027</v>
      </c>
      <c r="I94" s="622">
        <v>784</v>
      </c>
      <c r="J94" s="203">
        <f>(I94/F94)</f>
        <v>156.8</v>
      </c>
      <c r="K94" s="200">
        <f>H94/I94</f>
        <v>5.136479591836735</v>
      </c>
      <c r="L94" s="26">
        <f>691567.5+648414.5+518408+71321.5+45526+17480+7409+4406.5+1874+5613.5+4027</f>
        <v>2016047.5</v>
      </c>
      <c r="M94" s="27">
        <f>79327+75064+61133+10266+7792+4345+1731+935+303+1204+784</f>
        <v>242884</v>
      </c>
      <c r="N94" s="197">
        <f>L94/M94</f>
        <v>8.300454126249567</v>
      </c>
      <c r="O94" s="103">
        <v>84</v>
      </c>
    </row>
    <row r="95" spans="1:15" s="94" customFormat="1" ht="12" customHeight="1">
      <c r="A95" s="95">
        <v>85</v>
      </c>
      <c r="B95" s="213" t="s">
        <v>151</v>
      </c>
      <c r="C95" s="32">
        <v>40529</v>
      </c>
      <c r="D95" s="199" t="s">
        <v>32</v>
      </c>
      <c r="E95" s="202">
        <v>147</v>
      </c>
      <c r="F95" s="202">
        <v>7</v>
      </c>
      <c r="G95" s="202">
        <v>10</v>
      </c>
      <c r="H95" s="392">
        <v>5445.5</v>
      </c>
      <c r="I95" s="393">
        <v>1176</v>
      </c>
      <c r="J95" s="112">
        <f>(I95/F95)</f>
        <v>168</v>
      </c>
      <c r="K95" s="195">
        <f>H95/I95</f>
        <v>4.630527210884353</v>
      </c>
      <c r="L95" s="12">
        <f>691567.5+648414.5+518408+71321.5+45526+17480+7409+4406.5+1874+5445.5</f>
        <v>2011852.5</v>
      </c>
      <c r="M95" s="13">
        <f>79327+75064+61133+10266+7792+4345+1731+935+303+1176</f>
        <v>242072</v>
      </c>
      <c r="N95" s="197">
        <f>L95/M95</f>
        <v>8.310967398129483</v>
      </c>
      <c r="O95" s="103">
        <v>85</v>
      </c>
    </row>
    <row r="96" spans="1:15" s="94" customFormat="1" ht="12" customHeight="1">
      <c r="A96" s="95">
        <v>86</v>
      </c>
      <c r="B96" s="205" t="s">
        <v>151</v>
      </c>
      <c r="C96" s="206">
        <v>40529</v>
      </c>
      <c r="D96" s="199" t="s">
        <v>32</v>
      </c>
      <c r="E96" s="207">
        <v>147</v>
      </c>
      <c r="F96" s="207">
        <v>2</v>
      </c>
      <c r="G96" s="207">
        <v>9</v>
      </c>
      <c r="H96" s="603">
        <v>1874</v>
      </c>
      <c r="I96" s="611">
        <v>303</v>
      </c>
      <c r="J96" s="208">
        <f>(I96/F96)</f>
        <v>151.5</v>
      </c>
      <c r="K96" s="209">
        <f>H96/I96</f>
        <v>6.184818481848184</v>
      </c>
      <c r="L96" s="210">
        <f>691567.5+648414.5+518408+71321.5+45526+17480+7409+4406.5+1874</f>
        <v>2006407</v>
      </c>
      <c r="M96" s="211">
        <f>79327+75064+61133+10266+7792+4345+1731+935+303</f>
        <v>240896</v>
      </c>
      <c r="N96" s="212">
        <f>L96/M96</f>
        <v>8.328934477948991</v>
      </c>
      <c r="O96" s="103">
        <v>86</v>
      </c>
    </row>
    <row r="97" spans="1:15" s="94" customFormat="1" ht="12" customHeight="1">
      <c r="A97" s="95">
        <v>87</v>
      </c>
      <c r="B97" s="213" t="s">
        <v>151</v>
      </c>
      <c r="C97" s="32">
        <v>40529</v>
      </c>
      <c r="D97" s="199" t="s">
        <v>32</v>
      </c>
      <c r="E97" s="202">
        <v>147</v>
      </c>
      <c r="F97" s="202">
        <v>4</v>
      </c>
      <c r="G97" s="202">
        <v>8</v>
      </c>
      <c r="H97" s="392">
        <v>4406.5</v>
      </c>
      <c r="I97" s="393">
        <v>935</v>
      </c>
      <c r="J97" s="112">
        <f>(I97/F97)</f>
        <v>233.75</v>
      </c>
      <c r="K97" s="195">
        <f>H97/I97</f>
        <v>4.7128342245989305</v>
      </c>
      <c r="L97" s="12">
        <f>691567.5+648414.5+518408+71321.5+45526+17480+7409+4406.5</f>
        <v>2004533</v>
      </c>
      <c r="M97" s="13">
        <f>79327+75064+61133+10266+7792+4345+1731+935</f>
        <v>240593</v>
      </c>
      <c r="N97" s="197">
        <f>L97/M97</f>
        <v>8.331634752465783</v>
      </c>
      <c r="O97" s="103">
        <v>87</v>
      </c>
    </row>
    <row r="98" spans="1:15" s="94" customFormat="1" ht="12" customHeight="1">
      <c r="A98" s="95">
        <v>88</v>
      </c>
      <c r="B98" s="201" t="s">
        <v>151</v>
      </c>
      <c r="C98" s="32">
        <v>40529</v>
      </c>
      <c r="D98" s="199" t="s">
        <v>32</v>
      </c>
      <c r="E98" s="33">
        <v>147</v>
      </c>
      <c r="F98" s="33">
        <v>7</v>
      </c>
      <c r="G98" s="33">
        <v>7</v>
      </c>
      <c r="H98" s="392">
        <v>7409</v>
      </c>
      <c r="I98" s="393">
        <v>1731</v>
      </c>
      <c r="J98" s="112">
        <f>(I98/F98)</f>
        <v>247.28571428571428</v>
      </c>
      <c r="K98" s="195">
        <f>H98/I98</f>
        <v>4.280184864240323</v>
      </c>
      <c r="L98" s="12">
        <f>691567.5+648414.5+518408+71321.5+45526+17480+7409</f>
        <v>2000126.5</v>
      </c>
      <c r="M98" s="13">
        <f>79327+75064+61133+10266+7792+4345+1731</f>
        <v>239658</v>
      </c>
      <c r="N98" s="197">
        <f>L98/M98</f>
        <v>8.345753114855336</v>
      </c>
      <c r="O98" s="103">
        <v>88</v>
      </c>
    </row>
    <row r="99" spans="1:15" s="94" customFormat="1" ht="12" customHeight="1">
      <c r="A99" s="95">
        <v>89</v>
      </c>
      <c r="B99" s="198" t="s">
        <v>151</v>
      </c>
      <c r="C99" s="32">
        <v>40529</v>
      </c>
      <c r="D99" s="199" t="s">
        <v>32</v>
      </c>
      <c r="E99" s="33">
        <v>147</v>
      </c>
      <c r="F99" s="33">
        <v>18</v>
      </c>
      <c r="G99" s="33">
        <v>6</v>
      </c>
      <c r="H99" s="392">
        <v>17480</v>
      </c>
      <c r="I99" s="393">
        <v>4345</v>
      </c>
      <c r="J99" s="112">
        <f>(I99/F99)</f>
        <v>241.38888888888889</v>
      </c>
      <c r="K99" s="195">
        <f>H99/I99</f>
        <v>4.02301495972382</v>
      </c>
      <c r="L99" s="12">
        <f>691567.5+648414.5+518408+71321.5+45526+17480</f>
        <v>1992717.5</v>
      </c>
      <c r="M99" s="13">
        <f>79327+75064+61133+10266+7792+4345</f>
        <v>237927</v>
      </c>
      <c r="N99" s="197">
        <f>L99/M99</f>
        <v>8.375331509244432</v>
      </c>
      <c r="O99" s="103">
        <v>89</v>
      </c>
    </row>
    <row r="100" spans="1:15" s="94" customFormat="1" ht="12" customHeight="1">
      <c r="A100" s="95">
        <v>90</v>
      </c>
      <c r="B100" s="205" t="s">
        <v>151</v>
      </c>
      <c r="C100" s="206">
        <v>40529</v>
      </c>
      <c r="D100" s="199" t="s">
        <v>32</v>
      </c>
      <c r="E100" s="207">
        <v>147</v>
      </c>
      <c r="F100" s="207">
        <v>41</v>
      </c>
      <c r="G100" s="207">
        <v>5</v>
      </c>
      <c r="H100" s="603">
        <v>45526</v>
      </c>
      <c r="I100" s="611">
        <v>7792</v>
      </c>
      <c r="J100" s="208">
        <f>(I100/F100)</f>
        <v>190.0487804878049</v>
      </c>
      <c r="K100" s="209">
        <f>H100/I100</f>
        <v>5.842659137577002</v>
      </c>
      <c r="L100" s="210">
        <f>691567.5+648414.5+518408+71321.5+45526</f>
        <v>1975237.5</v>
      </c>
      <c r="M100" s="211">
        <f>79327+75064+61133+10266+7792</f>
        <v>233582</v>
      </c>
      <c r="N100" s="212">
        <f>L100/M100</f>
        <v>8.456291580686868</v>
      </c>
      <c r="O100" s="103">
        <v>90</v>
      </c>
    </row>
    <row r="101" spans="1:15" s="94" customFormat="1" ht="12" customHeight="1">
      <c r="A101" s="95">
        <v>91</v>
      </c>
      <c r="B101" s="201" t="s">
        <v>151</v>
      </c>
      <c r="C101" s="32">
        <v>40529</v>
      </c>
      <c r="D101" s="199" t="s">
        <v>32</v>
      </c>
      <c r="E101" s="33">
        <v>147</v>
      </c>
      <c r="F101" s="33">
        <v>70</v>
      </c>
      <c r="G101" s="33">
        <v>4</v>
      </c>
      <c r="H101" s="392">
        <v>71112.5</v>
      </c>
      <c r="I101" s="393">
        <v>10235</v>
      </c>
      <c r="J101" s="112">
        <f>(I101/F101)</f>
        <v>146.21428571428572</v>
      </c>
      <c r="K101" s="195">
        <f>H101/I101</f>
        <v>6.947972642892037</v>
      </c>
      <c r="L101" s="12">
        <f>691567.5+648414.5+518408+71112.5</f>
        <v>1929502.5</v>
      </c>
      <c r="M101" s="13">
        <f>79327+75064+61133+10235</f>
        <v>225759</v>
      </c>
      <c r="N101" s="197">
        <f>L101/M101</f>
        <v>8.546735678311828</v>
      </c>
      <c r="O101" s="103">
        <v>91</v>
      </c>
    </row>
    <row r="102" spans="1:15" s="94" customFormat="1" ht="12" customHeight="1">
      <c r="A102" s="95">
        <v>92</v>
      </c>
      <c r="B102" s="198" t="s">
        <v>151</v>
      </c>
      <c r="C102" s="32">
        <v>40529</v>
      </c>
      <c r="D102" s="199" t="s">
        <v>32</v>
      </c>
      <c r="E102" s="33">
        <v>147</v>
      </c>
      <c r="F102" s="33">
        <v>147</v>
      </c>
      <c r="G102" s="33">
        <v>3</v>
      </c>
      <c r="H102" s="608">
        <v>518408</v>
      </c>
      <c r="I102" s="393">
        <v>61133</v>
      </c>
      <c r="J102" s="112">
        <f>(I102/F102)</f>
        <v>415.8707482993197</v>
      </c>
      <c r="K102" s="200">
        <f>H102/I102</f>
        <v>8.480002617244368</v>
      </c>
      <c r="L102" s="26">
        <f>691567.5+648414.5+518408</f>
        <v>1858390</v>
      </c>
      <c r="M102" s="13">
        <f>79327+75064+61133</f>
        <v>215524</v>
      </c>
      <c r="N102" s="197">
        <f>L102/M102</f>
        <v>8.622659193407694</v>
      </c>
      <c r="O102" s="103">
        <v>92</v>
      </c>
    </row>
    <row r="103" spans="1:15" s="94" customFormat="1" ht="12" customHeight="1">
      <c r="A103" s="95">
        <v>93</v>
      </c>
      <c r="B103" s="201" t="s">
        <v>152</v>
      </c>
      <c r="C103" s="32">
        <v>40466</v>
      </c>
      <c r="D103" s="30" t="s">
        <v>29</v>
      </c>
      <c r="E103" s="33">
        <v>22</v>
      </c>
      <c r="F103" s="33">
        <v>3</v>
      </c>
      <c r="G103" s="33">
        <v>15</v>
      </c>
      <c r="H103" s="595">
        <v>1358</v>
      </c>
      <c r="I103" s="596">
        <v>127</v>
      </c>
      <c r="J103" s="38">
        <f>I103/F103</f>
        <v>42.333333333333336</v>
      </c>
      <c r="K103" s="258">
        <f>H103/I103</f>
        <v>10.692913385826772</v>
      </c>
      <c r="L103" s="36">
        <f>75899.5+52129.5+37227.5+14454+10905+6815+10220.5+4115+4193+1577.5+113+940+2002+820.5+11882+1358</f>
        <v>234652</v>
      </c>
      <c r="M103" s="38">
        <f>7028+5164+3832+1471+1190+1095+1727+519+460+216+17+109+232+274+1318+127</f>
        <v>24779</v>
      </c>
      <c r="N103" s="259">
        <f>L103/M103</f>
        <v>9.469792969853504</v>
      </c>
      <c r="O103" s="103">
        <v>93</v>
      </c>
    </row>
    <row r="104" spans="1:15" s="94" customFormat="1" ht="12" customHeight="1">
      <c r="A104" s="95">
        <v>94</v>
      </c>
      <c r="B104" s="252" t="s">
        <v>152</v>
      </c>
      <c r="C104" s="253">
        <v>40466</v>
      </c>
      <c r="D104" s="254" t="s">
        <v>29</v>
      </c>
      <c r="E104" s="255">
        <v>22</v>
      </c>
      <c r="F104" s="255">
        <v>19</v>
      </c>
      <c r="G104" s="255">
        <v>14</v>
      </c>
      <c r="H104" s="623">
        <v>11882</v>
      </c>
      <c r="I104" s="624">
        <v>1318</v>
      </c>
      <c r="J104" s="109">
        <v>69.36842105263158</v>
      </c>
      <c r="K104" s="204">
        <v>9.015174506828528</v>
      </c>
      <c r="L104" s="256">
        <v>233294</v>
      </c>
      <c r="M104" s="257">
        <v>24652</v>
      </c>
      <c r="N104" s="250">
        <v>9.463491805938666</v>
      </c>
      <c r="O104" s="103">
        <v>94</v>
      </c>
    </row>
    <row r="105" spans="1:15" s="94" customFormat="1" ht="12" customHeight="1">
      <c r="A105" s="95">
        <v>95</v>
      </c>
      <c r="B105" s="201" t="s">
        <v>152</v>
      </c>
      <c r="C105" s="32">
        <v>40466</v>
      </c>
      <c r="D105" s="31" t="s">
        <v>29</v>
      </c>
      <c r="E105" s="33">
        <v>22</v>
      </c>
      <c r="F105" s="33">
        <v>1</v>
      </c>
      <c r="G105" s="33">
        <v>13</v>
      </c>
      <c r="H105" s="595">
        <v>820.5</v>
      </c>
      <c r="I105" s="596">
        <v>274</v>
      </c>
      <c r="J105" s="38">
        <f>I105/F105</f>
        <v>274</v>
      </c>
      <c r="K105" s="258">
        <f>H105/I105</f>
        <v>2.9945255474452557</v>
      </c>
      <c r="L105" s="36">
        <f>75899.5+52129.5+37227.5+14454+10905+6815+10220.5+4115+4193+1577.5+113+940+2002+820.5</f>
        <v>221412</v>
      </c>
      <c r="M105" s="38">
        <f>7028+5164+3832+1471+1190+1095+1727+519+460+216+17+109+232+274</f>
        <v>23334</v>
      </c>
      <c r="N105" s="259">
        <f>L105/M105</f>
        <v>9.48881460529699</v>
      </c>
      <c r="O105" s="103">
        <v>95</v>
      </c>
    </row>
    <row r="106" spans="1:15" s="94" customFormat="1" ht="12" customHeight="1">
      <c r="A106" s="95">
        <v>96</v>
      </c>
      <c r="B106" s="198" t="s">
        <v>152</v>
      </c>
      <c r="C106" s="32">
        <v>40466</v>
      </c>
      <c r="D106" s="31" t="s">
        <v>29</v>
      </c>
      <c r="E106" s="33">
        <v>22</v>
      </c>
      <c r="F106" s="33">
        <v>1</v>
      </c>
      <c r="G106" s="33">
        <v>12</v>
      </c>
      <c r="H106" s="625">
        <v>2002</v>
      </c>
      <c r="I106" s="596">
        <v>232</v>
      </c>
      <c r="J106" s="101">
        <f>IF(H106&lt;&gt;0,I106/F106,"")</f>
        <v>232</v>
      </c>
      <c r="K106" s="243">
        <f>IF(H106&lt;&gt;0,H106/I106,"")</f>
        <v>8.629310344827585</v>
      </c>
      <c r="L106" s="28">
        <f>75899.5+52129.5+37227.5+14454+10905+6815+10220.5+4115+4193+1577.5+113+940+2002</f>
        <v>220591.5</v>
      </c>
      <c r="M106" s="38">
        <f>7028+5164+3832+1471+1190+1095+1727+519+460+216+17+109+232</f>
        <v>23060</v>
      </c>
      <c r="N106" s="232">
        <f>IF(L106&lt;&gt;0,L106/M106,"")</f>
        <v>9.565980052038162</v>
      </c>
      <c r="O106" s="103">
        <v>96</v>
      </c>
    </row>
    <row r="107" spans="1:15" s="94" customFormat="1" ht="12" customHeight="1">
      <c r="A107" s="95">
        <v>97</v>
      </c>
      <c r="B107" s="310" t="s">
        <v>366</v>
      </c>
      <c r="C107" s="117">
        <v>40263</v>
      </c>
      <c r="D107" s="118" t="s">
        <v>21</v>
      </c>
      <c r="E107" s="3">
        <v>286</v>
      </c>
      <c r="F107" s="3">
        <v>1</v>
      </c>
      <c r="G107" s="3">
        <v>25</v>
      </c>
      <c r="H107" s="593">
        <v>2376</v>
      </c>
      <c r="I107" s="594">
        <v>396</v>
      </c>
      <c r="J107" s="101">
        <f>I107/F107</f>
        <v>396</v>
      </c>
      <c r="K107" s="100">
        <f>H107/I107</f>
        <v>6</v>
      </c>
      <c r="L107" s="35">
        <f>9497151+1588+2376</f>
        <v>9501115</v>
      </c>
      <c r="M107" s="38">
        <f>1141258+190+396</f>
        <v>1141844</v>
      </c>
      <c r="N107" s="126">
        <f>+L107/M107</f>
        <v>8.320852060351502</v>
      </c>
      <c r="O107" s="103">
        <v>97</v>
      </c>
    </row>
    <row r="108" spans="1:15" s="94" customFormat="1" ht="12" customHeight="1">
      <c r="A108" s="95">
        <v>98</v>
      </c>
      <c r="B108" s="226" t="s">
        <v>153</v>
      </c>
      <c r="C108" s="2">
        <v>40501</v>
      </c>
      <c r="D108" s="20" t="s">
        <v>142</v>
      </c>
      <c r="E108" s="5">
        <v>261</v>
      </c>
      <c r="F108" s="5">
        <v>1</v>
      </c>
      <c r="G108" s="5">
        <v>65</v>
      </c>
      <c r="H108" s="621">
        <v>723.6</v>
      </c>
      <c r="I108" s="620">
        <v>200</v>
      </c>
      <c r="J108" s="246">
        <f>I108/F108</f>
        <v>200</v>
      </c>
      <c r="K108" s="260">
        <f>H108/I108</f>
        <v>3.6180000000000003</v>
      </c>
      <c r="L108" s="10">
        <v>5323397</v>
      </c>
      <c r="M108" s="11">
        <v>861323</v>
      </c>
      <c r="N108" s="250">
        <f>+L108/M108</f>
        <v>6.180488620413016</v>
      </c>
      <c r="O108" s="103">
        <v>98</v>
      </c>
    </row>
    <row r="109" spans="1:15" s="94" customFormat="1" ht="12" customHeight="1">
      <c r="A109" s="95">
        <v>99</v>
      </c>
      <c r="B109" s="236" t="s">
        <v>286</v>
      </c>
      <c r="C109" s="907">
        <v>40424</v>
      </c>
      <c r="D109" s="713" t="s">
        <v>23</v>
      </c>
      <c r="E109" s="31">
        <v>107</v>
      </c>
      <c r="F109" s="31">
        <v>1</v>
      </c>
      <c r="G109" s="31">
        <v>51</v>
      </c>
      <c r="H109" s="625">
        <v>1204</v>
      </c>
      <c r="I109" s="631">
        <v>350</v>
      </c>
      <c r="J109" s="267">
        <f>I109/F109</f>
        <v>350</v>
      </c>
      <c r="K109" s="360">
        <f>H109/I109</f>
        <v>3.44</v>
      </c>
      <c r="L109" s="28">
        <v>2171165</v>
      </c>
      <c r="M109" s="521">
        <v>197141</v>
      </c>
      <c r="N109" s="501">
        <f>+L109/M109</f>
        <v>11.013259545198615</v>
      </c>
      <c r="O109" s="103">
        <v>99</v>
      </c>
    </row>
    <row r="110" spans="1:15" s="94" customFormat="1" ht="12" customHeight="1">
      <c r="A110" s="95">
        <v>100</v>
      </c>
      <c r="B110" s="475" t="s">
        <v>286</v>
      </c>
      <c r="C110" s="478">
        <v>40424</v>
      </c>
      <c r="D110" s="479" t="s">
        <v>23</v>
      </c>
      <c r="E110" s="262">
        <v>107</v>
      </c>
      <c r="F110" s="262">
        <v>1</v>
      </c>
      <c r="G110" s="262">
        <v>20</v>
      </c>
      <c r="H110" s="447">
        <v>1204</v>
      </c>
      <c r="I110" s="448">
        <v>350</v>
      </c>
      <c r="J110" s="263">
        <f>I110/F110</f>
        <v>350</v>
      </c>
      <c r="K110" s="480">
        <f>+H110/I110</f>
        <v>3.44</v>
      </c>
      <c r="L110" s="264">
        <v>2167551</v>
      </c>
      <c r="M110" s="238">
        <v>196093</v>
      </c>
      <c r="N110" s="481">
        <f>+L110/M110</f>
        <v>11.053688810921349</v>
      </c>
      <c r="O110" s="103">
        <v>100</v>
      </c>
    </row>
    <row r="111" spans="1:15" s="94" customFormat="1" ht="12" customHeight="1">
      <c r="A111" s="95">
        <v>101</v>
      </c>
      <c r="B111" s="191" t="s">
        <v>286</v>
      </c>
      <c r="C111" s="32">
        <v>40424</v>
      </c>
      <c r="D111" s="261" t="s">
        <v>23</v>
      </c>
      <c r="E111" s="33">
        <v>107</v>
      </c>
      <c r="F111" s="33">
        <v>1</v>
      </c>
      <c r="G111" s="33">
        <v>19</v>
      </c>
      <c r="H111" s="595">
        <v>1204</v>
      </c>
      <c r="I111" s="596">
        <v>350</v>
      </c>
      <c r="J111" s="38">
        <f>I111/F111</f>
        <v>350</v>
      </c>
      <c r="K111" s="258">
        <f>+H111/I111</f>
        <v>3.44</v>
      </c>
      <c r="L111" s="36">
        <v>2166347</v>
      </c>
      <c r="M111" s="39">
        <v>195743</v>
      </c>
      <c r="N111" s="259">
        <f>+L111/M111</f>
        <v>11.067302534445677</v>
      </c>
      <c r="O111" s="103">
        <v>101</v>
      </c>
    </row>
    <row r="112" spans="1:15" s="94" customFormat="1" ht="12" customHeight="1">
      <c r="A112" s="95">
        <v>102</v>
      </c>
      <c r="B112" s="488" t="s">
        <v>287</v>
      </c>
      <c r="C112" s="483">
        <v>40396</v>
      </c>
      <c r="D112" s="30" t="s">
        <v>32</v>
      </c>
      <c r="E112" s="489">
        <v>4</v>
      </c>
      <c r="F112" s="489">
        <v>1</v>
      </c>
      <c r="G112" s="489">
        <v>25</v>
      </c>
      <c r="H112" s="392">
        <v>691</v>
      </c>
      <c r="I112" s="393">
        <v>100</v>
      </c>
      <c r="J112" s="112">
        <f>(I112/F112)</f>
        <v>100</v>
      </c>
      <c r="K112" s="195">
        <f>H112/I112</f>
        <v>6.91</v>
      </c>
      <c r="L112" s="12">
        <f>14959+9646+7725+4386+3960+14571+6049+4818+2605+3811+4797+6372+2996+165+950.5+1598.5+276+381+768+800+1224+1323+280+915+691</f>
        <v>96067</v>
      </c>
      <c r="M112" s="13">
        <f>1646+1123+1125+547+522+2218+896+595+438+656+743+1047+452+23+148+219+42+85+83+91+196+206+40+126+100</f>
        <v>13367</v>
      </c>
      <c r="N112" s="197">
        <f>L112/M112</f>
        <v>7.186878132714895</v>
      </c>
      <c r="O112" s="103">
        <v>102</v>
      </c>
    </row>
    <row r="113" spans="1:15" s="94" customFormat="1" ht="12" customHeight="1">
      <c r="A113" s="95">
        <v>103</v>
      </c>
      <c r="B113" s="488" t="s">
        <v>287</v>
      </c>
      <c r="C113" s="483">
        <v>40396</v>
      </c>
      <c r="D113" s="30" t="s">
        <v>32</v>
      </c>
      <c r="E113" s="489">
        <v>4</v>
      </c>
      <c r="F113" s="489">
        <v>1</v>
      </c>
      <c r="G113" s="489">
        <v>24</v>
      </c>
      <c r="H113" s="392">
        <v>915</v>
      </c>
      <c r="I113" s="393">
        <v>126</v>
      </c>
      <c r="J113" s="112">
        <f>(I113/F113)</f>
        <v>126</v>
      </c>
      <c r="K113" s="195">
        <f>H113/I113</f>
        <v>7.261904761904762</v>
      </c>
      <c r="L113" s="12">
        <f>14959+9646+7725+4386+3960+14571+6049+4818+2605+3811+4797+6372+2996+165+950.5+1598.5+276+381+768+800+1224+1323+280+915</f>
        <v>95376</v>
      </c>
      <c r="M113" s="13">
        <f>1646+1123+1125+547+522+2218+896+595+438+656+743+1047+452+23+148+219+42+85+83+91+196+206+40+126</f>
        <v>13267</v>
      </c>
      <c r="N113" s="197">
        <f>L113/M113</f>
        <v>7.188965101379362</v>
      </c>
      <c r="O113" s="103">
        <v>103</v>
      </c>
    </row>
    <row r="114" spans="1:15" s="94" customFormat="1" ht="12" customHeight="1">
      <c r="A114" s="95">
        <v>104</v>
      </c>
      <c r="B114" s="482" t="s">
        <v>287</v>
      </c>
      <c r="C114" s="483">
        <v>40396</v>
      </c>
      <c r="D114" s="199" t="s">
        <v>32</v>
      </c>
      <c r="E114" s="484">
        <v>4</v>
      </c>
      <c r="F114" s="484">
        <v>1</v>
      </c>
      <c r="G114" s="484">
        <v>23</v>
      </c>
      <c r="H114" s="608">
        <v>280</v>
      </c>
      <c r="I114" s="622">
        <v>40</v>
      </c>
      <c r="J114" s="203">
        <f>(I114/F114)</f>
        <v>40</v>
      </c>
      <c r="K114" s="200">
        <f>H114/I114</f>
        <v>7</v>
      </c>
      <c r="L114" s="26">
        <f>14959+9646+7725+4386+3960+14571+6049+4818+2605+3811+4797+6372+2996+165+950.5+1598.5+276+381+768+800+1224+1323+280</f>
        <v>94461</v>
      </c>
      <c r="M114" s="27">
        <f>1646+1123+1125+547+522+2218+896+595+438+656+743+1047+452+23+148+219+42+85+83+91+196+206+40</f>
        <v>13141</v>
      </c>
      <c r="N114" s="197">
        <f>L114/M114</f>
        <v>7.188265733201431</v>
      </c>
      <c r="O114" s="103">
        <v>104</v>
      </c>
    </row>
    <row r="115" spans="1:15" s="94" customFormat="1" ht="12" customHeight="1">
      <c r="A115" s="95">
        <v>105</v>
      </c>
      <c r="B115" s="482" t="s">
        <v>287</v>
      </c>
      <c r="C115" s="483">
        <v>40396</v>
      </c>
      <c r="D115" s="199" t="s">
        <v>32</v>
      </c>
      <c r="E115" s="484">
        <v>4</v>
      </c>
      <c r="F115" s="484">
        <v>2</v>
      </c>
      <c r="G115" s="484">
        <v>22</v>
      </c>
      <c r="H115" s="392">
        <v>1323</v>
      </c>
      <c r="I115" s="393">
        <v>206</v>
      </c>
      <c r="J115" s="112">
        <f>(I115/F115)</f>
        <v>103</v>
      </c>
      <c r="K115" s="195">
        <f>H115/I115</f>
        <v>6.422330097087379</v>
      </c>
      <c r="L115" s="12">
        <f>14959+9646+7725+4386+3960+14571+6049+4818+2605+3811+4797+6372+2996+165+950.5+1598.5+276+381+768+800+1224+1323</f>
        <v>94181</v>
      </c>
      <c r="M115" s="13">
        <f>1646+1123+1125+547+522+2218+896+595+438+656+743+1047+452+23+148+219+42+85+83+91+196+206</f>
        <v>13101</v>
      </c>
      <c r="N115" s="197">
        <f>L115/M115</f>
        <v>7.188840546523166</v>
      </c>
      <c r="O115" s="103">
        <v>105</v>
      </c>
    </row>
    <row r="116" spans="1:15" s="94" customFormat="1" ht="12" customHeight="1">
      <c r="A116" s="95">
        <v>106</v>
      </c>
      <c r="B116" s="485" t="s">
        <v>287</v>
      </c>
      <c r="C116" s="486">
        <v>40396</v>
      </c>
      <c r="D116" s="199" t="s">
        <v>32</v>
      </c>
      <c r="E116" s="487">
        <v>4</v>
      </c>
      <c r="F116" s="487">
        <v>1</v>
      </c>
      <c r="G116" s="487">
        <v>21</v>
      </c>
      <c r="H116" s="603">
        <v>1224</v>
      </c>
      <c r="I116" s="611">
        <v>196</v>
      </c>
      <c r="J116" s="208">
        <f>(I116/F116)</f>
        <v>196</v>
      </c>
      <c r="K116" s="209">
        <f>H116/I116</f>
        <v>6.244897959183674</v>
      </c>
      <c r="L116" s="210">
        <f>14959+9646+7725+4386+3960+14571+6049+4818+2605+3811+4797+6372+2996+165+950.5+1598.5+276+381+768+800+1224</f>
        <v>92858</v>
      </c>
      <c r="M116" s="211">
        <f>1646+1123+1125+547+522+2218+896+595+438+656+743+1047+452+23+148+219+42+85+83+91+196</f>
        <v>12895</v>
      </c>
      <c r="N116" s="212">
        <f>L116/M116</f>
        <v>7.201085692128732</v>
      </c>
      <c r="O116" s="103">
        <v>106</v>
      </c>
    </row>
    <row r="117" spans="1:15" s="94" customFormat="1" ht="12" customHeight="1">
      <c r="A117" s="95">
        <v>107</v>
      </c>
      <c r="B117" s="490" t="s">
        <v>287</v>
      </c>
      <c r="C117" s="483">
        <v>40396</v>
      </c>
      <c r="D117" s="199" t="s">
        <v>32</v>
      </c>
      <c r="E117" s="489">
        <v>4</v>
      </c>
      <c r="F117" s="489">
        <v>1</v>
      </c>
      <c r="G117" s="489">
        <v>20</v>
      </c>
      <c r="H117" s="392">
        <v>800</v>
      </c>
      <c r="I117" s="393">
        <v>91</v>
      </c>
      <c r="J117" s="112">
        <f>(I117/F117)</f>
        <v>91</v>
      </c>
      <c r="K117" s="195">
        <f>H117/I117</f>
        <v>8.791208791208792</v>
      </c>
      <c r="L117" s="12">
        <f>14959+9646+7725+4386+3960+14571+6049+4818+2605+3811+4797+6372+2996+165+950.5+1598.5+276+381+768+800</f>
        <v>91634</v>
      </c>
      <c r="M117" s="13">
        <f>1646+1123+1125+547+522+2218+896+595+438+656+743+1047+452+23+148+219+42+85+83+91</f>
        <v>12699</v>
      </c>
      <c r="N117" s="197">
        <f>L117/M117</f>
        <v>7.215843767225766</v>
      </c>
      <c r="O117" s="103">
        <v>107</v>
      </c>
    </row>
    <row r="118" spans="1:15" s="94" customFormat="1" ht="12" customHeight="1">
      <c r="A118" s="95">
        <v>108</v>
      </c>
      <c r="B118" s="485" t="s">
        <v>287</v>
      </c>
      <c r="C118" s="486">
        <v>40396</v>
      </c>
      <c r="D118" s="199" t="s">
        <v>32</v>
      </c>
      <c r="E118" s="487">
        <v>4</v>
      </c>
      <c r="F118" s="487">
        <v>1</v>
      </c>
      <c r="G118" s="487">
        <v>19</v>
      </c>
      <c r="H118" s="603">
        <v>768</v>
      </c>
      <c r="I118" s="611">
        <v>83</v>
      </c>
      <c r="J118" s="208">
        <f>(I118/F118)</f>
        <v>83</v>
      </c>
      <c r="K118" s="209">
        <f>H118/I118</f>
        <v>9.25301204819277</v>
      </c>
      <c r="L118" s="210">
        <f>14959+9646+7725+4386+3960+14571+6049+4818+2605+3811+4797+6372+2996+165+950.5+1598.5+276+381+768</f>
        <v>90834</v>
      </c>
      <c r="M118" s="211">
        <f>1646+1123+1125+547+522+2218+896+595+438+656+743+1047+452+23+148+219+42+85+83</f>
        <v>12608</v>
      </c>
      <c r="N118" s="212">
        <f>L118/M118</f>
        <v>7.204473350253807</v>
      </c>
      <c r="O118" s="103">
        <v>108</v>
      </c>
    </row>
    <row r="119" spans="1:15" s="94" customFormat="1" ht="12" customHeight="1">
      <c r="A119" s="95">
        <v>109</v>
      </c>
      <c r="B119" s="213" t="s">
        <v>288</v>
      </c>
      <c r="C119" s="32">
        <v>40430</v>
      </c>
      <c r="D119" s="199" t="s">
        <v>32</v>
      </c>
      <c r="E119" s="202">
        <v>57</v>
      </c>
      <c r="F119" s="202">
        <v>2</v>
      </c>
      <c r="G119" s="202">
        <v>17</v>
      </c>
      <c r="H119" s="392">
        <v>4752</v>
      </c>
      <c r="I119" s="393">
        <v>1188</v>
      </c>
      <c r="J119" s="112">
        <f>(I119/F119)</f>
        <v>594</v>
      </c>
      <c r="K119" s="195">
        <f>H119/I119</f>
        <v>4</v>
      </c>
      <c r="L119" s="12">
        <f>15818.5+150711.5+75138.5+33591.5+30249.5+17415.5+8294.5+10566+6016+6121.5+888.5+2484+322+4243.5+950.5+1782+1782+4752</f>
        <v>371127.5</v>
      </c>
      <c r="M119" s="13">
        <f>1512+15643+7345+4634+4073+2646+1136+2027+1109+1483+117+572+47+1041+237+445+446+1188</f>
        <v>45701</v>
      </c>
      <c r="N119" s="197">
        <f>L119/M119</f>
        <v>8.120774162490974</v>
      </c>
      <c r="O119" s="103">
        <v>109</v>
      </c>
    </row>
    <row r="120" spans="1:15" s="94" customFormat="1" ht="12" customHeight="1">
      <c r="A120" s="95">
        <v>110</v>
      </c>
      <c r="B120" s="201" t="s">
        <v>288</v>
      </c>
      <c r="C120" s="32">
        <v>40430</v>
      </c>
      <c r="D120" s="199" t="s">
        <v>32</v>
      </c>
      <c r="E120" s="33">
        <v>57</v>
      </c>
      <c r="F120" s="33">
        <v>1</v>
      </c>
      <c r="G120" s="33">
        <v>16</v>
      </c>
      <c r="H120" s="392">
        <v>1782</v>
      </c>
      <c r="I120" s="393">
        <v>446</v>
      </c>
      <c r="J120" s="112">
        <f>(I120/F120)</f>
        <v>446</v>
      </c>
      <c r="K120" s="195">
        <f>H120/I120</f>
        <v>3.995515695067265</v>
      </c>
      <c r="L120" s="12">
        <f>15818.5+150711.5+75138.5+33591.5+30249.5+17415.5+8294.5+10566+6016+6121.5+888.5+2484+322+4243.5+950.5+1782+1782</f>
        <v>366375.5</v>
      </c>
      <c r="M120" s="13">
        <f>1512+15643+7345+4634+4073+2646+1136+2027+1109+1483+117+572+47+1041+237+445+446</f>
        <v>44513</v>
      </c>
      <c r="N120" s="197">
        <f>L120/M120</f>
        <v>8.230752813784736</v>
      </c>
      <c r="O120" s="103">
        <v>110</v>
      </c>
    </row>
    <row r="121" spans="1:15" s="94" customFormat="1" ht="12" customHeight="1">
      <c r="A121" s="95">
        <v>111</v>
      </c>
      <c r="B121" s="201" t="s">
        <v>288</v>
      </c>
      <c r="C121" s="32">
        <v>40430</v>
      </c>
      <c r="D121" s="199" t="s">
        <v>32</v>
      </c>
      <c r="E121" s="33">
        <v>57</v>
      </c>
      <c r="F121" s="33">
        <v>1</v>
      </c>
      <c r="G121" s="33">
        <v>15</v>
      </c>
      <c r="H121" s="392">
        <v>1782</v>
      </c>
      <c r="I121" s="393">
        <v>445</v>
      </c>
      <c r="J121" s="112">
        <f>(I121/F121)</f>
        <v>445</v>
      </c>
      <c r="K121" s="195">
        <f>H121/I121</f>
        <v>4.004494382022472</v>
      </c>
      <c r="L121" s="12">
        <f>15818.5+150711.5+75138.5+33591.5+30249.5+17415.5+8294.5+10566+6016+6121.5+888.5+2484+322+4243.5+950.5+1782</f>
        <v>364593.5</v>
      </c>
      <c r="M121" s="13">
        <f>1512+15643+7345+4634+4073+2646+1136+2027+1109+1483+117+572+47+1041+237+445</f>
        <v>44067</v>
      </c>
      <c r="N121" s="197">
        <f>L121/M121</f>
        <v>8.273617446161527</v>
      </c>
      <c r="O121" s="103">
        <v>111</v>
      </c>
    </row>
    <row r="122" spans="1:15" s="94" customFormat="1" ht="12" customHeight="1">
      <c r="A122" s="95">
        <v>112</v>
      </c>
      <c r="B122" s="213" t="s">
        <v>289</v>
      </c>
      <c r="C122" s="32">
        <v>40319</v>
      </c>
      <c r="D122" s="199" t="s">
        <v>29</v>
      </c>
      <c r="E122" s="202">
        <v>55</v>
      </c>
      <c r="F122" s="202">
        <v>1</v>
      </c>
      <c r="G122" s="202">
        <v>18</v>
      </c>
      <c r="H122" s="595">
        <v>4324</v>
      </c>
      <c r="I122" s="596">
        <v>864</v>
      </c>
      <c r="J122" s="109">
        <f>I122/F122</f>
        <v>864</v>
      </c>
      <c r="K122" s="228">
        <f>H122/I122</f>
        <v>5.00462962962963</v>
      </c>
      <c r="L122" s="36">
        <f>65145+41204+28599.5+10743+2405+0.5+2368+274+127+891+124+545+573+114+1943+465+416+216+4324</f>
        <v>160477</v>
      </c>
      <c r="M122" s="38">
        <f>6350+4165+3879+1659+455+341+36+22+135+21+109+98+19+321+74+58+35+864</f>
        <v>18641</v>
      </c>
      <c r="N122" s="222">
        <f>+L122/M122</f>
        <v>8.608819269352503</v>
      </c>
      <c r="O122" s="103">
        <v>112</v>
      </c>
    </row>
    <row r="123" spans="1:15" s="94" customFormat="1" ht="12" customHeight="1">
      <c r="A123" s="95">
        <v>113</v>
      </c>
      <c r="B123" s="226" t="s">
        <v>290</v>
      </c>
      <c r="C123" s="2">
        <v>40508</v>
      </c>
      <c r="D123" s="20" t="s">
        <v>10</v>
      </c>
      <c r="E123" s="5">
        <v>72</v>
      </c>
      <c r="F123" s="5">
        <v>2</v>
      </c>
      <c r="G123" s="5">
        <v>8</v>
      </c>
      <c r="H123" s="445">
        <v>2043</v>
      </c>
      <c r="I123" s="446">
        <v>282</v>
      </c>
      <c r="J123" s="109">
        <f>I123/F123</f>
        <v>141</v>
      </c>
      <c r="K123" s="204">
        <f>H123/I123</f>
        <v>7.24468085106383</v>
      </c>
      <c r="L123" s="44">
        <v>1211516</v>
      </c>
      <c r="M123" s="46">
        <v>105388</v>
      </c>
      <c r="N123" s="222">
        <f>+L123/M123</f>
        <v>11.495768019129313</v>
      </c>
      <c r="O123" s="103">
        <v>113</v>
      </c>
    </row>
    <row r="124" spans="1:15" s="94" customFormat="1" ht="12" customHeight="1">
      <c r="A124" s="95">
        <v>114</v>
      </c>
      <c r="B124" s="221" t="s">
        <v>290</v>
      </c>
      <c r="C124" s="2">
        <v>40508</v>
      </c>
      <c r="D124" s="22" t="s">
        <v>10</v>
      </c>
      <c r="E124" s="3">
        <v>72</v>
      </c>
      <c r="F124" s="3">
        <v>1</v>
      </c>
      <c r="G124" s="3">
        <v>7</v>
      </c>
      <c r="H124" s="445">
        <v>513</v>
      </c>
      <c r="I124" s="446">
        <v>59</v>
      </c>
      <c r="J124" s="109">
        <f>I124/F124</f>
        <v>59</v>
      </c>
      <c r="K124" s="204">
        <f>H124/I124</f>
        <v>8.694915254237289</v>
      </c>
      <c r="L124" s="44">
        <v>1209473</v>
      </c>
      <c r="M124" s="46">
        <v>105106</v>
      </c>
      <c r="N124" s="222">
        <f>+L124/M124</f>
        <v>11.507173710349551</v>
      </c>
      <c r="O124" s="103">
        <v>114</v>
      </c>
    </row>
    <row r="125" spans="1:15" s="94" customFormat="1" ht="12" customHeight="1">
      <c r="A125" s="95">
        <v>115</v>
      </c>
      <c r="B125" s="223" t="s">
        <v>290</v>
      </c>
      <c r="C125" s="2">
        <v>40508</v>
      </c>
      <c r="D125" s="22" t="s">
        <v>10</v>
      </c>
      <c r="E125" s="3">
        <v>72</v>
      </c>
      <c r="F125" s="3">
        <v>12</v>
      </c>
      <c r="G125" s="3">
        <v>6</v>
      </c>
      <c r="H125" s="612">
        <v>10277</v>
      </c>
      <c r="I125" s="446">
        <v>1355</v>
      </c>
      <c r="J125" s="109">
        <f>I125/F125</f>
        <v>112.91666666666667</v>
      </c>
      <c r="K125" s="224">
        <f>H125/I125</f>
        <v>7.58450184501845</v>
      </c>
      <c r="L125" s="225">
        <v>1208960</v>
      </c>
      <c r="M125" s="46">
        <v>105047</v>
      </c>
      <c r="N125" s="222">
        <f>+L125/M125</f>
        <v>11.508753224747018</v>
      </c>
      <c r="O125" s="103">
        <v>115</v>
      </c>
    </row>
    <row r="126" spans="1:15" s="94" customFormat="1" ht="12" customHeight="1">
      <c r="A126" s="95">
        <v>116</v>
      </c>
      <c r="B126" s="221" t="s">
        <v>291</v>
      </c>
      <c r="C126" s="2">
        <v>40459</v>
      </c>
      <c r="D126" s="19" t="s">
        <v>10</v>
      </c>
      <c r="E126" s="3">
        <v>55</v>
      </c>
      <c r="F126" s="3">
        <v>2</v>
      </c>
      <c r="G126" s="3">
        <v>17</v>
      </c>
      <c r="H126" s="445">
        <v>1379</v>
      </c>
      <c r="I126" s="446">
        <v>340</v>
      </c>
      <c r="J126" s="109">
        <f>I126/F126</f>
        <v>170</v>
      </c>
      <c r="K126" s="204">
        <f>H126/I126</f>
        <v>4.055882352941176</v>
      </c>
      <c r="L126" s="44">
        <v>2715672</v>
      </c>
      <c r="M126" s="46">
        <v>237405</v>
      </c>
      <c r="N126" s="222">
        <f>+L126/M126</f>
        <v>11.438984014658494</v>
      </c>
      <c r="O126" s="103">
        <v>116</v>
      </c>
    </row>
    <row r="127" spans="1:15" s="94" customFormat="1" ht="12" customHeight="1">
      <c r="A127" s="95">
        <v>117</v>
      </c>
      <c r="B127" s="491" t="s">
        <v>291</v>
      </c>
      <c r="C127" s="265">
        <v>40459</v>
      </c>
      <c r="D127" s="492" t="s">
        <v>10</v>
      </c>
      <c r="E127" s="493">
        <v>55</v>
      </c>
      <c r="F127" s="493">
        <v>1</v>
      </c>
      <c r="G127" s="493">
        <v>16</v>
      </c>
      <c r="H127" s="445">
        <v>182</v>
      </c>
      <c r="I127" s="446">
        <v>40</v>
      </c>
      <c r="J127" s="109">
        <v>40</v>
      </c>
      <c r="K127" s="204">
        <v>4.55</v>
      </c>
      <c r="L127" s="44">
        <v>2714293</v>
      </c>
      <c r="M127" s="46">
        <v>237065</v>
      </c>
      <c r="N127" s="222">
        <v>11.449572901946723</v>
      </c>
      <c r="O127" s="103">
        <v>117</v>
      </c>
    </row>
    <row r="128" spans="1:15" s="94" customFormat="1" ht="12" customHeight="1">
      <c r="A128" s="95">
        <v>118</v>
      </c>
      <c r="B128" s="226" t="s">
        <v>291</v>
      </c>
      <c r="C128" s="2">
        <v>40459</v>
      </c>
      <c r="D128" s="20" t="s">
        <v>10</v>
      </c>
      <c r="E128" s="5">
        <v>55</v>
      </c>
      <c r="F128" s="5">
        <v>1</v>
      </c>
      <c r="G128" s="5">
        <v>14</v>
      </c>
      <c r="H128" s="445">
        <v>1190</v>
      </c>
      <c r="I128" s="446">
        <v>238</v>
      </c>
      <c r="J128" s="109">
        <f>I128/F128</f>
        <v>238</v>
      </c>
      <c r="K128" s="204">
        <f>H128/I128</f>
        <v>5</v>
      </c>
      <c r="L128" s="44">
        <v>2712998</v>
      </c>
      <c r="M128" s="46">
        <v>236197</v>
      </c>
      <c r="N128" s="222">
        <f>+L128/M128</f>
        <v>11.486166208715606</v>
      </c>
      <c r="O128" s="103">
        <v>118</v>
      </c>
    </row>
    <row r="129" spans="1:15" s="94" customFormat="1" ht="12" customHeight="1">
      <c r="A129" s="95">
        <v>119</v>
      </c>
      <c r="B129" s="223" t="s">
        <v>291</v>
      </c>
      <c r="C129" s="2">
        <v>40459</v>
      </c>
      <c r="D129" s="22" t="s">
        <v>10</v>
      </c>
      <c r="E129" s="3">
        <v>55</v>
      </c>
      <c r="F129" s="3">
        <v>3</v>
      </c>
      <c r="G129" s="3">
        <v>13</v>
      </c>
      <c r="H129" s="612">
        <v>2794</v>
      </c>
      <c r="I129" s="446">
        <v>385</v>
      </c>
      <c r="J129" s="109">
        <f>I129/F129</f>
        <v>128.33333333333334</v>
      </c>
      <c r="K129" s="224">
        <f>H129/I129</f>
        <v>7.257142857142857</v>
      </c>
      <c r="L129" s="225">
        <v>2711808</v>
      </c>
      <c r="M129" s="46">
        <v>235959</v>
      </c>
      <c r="N129" s="222">
        <f>+L129/M129</f>
        <v>11.492708479015421</v>
      </c>
      <c r="O129" s="103">
        <v>119</v>
      </c>
    </row>
    <row r="130" spans="1:15" s="94" customFormat="1" ht="12" customHeight="1">
      <c r="A130" s="95">
        <v>120</v>
      </c>
      <c r="B130" s="213" t="s">
        <v>292</v>
      </c>
      <c r="C130" s="32">
        <v>40333</v>
      </c>
      <c r="D130" s="199" t="s">
        <v>32</v>
      </c>
      <c r="E130" s="202">
        <v>2</v>
      </c>
      <c r="F130" s="202">
        <v>1</v>
      </c>
      <c r="G130" s="202">
        <v>18</v>
      </c>
      <c r="H130" s="608">
        <v>1307</v>
      </c>
      <c r="I130" s="622">
        <v>327</v>
      </c>
      <c r="J130" s="203">
        <f>(I130/F130)</f>
        <v>327</v>
      </c>
      <c r="K130" s="200">
        <f>H130/I130</f>
        <v>3.996941896024465</v>
      </c>
      <c r="L130" s="26">
        <f>20966+1047+769+1091.5+1901+1090.5+330+94+107+1307</f>
        <v>28703</v>
      </c>
      <c r="M130" s="27">
        <f>2304+127+92+121+475+146+92+18+21+327</f>
        <v>3723</v>
      </c>
      <c r="N130" s="197">
        <f>L130/M130</f>
        <v>7.7096427612140745</v>
      </c>
      <c r="O130" s="103">
        <v>120</v>
      </c>
    </row>
    <row r="131" spans="1:15" s="94" customFormat="1" ht="12" customHeight="1">
      <c r="A131" s="95">
        <v>121</v>
      </c>
      <c r="B131" s="454" t="s">
        <v>251</v>
      </c>
      <c r="C131" s="295">
        <v>40242</v>
      </c>
      <c r="D131" s="118" t="s">
        <v>21</v>
      </c>
      <c r="E131" s="297">
        <v>125</v>
      </c>
      <c r="F131" s="297">
        <v>1</v>
      </c>
      <c r="G131" s="453">
        <v>24</v>
      </c>
      <c r="H131" s="593">
        <v>2376</v>
      </c>
      <c r="I131" s="594">
        <v>475</v>
      </c>
      <c r="J131" s="101">
        <f>I131/F131</f>
        <v>475</v>
      </c>
      <c r="K131" s="100">
        <f>H131/I131</f>
        <v>5.002105263157895</v>
      </c>
      <c r="L131" s="35">
        <f>3052174.5+368+334+926+8316+2376</f>
        <v>3064494.5</v>
      </c>
      <c r="M131" s="38">
        <f>484917+57+56+140+1663+475</f>
        <v>487308</v>
      </c>
      <c r="N131" s="126">
        <f>+L131/M131</f>
        <v>6.288619312631846</v>
      </c>
      <c r="O131" s="103">
        <v>121</v>
      </c>
    </row>
    <row r="132" spans="1:15" s="94" customFormat="1" ht="12" customHeight="1">
      <c r="A132" s="95">
        <v>122</v>
      </c>
      <c r="B132" s="266" t="s">
        <v>293</v>
      </c>
      <c r="C132" s="2">
        <v>40207</v>
      </c>
      <c r="D132" s="19" t="s">
        <v>21</v>
      </c>
      <c r="E132" s="3">
        <v>47</v>
      </c>
      <c r="F132" s="3">
        <v>1</v>
      </c>
      <c r="G132" s="3">
        <v>45</v>
      </c>
      <c r="H132" s="593">
        <v>450</v>
      </c>
      <c r="I132" s="594">
        <v>29</v>
      </c>
      <c r="J132" s="101">
        <f>IF(H132&lt;&gt;0,I132/F132,"")</f>
        <v>29</v>
      </c>
      <c r="K132" s="231">
        <f>IF(H132&lt;&gt;0,H132/I132,"")</f>
        <v>15.517241379310345</v>
      </c>
      <c r="L132" s="35">
        <f>1883790+184+100+80+110+450</f>
        <v>1884714</v>
      </c>
      <c r="M132" s="38">
        <f>162822+46+10+8+11+29</f>
        <v>162926</v>
      </c>
      <c r="N132" s="232">
        <f>IF(L132&lt;&gt;0,L132/M132,"")</f>
        <v>11.567914267827112</v>
      </c>
      <c r="O132" s="103">
        <v>122</v>
      </c>
    </row>
    <row r="133" spans="1:15" s="94" customFormat="1" ht="12" customHeight="1">
      <c r="A133" s="95">
        <v>123</v>
      </c>
      <c r="B133" s="221" t="s">
        <v>293</v>
      </c>
      <c r="C133" s="2">
        <v>40207</v>
      </c>
      <c r="D133" s="19" t="s">
        <v>21</v>
      </c>
      <c r="E133" s="3">
        <v>47</v>
      </c>
      <c r="F133" s="3">
        <v>1</v>
      </c>
      <c r="G133" s="3">
        <v>44</v>
      </c>
      <c r="H133" s="593">
        <v>110</v>
      </c>
      <c r="I133" s="594">
        <v>11</v>
      </c>
      <c r="J133" s="101">
        <f>IF(H133&lt;&gt;0,I133/F133,"")</f>
        <v>11</v>
      </c>
      <c r="K133" s="231">
        <f>IF(H133&lt;&gt;0,H133/I133,"")</f>
        <v>10</v>
      </c>
      <c r="L133" s="35">
        <f>1883790+184+100+80+110</f>
        <v>1884264</v>
      </c>
      <c r="M133" s="38">
        <f>162822+46+10+8+11</f>
        <v>162897</v>
      </c>
      <c r="N133" s="232">
        <f>IF(L133&lt;&gt;0,L133/M133,"")</f>
        <v>11.567211182526382</v>
      </c>
      <c r="O133" s="103">
        <v>123</v>
      </c>
    </row>
    <row r="134" spans="1:15" s="94" customFormat="1" ht="12" customHeight="1">
      <c r="A134" s="95">
        <v>124</v>
      </c>
      <c r="B134" s="226" t="s">
        <v>293</v>
      </c>
      <c r="C134" s="2">
        <v>40207</v>
      </c>
      <c r="D134" s="20" t="s">
        <v>21</v>
      </c>
      <c r="E134" s="5">
        <v>47</v>
      </c>
      <c r="F134" s="5">
        <v>1</v>
      </c>
      <c r="G134" s="5">
        <v>43</v>
      </c>
      <c r="H134" s="614">
        <v>80</v>
      </c>
      <c r="I134" s="626">
        <v>8</v>
      </c>
      <c r="J134" s="267">
        <f>IF(H134&lt;&gt;0,I134/F134,"")</f>
        <v>8</v>
      </c>
      <c r="K134" s="243">
        <f>IF(H134&lt;&gt;0,H134/I134,"")</f>
        <v>10</v>
      </c>
      <c r="L134" s="34">
        <f>1883790+184+100+80</f>
        <v>1884154</v>
      </c>
      <c r="M134" s="29">
        <f>162822+46+10+8</f>
        <v>162886</v>
      </c>
      <c r="N134" s="232">
        <f>IF(L134&lt;&gt;0,L134/M134,"")</f>
        <v>11.567317019265007</v>
      </c>
      <c r="O134" s="103">
        <v>124</v>
      </c>
    </row>
    <row r="135" spans="1:15" s="94" customFormat="1" ht="12" customHeight="1">
      <c r="A135" s="95">
        <v>125</v>
      </c>
      <c r="B135" s="226" t="s">
        <v>293</v>
      </c>
      <c r="C135" s="2">
        <v>40207</v>
      </c>
      <c r="D135" s="20" t="s">
        <v>21</v>
      </c>
      <c r="E135" s="5">
        <v>47</v>
      </c>
      <c r="F135" s="5">
        <v>1</v>
      </c>
      <c r="G135" s="5">
        <v>42</v>
      </c>
      <c r="H135" s="593">
        <v>100</v>
      </c>
      <c r="I135" s="594">
        <v>10</v>
      </c>
      <c r="J135" s="101">
        <f>IF(H135&lt;&gt;0,I135/F135,"")</f>
        <v>10</v>
      </c>
      <c r="K135" s="231">
        <f>IF(H135&lt;&gt;0,H135/I135,"")</f>
        <v>10</v>
      </c>
      <c r="L135" s="35">
        <f>1883790+184+100</f>
        <v>1884074</v>
      </c>
      <c r="M135" s="38">
        <f>162822+46+10</f>
        <v>162878</v>
      </c>
      <c r="N135" s="232">
        <f>IF(L135&lt;&gt;0,L135/M135,"")</f>
        <v>11.56739400041749</v>
      </c>
      <c r="O135" s="103">
        <v>125</v>
      </c>
    </row>
    <row r="136" spans="1:15" s="94" customFormat="1" ht="12" customHeight="1">
      <c r="A136" s="95">
        <v>126</v>
      </c>
      <c r="B136" s="221" t="s">
        <v>293</v>
      </c>
      <c r="C136" s="2">
        <v>40207</v>
      </c>
      <c r="D136" s="22" t="s">
        <v>21</v>
      </c>
      <c r="E136" s="3">
        <v>47</v>
      </c>
      <c r="F136" s="3">
        <v>1</v>
      </c>
      <c r="G136" s="3">
        <v>41</v>
      </c>
      <c r="H136" s="593">
        <v>184</v>
      </c>
      <c r="I136" s="594">
        <v>46</v>
      </c>
      <c r="J136" s="101">
        <f>IF(H136&lt;&gt;0,I136/F136,"")</f>
        <v>46</v>
      </c>
      <c r="K136" s="231">
        <f>IF(H136&lt;&gt;0,H136/I136,"")</f>
        <v>4</v>
      </c>
      <c r="L136" s="35">
        <f>1883790+184</f>
        <v>1883974</v>
      </c>
      <c r="M136" s="38">
        <f>162822+46</f>
        <v>162868</v>
      </c>
      <c r="N136" s="232">
        <f>IF(L136&lt;&gt;0,L136/M136,"")</f>
        <v>11.567490237492938</v>
      </c>
      <c r="O136" s="103">
        <v>126</v>
      </c>
    </row>
    <row r="137" spans="1:15" s="94" customFormat="1" ht="12" customHeight="1">
      <c r="A137" s="95">
        <v>127</v>
      </c>
      <c r="B137" s="223" t="s">
        <v>293</v>
      </c>
      <c r="C137" s="2">
        <v>40207</v>
      </c>
      <c r="D137" s="22" t="s">
        <v>21</v>
      </c>
      <c r="E137" s="3">
        <v>47</v>
      </c>
      <c r="F137" s="3">
        <v>2</v>
      </c>
      <c r="G137" s="3">
        <v>40</v>
      </c>
      <c r="H137" s="614">
        <v>1782</v>
      </c>
      <c r="I137" s="594">
        <v>356</v>
      </c>
      <c r="J137" s="101">
        <f>IF(H137&lt;&gt;0,I137/F137,"")</f>
        <v>178</v>
      </c>
      <c r="K137" s="243">
        <f>IF(H137&lt;&gt;0,H137/I137,"")</f>
        <v>5.00561797752809</v>
      </c>
      <c r="L137" s="34">
        <f>1873890.5+5542+564+70+558+190+292+283.5+618+H137</f>
        <v>1883790</v>
      </c>
      <c r="M137" s="38">
        <f>160830+1202+112+10+80+27+42+44+119+I137</f>
        <v>162822</v>
      </c>
      <c r="N137" s="232">
        <f>IF(L137&lt;&gt;0,L137/M137,"")</f>
        <v>11.569628182923683</v>
      </c>
      <c r="O137" s="103">
        <v>127</v>
      </c>
    </row>
    <row r="138" spans="1:15" s="94" customFormat="1" ht="12" customHeight="1">
      <c r="A138" s="95">
        <v>128</v>
      </c>
      <c r="B138" s="213" t="s">
        <v>154</v>
      </c>
      <c r="C138" s="32">
        <v>39766</v>
      </c>
      <c r="D138" s="199" t="s">
        <v>141</v>
      </c>
      <c r="E138" s="202">
        <v>17</v>
      </c>
      <c r="F138" s="202">
        <v>1</v>
      </c>
      <c r="G138" s="202">
        <v>27</v>
      </c>
      <c r="H138" s="617">
        <v>403</v>
      </c>
      <c r="I138" s="618">
        <v>2016</v>
      </c>
      <c r="J138" s="115">
        <v>2016</v>
      </c>
      <c r="K138" s="268">
        <v>0.19990079365079366</v>
      </c>
      <c r="L138" s="240">
        <v>93607</v>
      </c>
      <c r="M138" s="241">
        <v>13556</v>
      </c>
      <c r="N138" s="242">
        <v>6.9052080259663615</v>
      </c>
      <c r="O138" s="103">
        <v>128</v>
      </c>
    </row>
    <row r="139" spans="1:15" s="94" customFormat="1" ht="12" customHeight="1">
      <c r="A139" s="95">
        <v>129</v>
      </c>
      <c r="B139" s="201" t="s">
        <v>294</v>
      </c>
      <c r="C139" s="32">
        <v>39878</v>
      </c>
      <c r="D139" s="30" t="s">
        <v>32</v>
      </c>
      <c r="E139" s="33">
        <v>39</v>
      </c>
      <c r="F139" s="33">
        <v>1</v>
      </c>
      <c r="G139" s="33">
        <v>38</v>
      </c>
      <c r="H139" s="392">
        <v>708</v>
      </c>
      <c r="I139" s="393">
        <v>164</v>
      </c>
      <c r="J139" s="112">
        <f>(I139/F139)</f>
        <v>164</v>
      </c>
      <c r="K139" s="195">
        <f>H139/I139</f>
        <v>4.317073170731708</v>
      </c>
      <c r="L139" s="12">
        <f>143992.5+82756.5+42509+41229+27290.5+16668+27602+17675+4710+8504.5+2403+4164+2272+3469+1997+135+299+674+178+30+240+1413+1006+209+393+680+1780+4040+1780+1780+952+745+2376+2376+2376+4752+2376+708</f>
        <v>458540</v>
      </c>
      <c r="M139" s="13">
        <f>15320+9228+5096+5970+4485+3115+5134+3946+1139+2307+509+879+411+637+472+29+62+165+32+6+48+348+139+43+54+68+445+1010+445+445+238+149+594+594+594+1188+594+164</f>
        <v>66102</v>
      </c>
      <c r="N139" s="197">
        <f>L139/M139</f>
        <v>6.93685516323258</v>
      </c>
      <c r="O139" s="103">
        <v>129</v>
      </c>
    </row>
    <row r="140" spans="1:15" s="94" customFormat="1" ht="12" customHeight="1">
      <c r="A140" s="95">
        <v>130</v>
      </c>
      <c r="B140" s="221" t="s">
        <v>295</v>
      </c>
      <c r="C140" s="2">
        <v>40499</v>
      </c>
      <c r="D140" s="19" t="s">
        <v>10</v>
      </c>
      <c r="E140" s="3">
        <v>216</v>
      </c>
      <c r="F140" s="3">
        <v>3</v>
      </c>
      <c r="G140" s="3">
        <v>13</v>
      </c>
      <c r="H140" s="445">
        <v>1907</v>
      </c>
      <c r="I140" s="446">
        <v>449</v>
      </c>
      <c r="J140" s="109">
        <f>I140/F140</f>
        <v>149.66666666666666</v>
      </c>
      <c r="K140" s="204">
        <f>H140/I140</f>
        <v>4.247216035634744</v>
      </c>
      <c r="L140" s="44">
        <v>7557967</v>
      </c>
      <c r="M140" s="46">
        <v>798432</v>
      </c>
      <c r="N140" s="222">
        <f>+L140/M140</f>
        <v>9.466012133782213</v>
      </c>
      <c r="O140" s="103">
        <v>130</v>
      </c>
    </row>
    <row r="141" spans="1:15" s="94" customFormat="1" ht="12" customHeight="1">
      <c r="A141" s="95">
        <v>131</v>
      </c>
      <c r="B141" s="226" t="s">
        <v>295</v>
      </c>
      <c r="C141" s="2">
        <v>40499</v>
      </c>
      <c r="D141" s="20" t="s">
        <v>10</v>
      </c>
      <c r="E141" s="5">
        <v>216</v>
      </c>
      <c r="F141" s="5">
        <v>1</v>
      </c>
      <c r="G141" s="5">
        <v>12</v>
      </c>
      <c r="H141" s="445">
        <v>265</v>
      </c>
      <c r="I141" s="446">
        <v>42</v>
      </c>
      <c r="J141" s="109">
        <f>I141/F141</f>
        <v>42</v>
      </c>
      <c r="K141" s="204">
        <f>H141/I141</f>
        <v>6.309523809523809</v>
      </c>
      <c r="L141" s="44">
        <v>7556060</v>
      </c>
      <c r="M141" s="46">
        <v>797983</v>
      </c>
      <c r="N141" s="222">
        <f>+L141/M141</f>
        <v>9.468948586624025</v>
      </c>
      <c r="O141" s="103">
        <v>131</v>
      </c>
    </row>
    <row r="142" spans="1:15" s="94" customFormat="1" ht="12" customHeight="1">
      <c r="A142" s="95">
        <v>132</v>
      </c>
      <c r="B142" s="221" t="s">
        <v>295</v>
      </c>
      <c r="C142" s="2">
        <v>40499</v>
      </c>
      <c r="D142" s="19" t="s">
        <v>10</v>
      </c>
      <c r="E142" s="3">
        <v>216</v>
      </c>
      <c r="F142" s="3">
        <v>1</v>
      </c>
      <c r="G142" s="3">
        <v>11</v>
      </c>
      <c r="H142" s="445">
        <v>260</v>
      </c>
      <c r="I142" s="446">
        <v>43</v>
      </c>
      <c r="J142" s="109">
        <f>I142/F142</f>
        <v>43</v>
      </c>
      <c r="K142" s="204">
        <f>H142/I142</f>
        <v>6.046511627906977</v>
      </c>
      <c r="L142" s="44">
        <v>7555795</v>
      </c>
      <c r="M142" s="46">
        <v>797941</v>
      </c>
      <c r="N142" s="222">
        <f>+L142/M142</f>
        <v>9.46911488443381</v>
      </c>
      <c r="O142" s="103">
        <v>132</v>
      </c>
    </row>
    <row r="143" spans="1:15" s="94" customFormat="1" ht="12" customHeight="1">
      <c r="A143" s="95">
        <v>133</v>
      </c>
      <c r="B143" s="223" t="s">
        <v>295</v>
      </c>
      <c r="C143" s="2">
        <v>40499</v>
      </c>
      <c r="D143" s="19" t="s">
        <v>10</v>
      </c>
      <c r="E143" s="3">
        <v>216</v>
      </c>
      <c r="F143" s="3">
        <v>1</v>
      </c>
      <c r="G143" s="3">
        <v>10</v>
      </c>
      <c r="H143" s="445">
        <v>280</v>
      </c>
      <c r="I143" s="446">
        <v>46</v>
      </c>
      <c r="J143" s="109">
        <f>I143/F143</f>
        <v>46</v>
      </c>
      <c r="K143" s="204">
        <f>H143/I143</f>
        <v>6.086956521739131</v>
      </c>
      <c r="L143" s="44">
        <v>7555535</v>
      </c>
      <c r="M143" s="46">
        <v>797898</v>
      </c>
      <c r="N143" s="222">
        <f>+L143/M143</f>
        <v>9.469299334000086</v>
      </c>
      <c r="O143" s="103">
        <v>133</v>
      </c>
    </row>
    <row r="144" spans="1:15" s="94" customFormat="1" ht="12" customHeight="1">
      <c r="A144" s="95">
        <v>134</v>
      </c>
      <c r="B144" s="226" t="s">
        <v>295</v>
      </c>
      <c r="C144" s="2">
        <v>40499</v>
      </c>
      <c r="D144" s="20" t="s">
        <v>10</v>
      </c>
      <c r="E144" s="5">
        <v>216</v>
      </c>
      <c r="F144" s="5">
        <v>6</v>
      </c>
      <c r="G144" s="5">
        <v>9</v>
      </c>
      <c r="H144" s="445">
        <v>5414</v>
      </c>
      <c r="I144" s="446">
        <v>1277</v>
      </c>
      <c r="J144" s="109">
        <f>I144/F144</f>
        <v>212.83333333333334</v>
      </c>
      <c r="K144" s="204">
        <f>H144/I144</f>
        <v>4.239624119028974</v>
      </c>
      <c r="L144" s="44">
        <v>7555255</v>
      </c>
      <c r="M144" s="46">
        <v>797852</v>
      </c>
      <c r="N144" s="222">
        <f>+L144/M144</f>
        <v>9.4694943423091</v>
      </c>
      <c r="O144" s="103">
        <v>134</v>
      </c>
    </row>
    <row r="145" spans="1:15" s="94" customFormat="1" ht="12" customHeight="1">
      <c r="A145" s="95">
        <v>135</v>
      </c>
      <c r="B145" s="221" t="s">
        <v>295</v>
      </c>
      <c r="C145" s="2">
        <v>40499</v>
      </c>
      <c r="D145" s="22" t="s">
        <v>10</v>
      </c>
      <c r="E145" s="3">
        <v>216</v>
      </c>
      <c r="F145" s="3">
        <v>6</v>
      </c>
      <c r="G145" s="3">
        <v>8</v>
      </c>
      <c r="H145" s="445">
        <v>5700</v>
      </c>
      <c r="I145" s="446">
        <v>1097</v>
      </c>
      <c r="J145" s="109">
        <f>I145/F145</f>
        <v>182.83333333333334</v>
      </c>
      <c r="K145" s="204">
        <f>H145/I145</f>
        <v>5.195989061075661</v>
      </c>
      <c r="L145" s="44">
        <v>7549841</v>
      </c>
      <c r="M145" s="46">
        <v>796575</v>
      </c>
      <c r="N145" s="222">
        <f>+L145/M145</f>
        <v>9.477878416972665</v>
      </c>
      <c r="O145" s="103">
        <v>135</v>
      </c>
    </row>
    <row r="146" spans="1:15" s="94" customFormat="1" ht="12" customHeight="1">
      <c r="A146" s="95">
        <v>136</v>
      </c>
      <c r="B146" s="223" t="s">
        <v>295</v>
      </c>
      <c r="C146" s="2">
        <v>40499</v>
      </c>
      <c r="D146" s="22" t="s">
        <v>10</v>
      </c>
      <c r="E146" s="3">
        <v>216</v>
      </c>
      <c r="F146" s="3">
        <v>34</v>
      </c>
      <c r="G146" s="3">
        <v>7</v>
      </c>
      <c r="H146" s="612">
        <v>30434</v>
      </c>
      <c r="I146" s="446">
        <v>4757</v>
      </c>
      <c r="J146" s="109">
        <f>I146/F146</f>
        <v>139.91176470588235</v>
      </c>
      <c r="K146" s="224">
        <f>H146/I146</f>
        <v>6.397729661551398</v>
      </c>
      <c r="L146" s="225">
        <v>7544141</v>
      </c>
      <c r="M146" s="46">
        <v>795478</v>
      </c>
      <c r="N146" s="222">
        <f>+L146/M146</f>
        <v>9.4837833353028</v>
      </c>
      <c r="O146" s="103">
        <v>136</v>
      </c>
    </row>
    <row r="147" spans="1:15" s="94" customFormat="1" ht="12" customHeight="1">
      <c r="A147" s="95">
        <v>137</v>
      </c>
      <c r="B147" s="201" t="s">
        <v>155</v>
      </c>
      <c r="C147" s="32">
        <v>39899</v>
      </c>
      <c r="D147" s="199" t="s">
        <v>32</v>
      </c>
      <c r="E147" s="33">
        <v>16</v>
      </c>
      <c r="F147" s="33">
        <v>1</v>
      </c>
      <c r="G147" s="33">
        <v>22</v>
      </c>
      <c r="H147" s="392">
        <v>2140</v>
      </c>
      <c r="I147" s="393">
        <v>535</v>
      </c>
      <c r="J147" s="112">
        <f>(I147/F147)</f>
        <v>535</v>
      </c>
      <c r="K147" s="195">
        <f>H147/I147</f>
        <v>4</v>
      </c>
      <c r="L147" s="12">
        <f>31480+15536+8716+2149+2897+1360+2390+1251+322+381+329+492+928+436+1103+1913+46+240+669.28+648.46+226+2140</f>
        <v>75652.74</v>
      </c>
      <c r="M147" s="13">
        <f>3450+1778+1361+440+508+248+548+290+68+72+58+96+96+70+137+309+9+48+150+151+48+535</f>
        <v>10470</v>
      </c>
      <c r="N147" s="197">
        <f>L147/M147</f>
        <v>7.225667621776505</v>
      </c>
      <c r="O147" s="103">
        <v>137</v>
      </c>
    </row>
    <row r="148" spans="1:15" s="94" customFormat="1" ht="12" customHeight="1">
      <c r="A148" s="95">
        <v>138</v>
      </c>
      <c r="B148" s="213" t="s">
        <v>296</v>
      </c>
      <c r="C148" s="32">
        <v>39892</v>
      </c>
      <c r="D148" s="199" t="s">
        <v>32</v>
      </c>
      <c r="E148" s="202">
        <v>5</v>
      </c>
      <c r="F148" s="202">
        <v>1</v>
      </c>
      <c r="G148" s="202">
        <v>24</v>
      </c>
      <c r="H148" s="590">
        <v>952</v>
      </c>
      <c r="I148" s="591">
        <v>238</v>
      </c>
      <c r="J148" s="37">
        <f>(I148/F148)</f>
        <v>238</v>
      </c>
      <c r="K148" s="494">
        <f>H148/I148</f>
        <v>4</v>
      </c>
      <c r="L148" s="10">
        <f>18881.5+13473+6553+4173.5+2378+3269+2172+792+240+60+1236+552+1321+1757+465+884+565+65+261+952+114+51+2376+952</f>
        <v>63543</v>
      </c>
      <c r="M148" s="11">
        <f>2268+1745+795+568+579+610+541+209+80+20+215+68+169+337+93+144+93+15+56+238+23+20+594+238</f>
        <v>9718</v>
      </c>
      <c r="N148" s="495">
        <f>L148/M148</f>
        <v>6.538691088701379</v>
      </c>
      <c r="O148" s="103">
        <v>138</v>
      </c>
    </row>
    <row r="149" spans="1:15" s="94" customFormat="1" ht="12" customHeight="1">
      <c r="A149" s="95">
        <v>139</v>
      </c>
      <c r="B149" s="201" t="s">
        <v>297</v>
      </c>
      <c r="C149" s="32">
        <v>40004</v>
      </c>
      <c r="D149" s="30" t="s">
        <v>32</v>
      </c>
      <c r="E149" s="33">
        <v>20</v>
      </c>
      <c r="F149" s="33">
        <v>1</v>
      </c>
      <c r="G149" s="33">
        <v>15</v>
      </c>
      <c r="H149" s="590">
        <v>952</v>
      </c>
      <c r="I149" s="591">
        <v>238</v>
      </c>
      <c r="J149" s="37">
        <f>(I149/F149)</f>
        <v>238</v>
      </c>
      <c r="K149" s="494">
        <f>H149/I149</f>
        <v>4</v>
      </c>
      <c r="L149" s="10">
        <f>27239+16683+9866+18646.5+11021.5+18905.5+11305+6948.5+5971.5+3862.5+1777+1145+520+193+952</f>
        <v>135036</v>
      </c>
      <c r="M149" s="11">
        <f>2632+2092+1344+2829+1912+3115+1963+1173+1001+690+304+193+74+27+238</f>
        <v>19587</v>
      </c>
      <c r="N149" s="495">
        <f>L149/M149</f>
        <v>6.894164496860163</v>
      </c>
      <c r="O149" s="103">
        <v>139</v>
      </c>
    </row>
    <row r="150" spans="1:15" s="94" customFormat="1" ht="12" customHeight="1">
      <c r="A150" s="95">
        <v>140</v>
      </c>
      <c r="B150" s="771" t="s">
        <v>298</v>
      </c>
      <c r="C150" s="206">
        <v>39995</v>
      </c>
      <c r="D150" s="713" t="s">
        <v>32</v>
      </c>
      <c r="E150" s="719">
        <v>209</v>
      </c>
      <c r="F150" s="719">
        <v>1</v>
      </c>
      <c r="G150" s="719">
        <v>67</v>
      </c>
      <c r="H150" s="608">
        <v>2852</v>
      </c>
      <c r="I150" s="622">
        <v>713</v>
      </c>
      <c r="J150" s="267">
        <f>I150/F150</f>
        <v>713</v>
      </c>
      <c r="K150" s="360">
        <f>H150/I150</f>
        <v>4</v>
      </c>
      <c r="L150" s="26">
        <f>11405777.5+385+1188+6614+2968+1417+277+2612+1424+952+1780+952+364.5+1188+1188+2852</f>
        <v>11431939</v>
      </c>
      <c r="M150" s="27">
        <f>1424397+63+297+1638+742+364+66+653+356+238+445+238+27+297+297+713</f>
        <v>1430831</v>
      </c>
      <c r="N150" s="501">
        <f>+L150/M150</f>
        <v>7.989719959939364</v>
      </c>
      <c r="O150" s="103">
        <v>140</v>
      </c>
    </row>
    <row r="151" spans="1:15" s="94" customFormat="1" ht="12" customHeight="1">
      <c r="A151" s="95">
        <v>141</v>
      </c>
      <c r="B151" s="555" t="s">
        <v>298</v>
      </c>
      <c r="C151" s="206">
        <v>39995</v>
      </c>
      <c r="D151" s="118" t="s">
        <v>32</v>
      </c>
      <c r="E151" s="207">
        <v>209</v>
      </c>
      <c r="F151" s="207">
        <v>1</v>
      </c>
      <c r="G151" s="207">
        <v>66</v>
      </c>
      <c r="H151" s="392">
        <v>1188</v>
      </c>
      <c r="I151" s="393">
        <v>297</v>
      </c>
      <c r="J151" s="101">
        <f>I151/F151</f>
        <v>297</v>
      </c>
      <c r="K151" s="100">
        <f>H151/I151</f>
        <v>4</v>
      </c>
      <c r="L151" s="12">
        <f>11405777.5+385+1188+6614+2968+1417+277+2612+1424+952+1780+952+364.5+1188+1188</f>
        <v>11429087</v>
      </c>
      <c r="M151" s="13">
        <f>1424397+63+297+1638+742+364+66+653+356+238+445+238+27+297+297</f>
        <v>1430118</v>
      </c>
      <c r="N151" s="128">
        <f>L151/M151</f>
        <v>7.991709075754588</v>
      </c>
      <c r="O151" s="103">
        <v>141</v>
      </c>
    </row>
    <row r="152" spans="1:15" s="94" customFormat="1" ht="12" customHeight="1">
      <c r="A152" s="95">
        <v>142</v>
      </c>
      <c r="B152" s="496" t="s">
        <v>298</v>
      </c>
      <c r="C152" s="497">
        <v>39995</v>
      </c>
      <c r="D152" s="498" t="s">
        <v>138</v>
      </c>
      <c r="E152" s="499">
        <v>209</v>
      </c>
      <c r="F152" s="207">
        <v>1</v>
      </c>
      <c r="G152" s="499">
        <v>65</v>
      </c>
      <c r="H152" s="392">
        <v>1188</v>
      </c>
      <c r="I152" s="393">
        <v>297</v>
      </c>
      <c r="J152" s="267">
        <f>I152/F152</f>
        <v>297</v>
      </c>
      <c r="K152" s="360">
        <f>H152/I152</f>
        <v>4</v>
      </c>
      <c r="L152" s="12">
        <f>11405777.5+385+1188+6614+2968+1417+277+2612+1424+952+1780+952+364.5+1188</f>
        <v>11427899</v>
      </c>
      <c r="M152" s="13">
        <f>1424397+63+297+1638+742+364+66+653+356+238+445+238+27+297</f>
        <v>1429821</v>
      </c>
      <c r="N152" s="126">
        <f>+L152/M152</f>
        <v>7.992538226813006</v>
      </c>
      <c r="O152" s="103">
        <v>142</v>
      </c>
    </row>
    <row r="153" spans="1:15" s="94" customFormat="1" ht="12" customHeight="1">
      <c r="A153" s="95">
        <v>143</v>
      </c>
      <c r="B153" s="488" t="s">
        <v>298</v>
      </c>
      <c r="C153" s="483">
        <v>39995</v>
      </c>
      <c r="D153" s="500" t="s">
        <v>138</v>
      </c>
      <c r="E153" s="489">
        <v>209</v>
      </c>
      <c r="F153" s="489">
        <v>1</v>
      </c>
      <c r="G153" s="489">
        <v>64</v>
      </c>
      <c r="H153" s="608">
        <v>364.5</v>
      </c>
      <c r="I153" s="622">
        <v>27</v>
      </c>
      <c r="J153" s="267">
        <f>I153/F153</f>
        <v>27</v>
      </c>
      <c r="K153" s="360">
        <f>H153/I153</f>
        <v>13.5</v>
      </c>
      <c r="L153" s="26">
        <f>11405777.5+385+1188+6614+2968+1417+277+2612+1424+952+1780+952+364.5</f>
        <v>11426711</v>
      </c>
      <c r="M153" s="27">
        <f>1424397+63+297+1638+742+364+66+653+356+238+445+238+27</f>
        <v>1429524</v>
      </c>
      <c r="N153" s="501">
        <f>L153/M153</f>
        <v>7.993367722402702</v>
      </c>
      <c r="O153" s="103">
        <v>143</v>
      </c>
    </row>
    <row r="154" spans="1:15" s="94" customFormat="1" ht="12" customHeight="1">
      <c r="A154" s="95">
        <v>144</v>
      </c>
      <c r="B154" s="488" t="s">
        <v>298</v>
      </c>
      <c r="C154" s="483">
        <v>39995</v>
      </c>
      <c r="D154" s="30" t="s">
        <v>32</v>
      </c>
      <c r="E154" s="489">
        <v>209</v>
      </c>
      <c r="F154" s="489">
        <v>1</v>
      </c>
      <c r="G154" s="489">
        <v>63</v>
      </c>
      <c r="H154" s="392">
        <v>952</v>
      </c>
      <c r="I154" s="393">
        <v>238</v>
      </c>
      <c r="J154" s="112">
        <f>(I154/F154)</f>
        <v>238</v>
      </c>
      <c r="K154" s="195">
        <f>H154/I154</f>
        <v>4</v>
      </c>
      <c r="L154" s="12">
        <f>11405777.5+385+1188+6614+2968+1417+277+2612+1424+952+1780+952</f>
        <v>11426346.5</v>
      </c>
      <c r="M154" s="13">
        <f>1424397+63+297+1638+742+364+66+653+356+238+445+238</f>
        <v>1429497</v>
      </c>
      <c r="N154" s="197">
        <f>L154/M154</f>
        <v>7.993263714439415</v>
      </c>
      <c r="O154" s="103">
        <v>144</v>
      </c>
    </row>
    <row r="155" spans="1:15" s="94" customFormat="1" ht="12" customHeight="1">
      <c r="A155" s="95">
        <v>145</v>
      </c>
      <c r="B155" s="482" t="s">
        <v>298</v>
      </c>
      <c r="C155" s="483">
        <v>39995</v>
      </c>
      <c r="D155" s="199" t="s">
        <v>32</v>
      </c>
      <c r="E155" s="484">
        <v>209</v>
      </c>
      <c r="F155" s="484">
        <v>1</v>
      </c>
      <c r="G155" s="484">
        <v>62</v>
      </c>
      <c r="H155" s="608">
        <v>1780</v>
      </c>
      <c r="I155" s="622">
        <v>445</v>
      </c>
      <c r="J155" s="203">
        <f>(I155/F155)</f>
        <v>445</v>
      </c>
      <c r="K155" s="200">
        <f>H155/I155</f>
        <v>4</v>
      </c>
      <c r="L155" s="26">
        <f>11405777.5+385+1188+6614+2968+1417+277+2612+1424+952+1780</f>
        <v>11425394.5</v>
      </c>
      <c r="M155" s="27">
        <f>1424397+63+297+1638+742+364+66+653+356+238+445</f>
        <v>1429259</v>
      </c>
      <c r="N155" s="197">
        <f>L155/M155</f>
        <v>7.993928672130104</v>
      </c>
      <c r="O155" s="103">
        <v>145</v>
      </c>
    </row>
    <row r="156" spans="1:15" s="94" customFormat="1" ht="12" customHeight="1">
      <c r="A156" s="95">
        <v>146</v>
      </c>
      <c r="B156" s="488" t="s">
        <v>298</v>
      </c>
      <c r="C156" s="483">
        <v>39995</v>
      </c>
      <c r="D156" s="199" t="s">
        <v>32</v>
      </c>
      <c r="E156" s="489">
        <v>209</v>
      </c>
      <c r="F156" s="489">
        <v>1</v>
      </c>
      <c r="G156" s="489">
        <v>61</v>
      </c>
      <c r="H156" s="392">
        <v>952</v>
      </c>
      <c r="I156" s="393">
        <v>238</v>
      </c>
      <c r="J156" s="112">
        <f>(I156/F156)</f>
        <v>238</v>
      </c>
      <c r="K156" s="195">
        <f>H156/I156</f>
        <v>4</v>
      </c>
      <c r="L156" s="12">
        <f>11405777.5+385+1188+6614+2968+1417+277+2612+1424+952</f>
        <v>11423614.5</v>
      </c>
      <c r="M156" s="13">
        <f>1424397+63+297+1638+742+364+66+653+356+238</f>
        <v>1428814</v>
      </c>
      <c r="N156" s="197">
        <f>L156/M156</f>
        <v>7.995172569697665</v>
      </c>
      <c r="O156" s="103">
        <v>146</v>
      </c>
    </row>
    <row r="157" spans="1:15" s="94" customFormat="1" ht="12" customHeight="1">
      <c r="A157" s="95">
        <v>147</v>
      </c>
      <c r="B157" s="213" t="s">
        <v>299</v>
      </c>
      <c r="C157" s="32">
        <v>39738</v>
      </c>
      <c r="D157" s="199" t="s">
        <v>32</v>
      </c>
      <c r="E157" s="202">
        <v>67</v>
      </c>
      <c r="F157" s="202">
        <v>1</v>
      </c>
      <c r="G157" s="202">
        <v>44</v>
      </c>
      <c r="H157" s="392">
        <v>1780</v>
      </c>
      <c r="I157" s="393">
        <v>445</v>
      </c>
      <c r="J157" s="112">
        <f>(I157/F157)</f>
        <v>445</v>
      </c>
      <c r="K157" s="195">
        <f>H157/I157</f>
        <v>4</v>
      </c>
      <c r="L157" s="12">
        <f>575413.5+2968+2376+2737+2376+2376+4752+2376+952+1780</f>
        <v>598106.5</v>
      </c>
      <c r="M157" s="13">
        <f>83313+742+594+635+594+594+1188+594+238+445</f>
        <v>88937</v>
      </c>
      <c r="N157" s="197">
        <f>L157/M157</f>
        <v>6.725058187256147</v>
      </c>
      <c r="O157" s="103">
        <v>147</v>
      </c>
    </row>
    <row r="158" spans="1:15" s="94" customFormat="1" ht="12" customHeight="1">
      <c r="A158" s="95">
        <v>148</v>
      </c>
      <c r="B158" s="201" t="s">
        <v>299</v>
      </c>
      <c r="C158" s="32">
        <v>39738</v>
      </c>
      <c r="D158" s="199" t="s">
        <v>32</v>
      </c>
      <c r="E158" s="33">
        <v>67</v>
      </c>
      <c r="F158" s="33">
        <v>1</v>
      </c>
      <c r="G158" s="33">
        <v>43</v>
      </c>
      <c r="H158" s="392">
        <v>952</v>
      </c>
      <c r="I158" s="393">
        <v>238</v>
      </c>
      <c r="J158" s="112">
        <f>(I158/F158)</f>
        <v>238</v>
      </c>
      <c r="K158" s="195">
        <f>H158/I158</f>
        <v>4</v>
      </c>
      <c r="L158" s="12">
        <f>575413.5+2968+2376+2737+2376+2376+4752+2376+952</f>
        <v>596326.5</v>
      </c>
      <c r="M158" s="13">
        <f>83313+742+594+635+594+594+1188+594+238</f>
        <v>88492</v>
      </c>
      <c r="N158" s="197">
        <f>L158/M158</f>
        <v>6.738761695972517</v>
      </c>
      <c r="O158" s="103">
        <v>148</v>
      </c>
    </row>
    <row r="159" spans="1:15" s="94" customFormat="1" ht="12" customHeight="1">
      <c r="A159" s="95">
        <v>149</v>
      </c>
      <c r="B159" s="221" t="s">
        <v>300</v>
      </c>
      <c r="C159" s="2">
        <v>40389</v>
      </c>
      <c r="D159" s="19" t="s">
        <v>10</v>
      </c>
      <c r="E159" s="3">
        <v>139</v>
      </c>
      <c r="F159" s="3">
        <v>1</v>
      </c>
      <c r="G159" s="3">
        <v>23</v>
      </c>
      <c r="H159" s="445">
        <v>9523</v>
      </c>
      <c r="I159" s="446">
        <v>1587</v>
      </c>
      <c r="J159" s="109">
        <f>I159/F159</f>
        <v>1587</v>
      </c>
      <c r="K159" s="204">
        <f>H159/I159</f>
        <v>6.000630119722747</v>
      </c>
      <c r="L159" s="44">
        <v>11041118</v>
      </c>
      <c r="M159" s="46">
        <v>1103147</v>
      </c>
      <c r="N159" s="222">
        <f>+L159/M159</f>
        <v>10.008745887900705</v>
      </c>
      <c r="O159" s="103">
        <v>149</v>
      </c>
    </row>
    <row r="160" spans="1:15" s="94" customFormat="1" ht="12" customHeight="1">
      <c r="A160" s="95">
        <v>150</v>
      </c>
      <c r="B160" s="221" t="s">
        <v>300</v>
      </c>
      <c r="C160" s="2">
        <v>40389</v>
      </c>
      <c r="D160" s="19" t="s">
        <v>10</v>
      </c>
      <c r="E160" s="3">
        <v>139</v>
      </c>
      <c r="F160" s="3">
        <v>2</v>
      </c>
      <c r="G160" s="3">
        <v>22</v>
      </c>
      <c r="H160" s="445">
        <v>1178</v>
      </c>
      <c r="I160" s="446">
        <v>911</v>
      </c>
      <c r="J160" s="109">
        <f>I160/F160</f>
        <v>455.5</v>
      </c>
      <c r="K160" s="204">
        <f>H160/I160</f>
        <v>1.2930845225027443</v>
      </c>
      <c r="L160" s="44">
        <v>11031595</v>
      </c>
      <c r="M160" s="46">
        <v>1101560</v>
      </c>
      <c r="N160" s="222">
        <f>+L160/M160</f>
        <v>10.014520316641853</v>
      </c>
      <c r="O160" s="103">
        <v>150</v>
      </c>
    </row>
    <row r="161" spans="1:15" s="94" customFormat="1" ht="12" customHeight="1">
      <c r="A161" s="95">
        <v>151</v>
      </c>
      <c r="B161" s="756" t="s">
        <v>301</v>
      </c>
      <c r="C161" s="117">
        <v>40480</v>
      </c>
      <c r="D161" s="736" t="s">
        <v>8</v>
      </c>
      <c r="E161" s="24">
        <v>1</v>
      </c>
      <c r="F161" s="24">
        <v>1</v>
      </c>
      <c r="G161" s="24">
        <v>19</v>
      </c>
      <c r="H161" s="627">
        <v>453</v>
      </c>
      <c r="I161" s="628">
        <v>47</v>
      </c>
      <c r="J161" s="267">
        <f>I161/F161</f>
        <v>47</v>
      </c>
      <c r="K161" s="360">
        <f>H161/I161</f>
        <v>9.638297872340425</v>
      </c>
      <c r="L161" s="23">
        <v>18344</v>
      </c>
      <c r="M161" s="503">
        <v>1585</v>
      </c>
      <c r="N161" s="373">
        <f>+L161/M161</f>
        <v>11.573501577287066</v>
      </c>
      <c r="O161" s="103">
        <v>151</v>
      </c>
    </row>
    <row r="162" spans="1:15" s="94" customFormat="1" ht="12" customHeight="1">
      <c r="A162" s="95">
        <v>152</v>
      </c>
      <c r="B162" s="756" t="s">
        <v>301</v>
      </c>
      <c r="C162" s="117">
        <v>40480</v>
      </c>
      <c r="D162" s="736" t="s">
        <v>8</v>
      </c>
      <c r="E162" s="24">
        <v>1</v>
      </c>
      <c r="F162" s="24">
        <v>1</v>
      </c>
      <c r="G162" s="24">
        <v>18</v>
      </c>
      <c r="H162" s="590">
        <v>436</v>
      </c>
      <c r="I162" s="591">
        <v>49</v>
      </c>
      <c r="J162" s="101">
        <f>I162/F162</f>
        <v>49</v>
      </c>
      <c r="K162" s="100">
        <f>H162/I162</f>
        <v>8.89795918367347</v>
      </c>
      <c r="L162" s="10">
        <v>17891</v>
      </c>
      <c r="M162" s="11">
        <v>1538</v>
      </c>
      <c r="N162" s="126">
        <f>+L162/M162</f>
        <v>11.632639791937581</v>
      </c>
      <c r="O162" s="103">
        <v>152</v>
      </c>
    </row>
    <row r="163" spans="1:15" s="94" customFormat="1" ht="12" customHeight="1">
      <c r="A163" s="95">
        <v>153</v>
      </c>
      <c r="B163" s="502" t="s">
        <v>301</v>
      </c>
      <c r="C163" s="117">
        <v>40480</v>
      </c>
      <c r="D163" s="122" t="s">
        <v>8</v>
      </c>
      <c r="E163" s="5">
        <v>1</v>
      </c>
      <c r="F163" s="5">
        <v>1</v>
      </c>
      <c r="G163" s="5">
        <v>17</v>
      </c>
      <c r="H163" s="590">
        <v>92</v>
      </c>
      <c r="I163" s="591">
        <v>16</v>
      </c>
      <c r="J163" s="101">
        <f>I163/F163</f>
        <v>16</v>
      </c>
      <c r="K163" s="100">
        <f>H163/I163</f>
        <v>5.75</v>
      </c>
      <c r="L163" s="10">
        <v>17455</v>
      </c>
      <c r="M163" s="11">
        <v>1489</v>
      </c>
      <c r="N163" s="126">
        <f>+L163/M163</f>
        <v>11.722632639355272</v>
      </c>
      <c r="O163" s="103">
        <v>153</v>
      </c>
    </row>
    <row r="164" spans="1:15" s="94" customFormat="1" ht="12" customHeight="1">
      <c r="A164" s="95">
        <v>154</v>
      </c>
      <c r="B164" s="502" t="s">
        <v>301</v>
      </c>
      <c r="C164" s="117">
        <v>40480</v>
      </c>
      <c r="D164" s="122" t="s">
        <v>8</v>
      </c>
      <c r="E164" s="123">
        <v>1</v>
      </c>
      <c r="F164" s="5">
        <v>1</v>
      </c>
      <c r="G164" s="396">
        <v>16</v>
      </c>
      <c r="H164" s="590">
        <v>574</v>
      </c>
      <c r="I164" s="591">
        <v>81</v>
      </c>
      <c r="J164" s="101">
        <f>I164/F164</f>
        <v>81</v>
      </c>
      <c r="K164" s="100">
        <f>H164/I164</f>
        <v>7.08641975308642</v>
      </c>
      <c r="L164" s="10">
        <v>17076</v>
      </c>
      <c r="M164" s="11">
        <v>1441</v>
      </c>
      <c r="N164" s="126">
        <f>+L164/M164</f>
        <v>11.850104094378903</v>
      </c>
      <c r="O164" s="103">
        <v>154</v>
      </c>
    </row>
    <row r="165" spans="1:15" s="94" customFormat="1" ht="12" customHeight="1">
      <c r="A165" s="95">
        <v>155</v>
      </c>
      <c r="B165" s="502" t="s">
        <v>301</v>
      </c>
      <c r="C165" s="117">
        <v>40480</v>
      </c>
      <c r="D165" s="122" t="s">
        <v>8</v>
      </c>
      <c r="E165" s="5">
        <v>1</v>
      </c>
      <c r="F165" s="5">
        <v>1</v>
      </c>
      <c r="G165" s="5">
        <v>16</v>
      </c>
      <c r="H165" s="590">
        <v>288</v>
      </c>
      <c r="I165" s="591">
        <v>32</v>
      </c>
      <c r="J165" s="101">
        <f>I165/F165</f>
        <v>32</v>
      </c>
      <c r="K165" s="100">
        <f>H165/I165</f>
        <v>9</v>
      </c>
      <c r="L165" s="10">
        <v>1473</v>
      </c>
      <c r="M165" s="11">
        <v>17363</v>
      </c>
      <c r="N165" s="128">
        <f>L165/M165</f>
        <v>0.08483556988999597</v>
      </c>
      <c r="O165" s="103">
        <v>155</v>
      </c>
    </row>
    <row r="166" spans="1:15" s="94" customFormat="1" ht="12" customHeight="1">
      <c r="A166" s="95">
        <v>156</v>
      </c>
      <c r="B166" s="502" t="s">
        <v>301</v>
      </c>
      <c r="C166" s="444">
        <v>40480</v>
      </c>
      <c r="D166" s="122" t="s">
        <v>8</v>
      </c>
      <c r="E166" s="123">
        <v>1</v>
      </c>
      <c r="F166" s="5">
        <v>1</v>
      </c>
      <c r="G166" s="5">
        <v>15</v>
      </c>
      <c r="H166" s="590">
        <v>961</v>
      </c>
      <c r="I166" s="591">
        <v>135</v>
      </c>
      <c r="J166" s="267">
        <f>I166/F166</f>
        <v>135</v>
      </c>
      <c r="K166" s="360">
        <f>H166/I166</f>
        <v>7.118518518518519</v>
      </c>
      <c r="L166" s="10">
        <v>16922</v>
      </c>
      <c r="M166" s="11">
        <v>1420</v>
      </c>
      <c r="N166" s="126">
        <f>+L166/M166</f>
        <v>11.916901408450704</v>
      </c>
      <c r="O166" s="103">
        <v>156</v>
      </c>
    </row>
    <row r="167" spans="1:15" s="94" customFormat="1" ht="12" customHeight="1">
      <c r="A167" s="95">
        <v>157</v>
      </c>
      <c r="B167" s="502" t="s">
        <v>301</v>
      </c>
      <c r="C167" s="117">
        <v>40480</v>
      </c>
      <c r="D167" s="122" t="s">
        <v>8</v>
      </c>
      <c r="E167" s="123">
        <v>1</v>
      </c>
      <c r="F167" s="5">
        <v>1</v>
      </c>
      <c r="G167" s="5">
        <v>14</v>
      </c>
      <c r="H167" s="590">
        <v>241</v>
      </c>
      <c r="I167" s="591">
        <v>33</v>
      </c>
      <c r="J167" s="267">
        <f>I167/F167</f>
        <v>33</v>
      </c>
      <c r="K167" s="360">
        <f>H167/I167</f>
        <v>7.303030303030303</v>
      </c>
      <c r="L167" s="10">
        <v>15961</v>
      </c>
      <c r="M167" s="11">
        <v>1285</v>
      </c>
      <c r="N167" s="128">
        <f>L167/M167</f>
        <v>12.421011673151751</v>
      </c>
      <c r="O167" s="103">
        <v>157</v>
      </c>
    </row>
    <row r="168" spans="1:15" s="94" customFormat="1" ht="12" customHeight="1">
      <c r="A168" s="95">
        <v>158</v>
      </c>
      <c r="B168" s="502" t="s">
        <v>301</v>
      </c>
      <c r="C168" s="117">
        <v>40480</v>
      </c>
      <c r="D168" s="122" t="s">
        <v>8</v>
      </c>
      <c r="E168" s="123">
        <v>1</v>
      </c>
      <c r="F168" s="123">
        <v>1</v>
      </c>
      <c r="G168" s="123">
        <v>13</v>
      </c>
      <c r="H168" s="627">
        <v>492</v>
      </c>
      <c r="I168" s="628">
        <v>72</v>
      </c>
      <c r="J168" s="267">
        <f>I168/F168</f>
        <v>72</v>
      </c>
      <c r="K168" s="360">
        <f>H168/I168</f>
        <v>6.833333333333333</v>
      </c>
      <c r="L168" s="23">
        <v>15720</v>
      </c>
      <c r="M168" s="503">
        <v>1252</v>
      </c>
      <c r="N168" s="373">
        <f>+L168/M168</f>
        <v>12.55591054313099</v>
      </c>
      <c r="O168" s="103">
        <v>158</v>
      </c>
    </row>
    <row r="169" spans="1:15" s="94" customFormat="1" ht="12" customHeight="1">
      <c r="A169" s="95">
        <v>159</v>
      </c>
      <c r="B169" s="557" t="s">
        <v>301</v>
      </c>
      <c r="C169" s="536">
        <v>40480</v>
      </c>
      <c r="D169" s="21" t="s">
        <v>8</v>
      </c>
      <c r="E169" s="6">
        <v>21</v>
      </c>
      <c r="F169" s="6">
        <v>1</v>
      </c>
      <c r="G169" s="6">
        <v>12</v>
      </c>
      <c r="H169" s="638">
        <v>78</v>
      </c>
      <c r="I169" s="637">
        <v>13</v>
      </c>
      <c r="J169" s="538">
        <f>I169/F169</f>
        <v>13</v>
      </c>
      <c r="K169" s="229">
        <f>H169/I169</f>
        <v>6</v>
      </c>
      <c r="L169" s="7">
        <v>15228</v>
      </c>
      <c r="M169" s="8">
        <v>1180</v>
      </c>
      <c r="N169" s="232">
        <f>+L169/M169</f>
        <v>12.905084745762712</v>
      </c>
      <c r="O169" s="103">
        <v>159</v>
      </c>
    </row>
    <row r="170" spans="1:15" s="94" customFormat="1" ht="12" customHeight="1">
      <c r="A170" s="95">
        <v>160</v>
      </c>
      <c r="B170" s="557" t="s">
        <v>301</v>
      </c>
      <c r="C170" s="536">
        <v>40480</v>
      </c>
      <c r="D170" s="21" t="s">
        <v>8</v>
      </c>
      <c r="E170" s="6">
        <v>1</v>
      </c>
      <c r="F170" s="6">
        <v>1</v>
      </c>
      <c r="G170" s="6">
        <v>11</v>
      </c>
      <c r="H170" s="638">
        <v>341</v>
      </c>
      <c r="I170" s="637">
        <v>57</v>
      </c>
      <c r="J170" s="98">
        <f>+I170/F170</f>
        <v>57</v>
      </c>
      <c r="K170" s="234">
        <f>+H170/I170</f>
        <v>5.982456140350878</v>
      </c>
      <c r="L170" s="7">
        <v>15150</v>
      </c>
      <c r="M170" s="8">
        <v>1167</v>
      </c>
      <c r="N170" s="232">
        <f>+L170/M170</f>
        <v>12.982005141388175</v>
      </c>
      <c r="O170" s="103">
        <v>160</v>
      </c>
    </row>
    <row r="171" spans="1:15" s="94" customFormat="1" ht="12" customHeight="1">
      <c r="A171" s="95">
        <v>161</v>
      </c>
      <c r="B171" s="226" t="s">
        <v>301</v>
      </c>
      <c r="C171" s="2">
        <v>40480</v>
      </c>
      <c r="D171" s="21" t="s">
        <v>8</v>
      </c>
      <c r="E171" s="5">
        <v>1</v>
      </c>
      <c r="F171" s="5">
        <v>1</v>
      </c>
      <c r="G171" s="5">
        <v>10</v>
      </c>
      <c r="H171" s="590">
        <v>266</v>
      </c>
      <c r="I171" s="591">
        <v>38</v>
      </c>
      <c r="J171" s="101">
        <f>+I171/F171</f>
        <v>38</v>
      </c>
      <c r="K171" s="231">
        <f>+H171/I171</f>
        <v>7</v>
      </c>
      <c r="L171" s="10">
        <v>14809</v>
      </c>
      <c r="M171" s="11">
        <v>1110</v>
      </c>
      <c r="N171" s="232">
        <f>+L171/M171</f>
        <v>13.341441441441441</v>
      </c>
      <c r="O171" s="103">
        <v>161</v>
      </c>
    </row>
    <row r="172" spans="1:15" s="94" customFormat="1" ht="12" customHeight="1">
      <c r="A172" s="95">
        <v>162</v>
      </c>
      <c r="B172" s="226" t="s">
        <v>301</v>
      </c>
      <c r="C172" s="2">
        <v>40480</v>
      </c>
      <c r="D172" s="21" t="s">
        <v>8</v>
      </c>
      <c r="E172" s="5">
        <v>1</v>
      </c>
      <c r="F172" s="5">
        <v>1</v>
      </c>
      <c r="G172" s="5">
        <v>9</v>
      </c>
      <c r="H172" s="590">
        <v>368</v>
      </c>
      <c r="I172" s="591">
        <v>57</v>
      </c>
      <c r="J172" s="101">
        <f>+I172/F172</f>
        <v>57</v>
      </c>
      <c r="K172" s="231">
        <f>+H172/I172</f>
        <v>6.456140350877193</v>
      </c>
      <c r="L172" s="10">
        <v>14543</v>
      </c>
      <c r="M172" s="11">
        <v>1072</v>
      </c>
      <c r="N172" s="232">
        <f>+L172/M172</f>
        <v>13.566231343283581</v>
      </c>
      <c r="O172" s="103">
        <v>162</v>
      </c>
    </row>
    <row r="173" spans="1:15" s="94" customFormat="1" ht="12" customHeight="1">
      <c r="A173" s="95">
        <v>163</v>
      </c>
      <c r="B173" s="251" t="s">
        <v>301</v>
      </c>
      <c r="C173" s="2">
        <v>40480</v>
      </c>
      <c r="D173" s="25" t="s">
        <v>8</v>
      </c>
      <c r="E173" s="5">
        <v>1</v>
      </c>
      <c r="F173" s="5">
        <v>1</v>
      </c>
      <c r="G173" s="5">
        <v>8</v>
      </c>
      <c r="H173" s="627">
        <v>42</v>
      </c>
      <c r="I173" s="591">
        <v>6</v>
      </c>
      <c r="J173" s="101">
        <f>+I173/F173</f>
        <v>6</v>
      </c>
      <c r="K173" s="243">
        <f>+H173/I173</f>
        <v>7</v>
      </c>
      <c r="L173" s="23">
        <v>14175</v>
      </c>
      <c r="M173" s="11">
        <v>1015</v>
      </c>
      <c r="N173" s="232">
        <f>+L173/M173</f>
        <v>13.96551724137931</v>
      </c>
      <c r="O173" s="103">
        <v>163</v>
      </c>
    </row>
    <row r="174" spans="1:15" s="94" customFormat="1" ht="12" customHeight="1">
      <c r="A174" s="95">
        <v>164</v>
      </c>
      <c r="B174" s="213" t="s">
        <v>302</v>
      </c>
      <c r="C174" s="32">
        <v>39710</v>
      </c>
      <c r="D174" s="199" t="s">
        <v>32</v>
      </c>
      <c r="E174" s="202">
        <v>1</v>
      </c>
      <c r="F174" s="202">
        <v>1</v>
      </c>
      <c r="G174" s="202">
        <v>16</v>
      </c>
      <c r="H174" s="608">
        <v>236</v>
      </c>
      <c r="I174" s="622">
        <v>59</v>
      </c>
      <c r="J174" s="203">
        <f>(I174/F174)</f>
        <v>59</v>
      </c>
      <c r="K174" s="200">
        <f>H174/I174</f>
        <v>4</v>
      </c>
      <c r="L174" s="26">
        <f>11305+5960+2538+2056+455+891+1621+1302+712+1484+1484+1424+1188+1188+1188+236</f>
        <v>35032</v>
      </c>
      <c r="M174" s="27">
        <f>835+676+295+239+136+275+187+148+178+371+371+356+297+297+297+59</f>
        <v>5017</v>
      </c>
      <c r="N174" s="197">
        <f>L174/M174</f>
        <v>6.982658959537572</v>
      </c>
      <c r="O174" s="103">
        <v>164</v>
      </c>
    </row>
    <row r="175" spans="1:15" s="94" customFormat="1" ht="12" customHeight="1">
      <c r="A175" s="95">
        <v>165</v>
      </c>
      <c r="B175" s="213" t="s">
        <v>303</v>
      </c>
      <c r="C175" s="32">
        <v>39997</v>
      </c>
      <c r="D175" s="199" t="s">
        <v>32</v>
      </c>
      <c r="E175" s="202">
        <v>5</v>
      </c>
      <c r="F175" s="202">
        <v>1</v>
      </c>
      <c r="G175" s="202">
        <v>21</v>
      </c>
      <c r="H175" s="392">
        <v>952</v>
      </c>
      <c r="I175" s="393">
        <v>238</v>
      </c>
      <c r="J175" s="112">
        <f>(I175/F175)</f>
        <v>238</v>
      </c>
      <c r="K175" s="195">
        <f>H175/I175</f>
        <v>4</v>
      </c>
      <c r="L175" s="12">
        <f>18914.5+7321+4028.5+1674+6130+4818.5+6984.5+5012.5+1695+4556+3587.5+1286+2931+2868+2878.5+3369+1780+1780+162+63+952</f>
        <v>82791.5</v>
      </c>
      <c r="M175" s="13">
        <f>1467+674+673+324+645+765+779+620+311+670+508+195+503+424+502+755+445+445+35+21+238</f>
        <v>10999</v>
      </c>
      <c r="N175" s="197">
        <f>L175/M175</f>
        <v>7.527184289480862</v>
      </c>
      <c r="O175" s="103">
        <v>165</v>
      </c>
    </row>
    <row r="176" spans="1:15" s="94" customFormat="1" ht="12" customHeight="1">
      <c r="A176" s="95">
        <v>166</v>
      </c>
      <c r="B176" s="310" t="s">
        <v>268</v>
      </c>
      <c r="C176" s="117">
        <v>40445</v>
      </c>
      <c r="D176" s="118" t="s">
        <v>269</v>
      </c>
      <c r="E176" s="381">
        <v>3</v>
      </c>
      <c r="F176" s="123">
        <v>1</v>
      </c>
      <c r="G176" s="381">
        <v>12</v>
      </c>
      <c r="H176" s="450">
        <v>844</v>
      </c>
      <c r="I176" s="950">
        <v>84</v>
      </c>
      <c r="J176" s="101">
        <f>I176/F176</f>
        <v>84</v>
      </c>
      <c r="K176" s="99">
        <f>H176/I176</f>
        <v>10.047619047619047</v>
      </c>
      <c r="L176" s="440">
        <v>25977</v>
      </c>
      <c r="M176" s="955">
        <v>9405</v>
      </c>
      <c r="N176" s="126">
        <f>+L176/M176</f>
        <v>2.762041467304625</v>
      </c>
      <c r="O176" s="103">
        <v>166</v>
      </c>
    </row>
    <row r="177" spans="1:15" s="94" customFormat="1" ht="12" customHeight="1">
      <c r="A177" s="95">
        <v>167</v>
      </c>
      <c r="B177" s="310" t="s">
        <v>268</v>
      </c>
      <c r="C177" s="117">
        <v>40445</v>
      </c>
      <c r="D177" s="118" t="s">
        <v>269</v>
      </c>
      <c r="E177" s="381">
        <v>3</v>
      </c>
      <c r="F177" s="123">
        <v>1</v>
      </c>
      <c r="G177" s="381">
        <v>11</v>
      </c>
      <c r="H177" s="392">
        <v>968</v>
      </c>
      <c r="I177" s="597">
        <v>96</v>
      </c>
      <c r="J177" s="101">
        <f>I177/F177</f>
        <v>96</v>
      </c>
      <c r="K177" s="99">
        <f>H177/I177</f>
        <v>10.083333333333334</v>
      </c>
      <c r="L177" s="264">
        <v>25133</v>
      </c>
      <c r="M177" s="458">
        <v>2678</v>
      </c>
      <c r="N177" s="128">
        <f>L177/M177</f>
        <v>9.384988797610157</v>
      </c>
      <c r="O177" s="103">
        <v>167</v>
      </c>
    </row>
    <row r="178" spans="1:15" s="94" customFormat="1" ht="12" customHeight="1">
      <c r="A178" s="95">
        <v>168</v>
      </c>
      <c r="B178" s="201" t="s">
        <v>304</v>
      </c>
      <c r="C178" s="32">
        <v>40424</v>
      </c>
      <c r="D178" s="199" t="s">
        <v>32</v>
      </c>
      <c r="E178" s="33">
        <v>5</v>
      </c>
      <c r="F178" s="33">
        <v>1</v>
      </c>
      <c r="G178" s="33">
        <v>10</v>
      </c>
      <c r="H178" s="392">
        <v>1188</v>
      </c>
      <c r="I178" s="393">
        <v>297</v>
      </c>
      <c r="J178" s="112">
        <f>(I178/F178)</f>
        <v>297</v>
      </c>
      <c r="K178" s="195">
        <f>H178/I178</f>
        <v>4</v>
      </c>
      <c r="L178" s="12">
        <f>11822.5+3468.5+3273+3742.5+3152+1092+927+1058+2153.5+1188</f>
        <v>31877</v>
      </c>
      <c r="M178" s="13">
        <f>827+293+410+398+368+137+124+170+462+297</f>
        <v>3486</v>
      </c>
      <c r="N178" s="197">
        <f>L178/M178</f>
        <v>9.144291451520367</v>
      </c>
      <c r="O178" s="103">
        <v>168</v>
      </c>
    </row>
    <row r="179" spans="1:15" s="94" customFormat="1" ht="12" customHeight="1">
      <c r="A179" s="95">
        <v>169</v>
      </c>
      <c r="B179" s="226" t="s">
        <v>305</v>
      </c>
      <c r="C179" s="2">
        <v>39647</v>
      </c>
      <c r="D179" s="20" t="s">
        <v>21</v>
      </c>
      <c r="E179" s="6">
        <v>108</v>
      </c>
      <c r="F179" s="5">
        <v>1</v>
      </c>
      <c r="G179" s="6">
        <v>20</v>
      </c>
      <c r="H179" s="593">
        <v>3020</v>
      </c>
      <c r="I179" s="567">
        <v>604</v>
      </c>
      <c r="J179" s="101">
        <f>+I179/F179</f>
        <v>604</v>
      </c>
      <c r="K179" s="231">
        <f>+H179/I179</f>
        <v>5</v>
      </c>
      <c r="L179" s="35">
        <f>4275145.5+3020</f>
        <v>4278165.5</v>
      </c>
      <c r="M179" s="40">
        <f>437002+604</f>
        <v>437606</v>
      </c>
      <c r="N179" s="232">
        <f>IF(L179&lt;&gt;0,L179/M179,"")</f>
        <v>9.776295343299681</v>
      </c>
      <c r="O179" s="103">
        <v>169</v>
      </c>
    </row>
    <row r="180" spans="1:15" s="94" customFormat="1" ht="12" customHeight="1">
      <c r="A180" s="95">
        <v>170</v>
      </c>
      <c r="B180" s="226" t="s">
        <v>156</v>
      </c>
      <c r="C180" s="2">
        <v>40452</v>
      </c>
      <c r="D180" s="20" t="s">
        <v>21</v>
      </c>
      <c r="E180" s="5">
        <v>67</v>
      </c>
      <c r="F180" s="5">
        <v>1</v>
      </c>
      <c r="G180" s="5">
        <v>13</v>
      </c>
      <c r="H180" s="614">
        <v>129</v>
      </c>
      <c r="I180" s="626">
        <v>19</v>
      </c>
      <c r="J180" s="267">
        <f>IF(H180&lt;&gt;0,I180/F180,"")</f>
        <v>19</v>
      </c>
      <c r="K180" s="233">
        <f>IF(H180&lt;&gt;0,H180/I180,"")</f>
        <v>6.7894736842105265</v>
      </c>
      <c r="L180" s="34">
        <f>148907+7057+8529+4040+573.5+1227+412+727+521+258+1188+129</f>
        <v>173568.5</v>
      </c>
      <c r="M180" s="29">
        <f>14954+1128+1323+621+141+331+59+105+73+51+297+19</f>
        <v>19102</v>
      </c>
      <c r="N180" s="232">
        <f>IF(L180&lt;&gt;0,L180/M180,"")</f>
        <v>9.086404564967019</v>
      </c>
      <c r="O180" s="103">
        <v>170</v>
      </c>
    </row>
    <row r="181" spans="1:15" s="94" customFormat="1" ht="12" customHeight="1">
      <c r="A181" s="95">
        <v>171</v>
      </c>
      <c r="B181" s="223" t="s">
        <v>156</v>
      </c>
      <c r="C181" s="2">
        <v>40452</v>
      </c>
      <c r="D181" s="19" t="s">
        <v>21</v>
      </c>
      <c r="E181" s="4">
        <v>67</v>
      </c>
      <c r="F181" s="3">
        <v>3</v>
      </c>
      <c r="G181" s="4">
        <v>12</v>
      </c>
      <c r="H181" s="593">
        <v>1188</v>
      </c>
      <c r="I181" s="567">
        <v>297</v>
      </c>
      <c r="J181" s="101">
        <f>IF(H181&lt;&gt;0,I181/F181,"")</f>
        <v>99</v>
      </c>
      <c r="K181" s="234">
        <f>IF(H181&lt;&gt;0,H181/I181,"")</f>
        <v>4</v>
      </c>
      <c r="L181" s="35">
        <f>148907+7057+8529+4040+573.5+1227+412+727+521+258+1188</f>
        <v>173439.5</v>
      </c>
      <c r="M181" s="40">
        <f>14954+1128+1323+621+141+331+59+105+73+51+297</f>
        <v>19083</v>
      </c>
      <c r="N181" s="232">
        <f>IF(L181&lt;&gt;0,L181/M181,"")</f>
        <v>9.08869150552848</v>
      </c>
      <c r="O181" s="103">
        <v>171</v>
      </c>
    </row>
    <row r="182" spans="1:15" s="94" customFormat="1" ht="12" customHeight="1">
      <c r="A182" s="95">
        <v>172</v>
      </c>
      <c r="B182" s="223" t="s">
        <v>156</v>
      </c>
      <c r="C182" s="2">
        <v>40452</v>
      </c>
      <c r="D182" s="22" t="s">
        <v>21</v>
      </c>
      <c r="E182" s="3">
        <v>67</v>
      </c>
      <c r="F182" s="3">
        <v>3</v>
      </c>
      <c r="G182" s="3">
        <v>11</v>
      </c>
      <c r="H182" s="614">
        <v>258</v>
      </c>
      <c r="I182" s="594">
        <v>51</v>
      </c>
      <c r="J182" s="101">
        <f>IF(H182&lt;&gt;0,I182/F182,"")</f>
        <v>17</v>
      </c>
      <c r="K182" s="243">
        <f>IF(H182&lt;&gt;0,H182/I182,"")</f>
        <v>5.0588235294117645</v>
      </c>
      <c r="L182" s="34">
        <f>148907+7057+8529+4040+573.5+1227+412+727+521+H182</f>
        <v>172251.5</v>
      </c>
      <c r="M182" s="38">
        <f>14954+1128+1323+621+141+331+59+105+73+I182</f>
        <v>18786</v>
      </c>
      <c r="N182" s="232">
        <f>IF(L182&lt;&gt;0,L182/M182,"")</f>
        <v>9.16914191419142</v>
      </c>
      <c r="O182" s="103">
        <v>172</v>
      </c>
    </row>
    <row r="183" spans="1:15" s="94" customFormat="1" ht="12" customHeight="1">
      <c r="A183" s="95">
        <v>173</v>
      </c>
      <c r="B183" s="555" t="s">
        <v>306</v>
      </c>
      <c r="C183" s="206">
        <v>40368</v>
      </c>
      <c r="D183" s="118" t="s">
        <v>32</v>
      </c>
      <c r="E183" s="207">
        <v>126</v>
      </c>
      <c r="F183" s="207">
        <v>1</v>
      </c>
      <c r="G183" s="207">
        <v>25</v>
      </c>
      <c r="H183" s="392">
        <v>1544.5</v>
      </c>
      <c r="I183" s="393">
        <v>386</v>
      </c>
      <c r="J183" s="101">
        <f>I183/F183</f>
        <v>386</v>
      </c>
      <c r="K183" s="100">
        <f>H183/I183</f>
        <v>4.001295336787565</v>
      </c>
      <c r="L183" s="12">
        <f>2106797.5+50230.5+32558.5+15249.5+15137+17418.5+7784.5+2808+2841.5+1328+2453+1693+613+726+713+1425.5+1782+1437+1782+2376+1544.5</f>
        <v>2268698.5</v>
      </c>
      <c r="M183" s="13">
        <f>220679+7944+5486+2451+2714+3159+1414+494+658+202+452+398+85+227+178+356+445+228+445+594+386</f>
        <v>248995</v>
      </c>
      <c r="N183" s="126">
        <f>+L183/M183</f>
        <v>9.111421916102733</v>
      </c>
      <c r="O183" s="103">
        <v>173</v>
      </c>
    </row>
    <row r="184" spans="1:15" s="94" customFormat="1" ht="12" customHeight="1">
      <c r="A184" s="95">
        <v>174</v>
      </c>
      <c r="B184" s="482" t="s">
        <v>306</v>
      </c>
      <c r="C184" s="483">
        <v>40368</v>
      </c>
      <c r="D184" s="199" t="s">
        <v>32</v>
      </c>
      <c r="E184" s="484">
        <v>126</v>
      </c>
      <c r="F184" s="484">
        <v>1</v>
      </c>
      <c r="G184" s="484">
        <v>23</v>
      </c>
      <c r="H184" s="392">
        <v>1782</v>
      </c>
      <c r="I184" s="393">
        <v>445</v>
      </c>
      <c r="J184" s="112">
        <f>(I184/F184)</f>
        <v>445</v>
      </c>
      <c r="K184" s="195">
        <f>H184/I184</f>
        <v>4.004494382022472</v>
      </c>
      <c r="L184" s="12">
        <f>2106797.5+50230.5+32558.5+15249.5+15137+17418.5+7784.5+2808+2841.5+1328+2453+1693+613+726+713+1425.5+1782+1437+1782</f>
        <v>2264778</v>
      </c>
      <c r="M184" s="13">
        <f>220679+7944+5486+2451+2714+3159+1414+494+658+202+452+398+85+227+178+356+445+228+445</f>
        <v>248015</v>
      </c>
      <c r="N184" s="197">
        <f>L184/M184</f>
        <v>9.131617039291978</v>
      </c>
      <c r="O184" s="103">
        <v>174</v>
      </c>
    </row>
    <row r="185" spans="1:15" s="94" customFormat="1" ht="12" customHeight="1">
      <c r="A185" s="95">
        <v>175</v>
      </c>
      <c r="B185" s="771" t="s">
        <v>307</v>
      </c>
      <c r="C185" s="206">
        <v>40368</v>
      </c>
      <c r="D185" s="713" t="s">
        <v>32</v>
      </c>
      <c r="E185" s="719">
        <v>126</v>
      </c>
      <c r="F185" s="719">
        <v>1</v>
      </c>
      <c r="G185" s="719">
        <v>28</v>
      </c>
      <c r="H185" s="608">
        <v>1188</v>
      </c>
      <c r="I185" s="622">
        <v>297</v>
      </c>
      <c r="J185" s="267">
        <f>I185/F185</f>
        <v>297</v>
      </c>
      <c r="K185" s="360">
        <f>H185/I185</f>
        <v>4</v>
      </c>
      <c r="L185" s="26">
        <f>2106797.5+50230.5+32558.5+15249.5+15137+17418.5+7784.5+2808+2841.5+1328+2453+1693+613+726+713+1425.5+1782+1437+1782+2376+1544.5+2376+1188+1188</f>
        <v>2273450.5</v>
      </c>
      <c r="M185" s="27">
        <f>220679+7944+5486+2451+2714+3159+1414+494+658+202+452+398+85+227+178+356+445+228+445+594+386+594+297+297</f>
        <v>250183</v>
      </c>
      <c r="N185" s="501">
        <f>+L185/M185</f>
        <v>9.087150206049172</v>
      </c>
      <c r="O185" s="103">
        <v>175</v>
      </c>
    </row>
    <row r="186" spans="1:15" s="94" customFormat="1" ht="12" customHeight="1">
      <c r="A186" s="95">
        <v>176</v>
      </c>
      <c r="B186" s="753" t="s">
        <v>307</v>
      </c>
      <c r="C186" s="497">
        <v>40368</v>
      </c>
      <c r="D186" s="118" t="s">
        <v>32</v>
      </c>
      <c r="E186" s="499">
        <v>126</v>
      </c>
      <c r="F186" s="207">
        <v>1</v>
      </c>
      <c r="G186" s="499">
        <v>27</v>
      </c>
      <c r="H186" s="392">
        <v>1188</v>
      </c>
      <c r="I186" s="393">
        <v>297</v>
      </c>
      <c r="J186" s="101">
        <f>I186/F186</f>
        <v>297</v>
      </c>
      <c r="K186" s="100">
        <f>H186/I186</f>
        <v>4</v>
      </c>
      <c r="L186" s="12">
        <f>2106797.5+50230.5+32558.5+15249.5+15137+17418.5+7784.5+2808+2841.5+1328+2453+1693+613+726+713+1425.5+1782+1437+1782+2376+1544.5+2376+1188</f>
        <v>2272262.5</v>
      </c>
      <c r="M186" s="13">
        <f>220679+7944+5486+2451+2714+3159+1414+494+658+202+452+398+85+227+178+356+445+228+445+594+386+594+297</f>
        <v>249886</v>
      </c>
      <c r="N186" s="126">
        <f>+L186/M186</f>
        <v>9.093196497602907</v>
      </c>
      <c r="O186" s="103">
        <v>176</v>
      </c>
    </row>
    <row r="187" spans="1:15" s="94" customFormat="1" ht="12" customHeight="1">
      <c r="A187" s="95">
        <v>177</v>
      </c>
      <c r="B187" s="555" t="s">
        <v>307</v>
      </c>
      <c r="C187" s="206">
        <v>40368</v>
      </c>
      <c r="D187" s="118" t="s">
        <v>32</v>
      </c>
      <c r="E187" s="207">
        <v>126</v>
      </c>
      <c r="F187" s="207">
        <v>1</v>
      </c>
      <c r="G187" s="207">
        <v>26</v>
      </c>
      <c r="H187" s="392">
        <v>2376</v>
      </c>
      <c r="I187" s="393">
        <v>594</v>
      </c>
      <c r="J187" s="267">
        <f>I187/F187</f>
        <v>594</v>
      </c>
      <c r="K187" s="360">
        <f>H187/I187</f>
        <v>4</v>
      </c>
      <c r="L187" s="12">
        <f>2106797.5+50230.5+32558.5+15249.5+15137+17418.5+7784.5+2808+2841.5+1328+2453+1693+613+726+713+1425.5+1782+1437+1782+2376+1544.5+2376</f>
        <v>2271074.5</v>
      </c>
      <c r="M187" s="13">
        <f>220679+7944+5486+2451+2714+3159+1414+494+658+202+452+398+85+227+178+356+445+228+445+594+386+594</f>
        <v>249589</v>
      </c>
      <c r="N187" s="128">
        <f>+L187/M187</f>
        <v>9.09925717880195</v>
      </c>
      <c r="O187" s="103">
        <v>177</v>
      </c>
    </row>
    <row r="188" spans="1:15" s="94" customFormat="1" ht="12" customHeight="1">
      <c r="A188" s="95">
        <v>178</v>
      </c>
      <c r="B188" s="496" t="s">
        <v>307</v>
      </c>
      <c r="C188" s="497">
        <v>40368</v>
      </c>
      <c r="D188" s="118" t="s">
        <v>32</v>
      </c>
      <c r="E188" s="499">
        <v>126</v>
      </c>
      <c r="F188" s="207">
        <v>1</v>
      </c>
      <c r="G188" s="389">
        <v>24</v>
      </c>
      <c r="H188" s="392">
        <v>2376</v>
      </c>
      <c r="I188" s="393">
        <v>594</v>
      </c>
      <c r="J188" s="101">
        <f>I188/F188</f>
        <v>594</v>
      </c>
      <c r="K188" s="100">
        <f>H188/I188</f>
        <v>4</v>
      </c>
      <c r="L188" s="12">
        <f>2106797.5+50230.5+32558.5+15249.5+15137+17418.5+7784.5+2808+2841.5+1328+2453+1693+613+726+713+1425.5+1782+1437+1782+2376</f>
        <v>2267154</v>
      </c>
      <c r="M188" s="13">
        <f>220679+7944+5486+2451+2714+3159+1414+494+658+202+452+398+85+227+178+356+445+228+445+594</f>
        <v>248609</v>
      </c>
      <c r="N188" s="128">
        <f>L188/M188</f>
        <v>9.11935609732552</v>
      </c>
      <c r="O188" s="103">
        <v>178</v>
      </c>
    </row>
    <row r="189" spans="1:15" s="94" customFormat="1" ht="12" customHeight="1">
      <c r="A189" s="95">
        <v>179</v>
      </c>
      <c r="B189" s="555" t="s">
        <v>367</v>
      </c>
      <c r="C189" s="206">
        <v>40284</v>
      </c>
      <c r="D189" s="118" t="s">
        <v>32</v>
      </c>
      <c r="E189" s="207">
        <v>14</v>
      </c>
      <c r="F189" s="207">
        <v>1</v>
      </c>
      <c r="G189" s="207">
        <v>23</v>
      </c>
      <c r="H189" s="392">
        <v>1425.5</v>
      </c>
      <c r="I189" s="393">
        <v>356</v>
      </c>
      <c r="J189" s="101">
        <f>I189/F189</f>
        <v>356</v>
      </c>
      <c r="K189" s="100">
        <f>H189/I189</f>
        <v>4.004213483146067</v>
      </c>
      <c r="L189" s="12">
        <f>45403.5+26416+19522+5885+5520+2576+2604+1325+840+957.5+196+2970+1095+960+1330+1159+1173+1901+475+2019.5+1188+1307+1425.5</f>
        <v>128248</v>
      </c>
      <c r="M189" s="13">
        <f>4053+2594+2599+732+962+495+470+215+146+347+28+743+229+194+270+236+188+475+119+505+297+327+356</f>
        <v>16580</v>
      </c>
      <c r="N189" s="128">
        <f>L189/M189</f>
        <v>7.735102533172497</v>
      </c>
      <c r="O189" s="103">
        <v>179</v>
      </c>
    </row>
    <row r="190" spans="1:15" s="94" customFormat="1" ht="12" customHeight="1">
      <c r="A190" s="95">
        <v>180</v>
      </c>
      <c r="B190" s="201" t="s">
        <v>157</v>
      </c>
      <c r="C190" s="32">
        <v>40284</v>
      </c>
      <c r="D190" s="30" t="s">
        <v>32</v>
      </c>
      <c r="E190" s="33">
        <v>14</v>
      </c>
      <c r="F190" s="33">
        <v>1</v>
      </c>
      <c r="G190" s="33">
        <v>22</v>
      </c>
      <c r="H190" s="392">
        <v>1307</v>
      </c>
      <c r="I190" s="393">
        <v>327</v>
      </c>
      <c r="J190" s="112">
        <f>(I190/F190)</f>
        <v>327</v>
      </c>
      <c r="K190" s="195">
        <f>H190/I190</f>
        <v>3.996941896024465</v>
      </c>
      <c r="L190" s="12">
        <f>45403.5+26416+19522+5885+5520+2576+2604+1325+840+957.5+196+2970+1095+960+1330+1159+1173+1901+475+2019.5+1188+1307</f>
        <v>126822.5</v>
      </c>
      <c r="M190" s="13">
        <f>4053+2594+2599+732+962+495+470+215+146+347+28+743+229+194+270+236+188+475+119+505+297+327</f>
        <v>16224</v>
      </c>
      <c r="N190" s="197">
        <f>L190/M190</f>
        <v>7.816968688362919</v>
      </c>
      <c r="O190" s="103">
        <v>180</v>
      </c>
    </row>
    <row r="191" spans="1:15" s="94" customFormat="1" ht="12" customHeight="1">
      <c r="A191" s="95">
        <v>181</v>
      </c>
      <c r="B191" s="223" t="s">
        <v>158</v>
      </c>
      <c r="C191" s="2">
        <v>40480</v>
      </c>
      <c r="D191" s="19" t="s">
        <v>21</v>
      </c>
      <c r="E191" s="3">
        <v>71</v>
      </c>
      <c r="F191" s="3">
        <v>1</v>
      </c>
      <c r="G191" s="3">
        <v>12</v>
      </c>
      <c r="H191" s="593">
        <v>526</v>
      </c>
      <c r="I191" s="594">
        <v>85</v>
      </c>
      <c r="J191" s="101">
        <f>IF(H191&lt;&gt;0,I191/F191,"")</f>
        <v>85</v>
      </c>
      <c r="K191" s="231">
        <f>IF(H191&lt;&gt;0,H191/I191,"")</f>
        <v>6.188235294117647</v>
      </c>
      <c r="L191" s="35">
        <f>72774.5+23673+5827+3625+7534.5+38620+936+11563+4979+496.5+3270+526</f>
        <v>173824.5</v>
      </c>
      <c r="M191" s="38">
        <f>8533+3652+916+601+1795+7393+145+2290+697+79+654+85</f>
        <v>26840</v>
      </c>
      <c r="N191" s="232">
        <f>IF(L191&lt;&gt;0,L191/M191,"")</f>
        <v>6.476322652757079</v>
      </c>
      <c r="O191" s="103">
        <v>181</v>
      </c>
    </row>
    <row r="192" spans="1:15" s="94" customFormat="1" ht="12" customHeight="1">
      <c r="A192" s="95">
        <v>182</v>
      </c>
      <c r="B192" s="226" t="s">
        <v>158</v>
      </c>
      <c r="C192" s="2">
        <v>40480</v>
      </c>
      <c r="D192" s="20" t="s">
        <v>21</v>
      </c>
      <c r="E192" s="5">
        <v>71</v>
      </c>
      <c r="F192" s="5">
        <v>2</v>
      </c>
      <c r="G192" s="5">
        <v>11</v>
      </c>
      <c r="H192" s="593">
        <v>3270</v>
      </c>
      <c r="I192" s="594">
        <v>654</v>
      </c>
      <c r="J192" s="101">
        <f>IF(H192&lt;&gt;0,I192/F192,"")</f>
        <v>327</v>
      </c>
      <c r="K192" s="231">
        <f>IF(H192&lt;&gt;0,H192/I192,"")</f>
        <v>5</v>
      </c>
      <c r="L192" s="35">
        <f>72774.5+23673+5827+3625+7534.5+38620+936+11563+4979+496.5+3270</f>
        <v>173298.5</v>
      </c>
      <c r="M192" s="38">
        <f>8533+3652+916+601+1795+7393+145+2290+697+79+654</f>
        <v>26755</v>
      </c>
      <c r="N192" s="232">
        <f>IF(L192&lt;&gt;0,L192/M192,"")</f>
        <v>6.4772378994580455</v>
      </c>
      <c r="O192" s="103">
        <v>182</v>
      </c>
    </row>
    <row r="193" spans="1:15" s="94" customFormat="1" ht="12" customHeight="1">
      <c r="A193" s="95">
        <v>183</v>
      </c>
      <c r="B193" s="223" t="s">
        <v>158</v>
      </c>
      <c r="C193" s="2">
        <v>40480</v>
      </c>
      <c r="D193" s="22" t="s">
        <v>21</v>
      </c>
      <c r="E193" s="3">
        <v>71</v>
      </c>
      <c r="F193" s="3">
        <v>8</v>
      </c>
      <c r="G193" s="3">
        <v>10</v>
      </c>
      <c r="H193" s="614">
        <v>496.5</v>
      </c>
      <c r="I193" s="594">
        <v>79</v>
      </c>
      <c r="J193" s="101">
        <f>IF(H193&lt;&gt;0,I193/F193,"")</f>
        <v>9.875</v>
      </c>
      <c r="K193" s="243">
        <f>IF(H193&lt;&gt;0,H193/I193,"")</f>
        <v>6.284810126582278</v>
      </c>
      <c r="L193" s="34">
        <f>72774.5+23673+5827+3625+7534.5+38620+936+11563+4979+H193</f>
        <v>170028.5</v>
      </c>
      <c r="M193" s="38">
        <f>8533+3652+916+601+1795+7393+145+2290+697+I193</f>
        <v>26101</v>
      </c>
      <c r="N193" s="232">
        <f>IF(L193&lt;&gt;0,L193/M193,"")</f>
        <v>6.514252327497031</v>
      </c>
      <c r="O193" s="103">
        <v>183</v>
      </c>
    </row>
    <row r="194" spans="1:15" s="94" customFormat="1" ht="12" customHeight="1">
      <c r="A194" s="95">
        <v>184</v>
      </c>
      <c r="B194" s="266" t="s">
        <v>308</v>
      </c>
      <c r="C194" s="2">
        <v>40067</v>
      </c>
      <c r="D194" s="19" t="s">
        <v>21</v>
      </c>
      <c r="E194" s="3">
        <v>105</v>
      </c>
      <c r="F194" s="3">
        <v>2</v>
      </c>
      <c r="G194" s="3">
        <v>48</v>
      </c>
      <c r="H194" s="593">
        <v>3071</v>
      </c>
      <c r="I194" s="594">
        <v>592</v>
      </c>
      <c r="J194" s="101">
        <f>IF(H194&lt;&gt;0,I194/F194,"")</f>
        <v>296</v>
      </c>
      <c r="K194" s="231">
        <f>IF(H194&lt;&gt;0,H194/I194,"")</f>
        <v>5.1875</v>
      </c>
      <c r="L194" s="35">
        <f>645861.5+391+1223+705+141+3564+3071</f>
        <v>654956.5</v>
      </c>
      <c r="M194" s="38">
        <f>78550+64+202+109+20+713+592</f>
        <v>80250</v>
      </c>
      <c r="N194" s="232">
        <f>IF(L194&lt;&gt;0,L194/M194,"")</f>
        <v>8.161451713395639</v>
      </c>
      <c r="O194" s="103">
        <v>184</v>
      </c>
    </row>
    <row r="195" spans="1:15" s="94" customFormat="1" ht="12" customHeight="1">
      <c r="A195" s="95">
        <v>185</v>
      </c>
      <c r="B195" s="555" t="s">
        <v>309</v>
      </c>
      <c r="C195" s="206">
        <v>40473</v>
      </c>
      <c r="D195" s="118" t="s">
        <v>32</v>
      </c>
      <c r="E195" s="207">
        <v>30</v>
      </c>
      <c r="F195" s="207">
        <v>1</v>
      </c>
      <c r="G195" s="207">
        <v>17</v>
      </c>
      <c r="H195" s="392">
        <v>973</v>
      </c>
      <c r="I195" s="393">
        <v>109</v>
      </c>
      <c r="J195" s="267">
        <f>I195/F195</f>
        <v>109</v>
      </c>
      <c r="K195" s="360">
        <f>H195/I195</f>
        <v>8.926605504587156</v>
      </c>
      <c r="L195" s="12">
        <f>140269+106844+7979+4849+4700.5+7059+2232+1390+2769+13917+8357+891.5+4704+1307+1076+311+973</f>
        <v>309628</v>
      </c>
      <c r="M195" s="13">
        <f>11518+8629+641+577+660+1341+325+348+324+2259+1374+332+506+327+114+46+109</f>
        <v>29430</v>
      </c>
      <c r="N195" s="128">
        <f>+L195/M195</f>
        <v>10.520829085966701</v>
      </c>
      <c r="O195" s="103">
        <v>185</v>
      </c>
    </row>
    <row r="196" spans="1:15" s="94" customFormat="1" ht="12" customHeight="1">
      <c r="A196" s="95">
        <v>186</v>
      </c>
      <c r="B196" s="285" t="s">
        <v>309</v>
      </c>
      <c r="C196" s="272">
        <v>40473</v>
      </c>
      <c r="D196" s="286" t="s">
        <v>32</v>
      </c>
      <c r="E196" s="230">
        <v>30</v>
      </c>
      <c r="F196" s="230">
        <v>1</v>
      </c>
      <c r="G196" s="230">
        <v>16</v>
      </c>
      <c r="H196" s="600">
        <v>311</v>
      </c>
      <c r="I196" s="597">
        <v>46</v>
      </c>
      <c r="J196" s="110">
        <f>(I196/F196)</f>
        <v>46</v>
      </c>
      <c r="K196" s="218">
        <f>H196/I196</f>
        <v>6.760869565217392</v>
      </c>
      <c r="L196" s="43">
        <f>140269+106844+7979+4849+4700.5+7059+2232+1390+2769+13917+8357+891.5+4704+1307+1076+311</f>
        <v>308655</v>
      </c>
      <c r="M196" s="9">
        <f>11518+8629+641+577+660+1341+325+348+324+2259+1374+332+506+327+114+46</f>
        <v>29321</v>
      </c>
      <c r="N196" s="219">
        <f>L196/M196</f>
        <v>10.526755567681866</v>
      </c>
      <c r="O196" s="103">
        <v>186</v>
      </c>
    </row>
    <row r="197" spans="1:15" s="94" customFormat="1" ht="12" customHeight="1">
      <c r="A197" s="95">
        <v>187</v>
      </c>
      <c r="B197" s="215" t="s">
        <v>309</v>
      </c>
      <c r="C197" s="272">
        <v>40473</v>
      </c>
      <c r="D197" s="216" t="s">
        <v>32</v>
      </c>
      <c r="E197" s="217">
        <v>30</v>
      </c>
      <c r="F197" s="217">
        <v>1</v>
      </c>
      <c r="G197" s="217">
        <v>15</v>
      </c>
      <c r="H197" s="600">
        <v>1076</v>
      </c>
      <c r="I197" s="597">
        <v>114</v>
      </c>
      <c r="J197" s="110">
        <f>(I197/F197)</f>
        <v>114</v>
      </c>
      <c r="K197" s="218">
        <f>H197/I197</f>
        <v>9.43859649122807</v>
      </c>
      <c r="L197" s="43">
        <f>140269+106844+7979+4849+4700.5+7059+2232+1390+2769+13917+8357+891.5+4704+1307+1076</f>
        <v>308344</v>
      </c>
      <c r="M197" s="9">
        <f>11518+8629+641+577+660+1341+325+348+324+2259+1374+332+506+327+114</f>
        <v>29275</v>
      </c>
      <c r="N197" s="219">
        <f>L197/M197</f>
        <v>10.53267292912041</v>
      </c>
      <c r="O197" s="103">
        <v>187</v>
      </c>
    </row>
    <row r="198" spans="1:15" s="94" customFormat="1" ht="12" customHeight="1">
      <c r="A198" s="95">
        <v>188</v>
      </c>
      <c r="B198" s="205" t="s">
        <v>309</v>
      </c>
      <c r="C198" s="206">
        <v>40473</v>
      </c>
      <c r="D198" s="199" t="s">
        <v>32</v>
      </c>
      <c r="E198" s="207">
        <v>30</v>
      </c>
      <c r="F198" s="207">
        <v>1</v>
      </c>
      <c r="G198" s="207">
        <v>14</v>
      </c>
      <c r="H198" s="603">
        <v>1307</v>
      </c>
      <c r="I198" s="611">
        <v>327</v>
      </c>
      <c r="J198" s="208">
        <f>(I198/F198)</f>
        <v>327</v>
      </c>
      <c r="K198" s="209">
        <f>H198/I198</f>
        <v>3.996941896024465</v>
      </c>
      <c r="L198" s="210">
        <f>140269+106844+7979+4849+4700.5+7059+2232+1390+2769+13917+8357+891.5+4704+1307</f>
        <v>307268</v>
      </c>
      <c r="M198" s="211">
        <f>11518+8629+641+577+660+1341+325+348+324+2259+1374+332+506+327</f>
        <v>29161</v>
      </c>
      <c r="N198" s="212">
        <f>L198/M198</f>
        <v>10.536950036006996</v>
      </c>
      <c r="O198" s="103">
        <v>188</v>
      </c>
    </row>
    <row r="199" spans="1:15" s="94" customFormat="1" ht="12" customHeight="1">
      <c r="A199" s="95">
        <v>189</v>
      </c>
      <c r="B199" s="205" t="s">
        <v>309</v>
      </c>
      <c r="C199" s="206">
        <v>40473</v>
      </c>
      <c r="D199" s="199" t="s">
        <v>32</v>
      </c>
      <c r="E199" s="207">
        <v>30</v>
      </c>
      <c r="F199" s="207">
        <v>3</v>
      </c>
      <c r="G199" s="207">
        <v>13</v>
      </c>
      <c r="H199" s="603">
        <v>4704</v>
      </c>
      <c r="I199" s="611">
        <v>506</v>
      </c>
      <c r="J199" s="208">
        <f>(I199/F199)</f>
        <v>168.66666666666666</v>
      </c>
      <c r="K199" s="209">
        <f>H199/I199</f>
        <v>9.296442687747035</v>
      </c>
      <c r="L199" s="210">
        <f>140269+106844+7979+4849+4700.5+7059+2232+1390+2769+13917+8357+891.5+4704</f>
        <v>305961</v>
      </c>
      <c r="M199" s="211">
        <f>11518+8629+641+577+660+1341+325+348+324+2259+1374+332+506</f>
        <v>28834</v>
      </c>
      <c r="N199" s="212">
        <f>L199/M199</f>
        <v>10.61111881806201</v>
      </c>
      <c r="O199" s="103">
        <v>189</v>
      </c>
    </row>
    <row r="200" spans="1:15" s="94" customFormat="1" ht="12" customHeight="1">
      <c r="A200" s="95">
        <v>190</v>
      </c>
      <c r="B200" s="201" t="s">
        <v>309</v>
      </c>
      <c r="C200" s="32">
        <v>40473</v>
      </c>
      <c r="D200" s="199" t="s">
        <v>32</v>
      </c>
      <c r="E200" s="33">
        <v>30</v>
      </c>
      <c r="F200" s="33">
        <v>1</v>
      </c>
      <c r="G200" s="33">
        <v>12</v>
      </c>
      <c r="H200" s="392">
        <v>891.5</v>
      </c>
      <c r="I200" s="393">
        <v>332</v>
      </c>
      <c r="J200" s="112">
        <f>(I200/F200)</f>
        <v>332</v>
      </c>
      <c r="K200" s="195">
        <f>H200/I200</f>
        <v>2.6852409638554215</v>
      </c>
      <c r="L200" s="12">
        <f>140269+106844+7979+4849+4700.5+7059+2232+1390+2769+13917+8357+891.5</f>
        <v>301257</v>
      </c>
      <c r="M200" s="13">
        <f>11518+8629+641+577+660+1341+325+348+324+2259+1374+332</f>
        <v>28328</v>
      </c>
      <c r="N200" s="197">
        <f>L200/M200</f>
        <v>10.63460180739904</v>
      </c>
      <c r="O200" s="103">
        <v>190</v>
      </c>
    </row>
    <row r="201" spans="1:15" s="94" customFormat="1" ht="12" customHeight="1">
      <c r="A201" s="95">
        <v>191</v>
      </c>
      <c r="B201" s="198" t="s">
        <v>309</v>
      </c>
      <c r="C201" s="32">
        <v>40473</v>
      </c>
      <c r="D201" s="199" t="s">
        <v>32</v>
      </c>
      <c r="E201" s="33">
        <v>30</v>
      </c>
      <c r="F201" s="33">
        <v>10</v>
      </c>
      <c r="G201" s="33">
        <v>11</v>
      </c>
      <c r="H201" s="608">
        <v>8357</v>
      </c>
      <c r="I201" s="393">
        <v>1374</v>
      </c>
      <c r="J201" s="112">
        <f>(I201/F201)</f>
        <v>137.4</v>
      </c>
      <c r="K201" s="200">
        <f>H201/I201</f>
        <v>6.082241630276565</v>
      </c>
      <c r="L201" s="26">
        <f>140269+106844+7979+4849+4700.5+7059+2232+1390+2769+13917+8357</f>
        <v>300365.5</v>
      </c>
      <c r="M201" s="13">
        <f>11518+8629+641+577+660+1341+325+348+324+2259+1374</f>
        <v>27996</v>
      </c>
      <c r="N201" s="197">
        <f>L201/M201</f>
        <v>10.728871981711674</v>
      </c>
      <c r="O201" s="103">
        <v>191</v>
      </c>
    </row>
    <row r="202" spans="1:15" s="94" customFormat="1" ht="12" customHeight="1">
      <c r="A202" s="95">
        <v>192</v>
      </c>
      <c r="B202" s="488" t="s">
        <v>310</v>
      </c>
      <c r="C202" s="483">
        <v>40438</v>
      </c>
      <c r="D202" s="30" t="s">
        <v>32</v>
      </c>
      <c r="E202" s="489">
        <v>19</v>
      </c>
      <c r="F202" s="489">
        <v>1</v>
      </c>
      <c r="G202" s="489">
        <v>14</v>
      </c>
      <c r="H202" s="392">
        <v>1425.5</v>
      </c>
      <c r="I202" s="393">
        <v>356</v>
      </c>
      <c r="J202" s="112">
        <f>(I202/F202)</f>
        <v>356</v>
      </c>
      <c r="K202" s="195">
        <f>H202/I202</f>
        <v>4.004213483146067</v>
      </c>
      <c r="L202" s="12">
        <f>56752.5+38871+22868.5+4839+2786+2829.5+8012+670+1368+140+42+628+1188+1425.5</f>
        <v>142420</v>
      </c>
      <c r="M202" s="13">
        <f>4639+3072+2103+531+316+368+936+83+203+20+6+98+297+356</f>
        <v>13028</v>
      </c>
      <c r="N202" s="197">
        <f>L202/M202</f>
        <v>10.931839115750691</v>
      </c>
      <c r="O202" s="103">
        <v>192</v>
      </c>
    </row>
    <row r="203" spans="1:15" s="94" customFormat="1" ht="12" customHeight="1">
      <c r="A203" s="95">
        <v>193</v>
      </c>
      <c r="B203" s="490" t="s">
        <v>310</v>
      </c>
      <c r="C203" s="483">
        <v>40438</v>
      </c>
      <c r="D203" s="199" t="s">
        <v>32</v>
      </c>
      <c r="E203" s="489">
        <v>19</v>
      </c>
      <c r="F203" s="489">
        <v>1</v>
      </c>
      <c r="G203" s="489">
        <v>13</v>
      </c>
      <c r="H203" s="608">
        <v>1188</v>
      </c>
      <c r="I203" s="393">
        <v>297</v>
      </c>
      <c r="J203" s="112">
        <f>(I203/F203)</f>
        <v>297</v>
      </c>
      <c r="K203" s="200">
        <f>H203/I203</f>
        <v>4</v>
      </c>
      <c r="L203" s="26">
        <f>56752.5+38871+22868.5+4839+2786+2829.5+8012+670+1368+140+42+628+1188</f>
        <v>140994.5</v>
      </c>
      <c r="M203" s="13">
        <f>4639+3072+2103+531+316+368+936+83+203+20+6+98+297</f>
        <v>12672</v>
      </c>
      <c r="N203" s="197">
        <f>L203/M203</f>
        <v>11.12645991161616</v>
      </c>
      <c r="O203" s="103">
        <v>193</v>
      </c>
    </row>
    <row r="204" spans="1:15" s="94" customFormat="1" ht="12" customHeight="1">
      <c r="A204" s="95">
        <v>194</v>
      </c>
      <c r="B204" s="213" t="s">
        <v>311</v>
      </c>
      <c r="C204" s="32">
        <v>39871</v>
      </c>
      <c r="D204" s="199" t="s">
        <v>32</v>
      </c>
      <c r="E204" s="202">
        <v>1</v>
      </c>
      <c r="F204" s="202">
        <v>1</v>
      </c>
      <c r="G204" s="202">
        <v>24</v>
      </c>
      <c r="H204" s="392">
        <v>952</v>
      </c>
      <c r="I204" s="393">
        <v>238</v>
      </c>
      <c r="J204" s="112">
        <f>(I204/F204)</f>
        <v>238</v>
      </c>
      <c r="K204" s="195">
        <f>H204/I204</f>
        <v>4</v>
      </c>
      <c r="L204" s="12">
        <f>1088+1510+1304+856+387+214+424+106+162+130+476+60.5+118+96+1664+1780+454+259.5+1188+119.5+1188+1780+1780+1780+952</f>
        <v>19876.5</v>
      </c>
      <c r="M204" s="13">
        <f>267+175+155+102+46+26+51+12+18+16+57+8+22+16+416+445+57+31+297+19+297+445+445+445+238</f>
        <v>4106</v>
      </c>
      <c r="N204" s="197">
        <f>L204/M204</f>
        <v>4.840842669264491</v>
      </c>
      <c r="O204" s="103">
        <v>194</v>
      </c>
    </row>
    <row r="205" spans="1:15" s="94" customFormat="1" ht="12" customHeight="1">
      <c r="A205" s="95">
        <v>195</v>
      </c>
      <c r="B205" s="226" t="s">
        <v>312</v>
      </c>
      <c r="C205" s="2">
        <v>40529</v>
      </c>
      <c r="D205" s="20" t="s">
        <v>10</v>
      </c>
      <c r="E205" s="5">
        <v>72</v>
      </c>
      <c r="F205" s="5">
        <v>1</v>
      </c>
      <c r="G205" s="5">
        <v>8</v>
      </c>
      <c r="H205" s="445">
        <v>500</v>
      </c>
      <c r="I205" s="446">
        <v>70</v>
      </c>
      <c r="J205" s="109">
        <f>I205/F205</f>
        <v>70</v>
      </c>
      <c r="K205" s="204">
        <f>H205/I205</f>
        <v>7.142857142857143</v>
      </c>
      <c r="L205" s="44">
        <v>919779</v>
      </c>
      <c r="M205" s="46">
        <v>84805</v>
      </c>
      <c r="N205" s="222">
        <f>+L205/M205</f>
        <v>10.84581097812629</v>
      </c>
      <c r="O205" s="103">
        <v>195</v>
      </c>
    </row>
    <row r="206" spans="1:15" s="94" customFormat="1" ht="12" customHeight="1">
      <c r="A206" s="95">
        <v>196</v>
      </c>
      <c r="B206" s="221" t="s">
        <v>312</v>
      </c>
      <c r="C206" s="2">
        <v>40529</v>
      </c>
      <c r="D206" s="19" t="s">
        <v>10</v>
      </c>
      <c r="E206" s="3">
        <v>72</v>
      </c>
      <c r="F206" s="3">
        <v>4</v>
      </c>
      <c r="G206" s="3">
        <v>7</v>
      </c>
      <c r="H206" s="445">
        <v>2361</v>
      </c>
      <c r="I206" s="446">
        <v>403</v>
      </c>
      <c r="J206" s="109">
        <f>I206/F206</f>
        <v>100.75</v>
      </c>
      <c r="K206" s="204">
        <f>H206/I206</f>
        <v>5.858560794044665</v>
      </c>
      <c r="L206" s="44">
        <v>919279</v>
      </c>
      <c r="M206" s="46">
        <v>84735</v>
      </c>
      <c r="N206" s="222">
        <f>+L206/M206</f>
        <v>10.848870006490824</v>
      </c>
      <c r="O206" s="103">
        <v>196</v>
      </c>
    </row>
    <row r="207" spans="1:15" s="94" customFormat="1" ht="12" customHeight="1">
      <c r="A207" s="95">
        <v>197</v>
      </c>
      <c r="B207" s="223" t="s">
        <v>312</v>
      </c>
      <c r="C207" s="2">
        <v>40529</v>
      </c>
      <c r="D207" s="19" t="s">
        <v>10</v>
      </c>
      <c r="E207" s="3">
        <v>72</v>
      </c>
      <c r="F207" s="3">
        <v>2</v>
      </c>
      <c r="G207" s="3">
        <v>6</v>
      </c>
      <c r="H207" s="445">
        <v>1181</v>
      </c>
      <c r="I207" s="446">
        <v>183</v>
      </c>
      <c r="J207" s="109">
        <f>I207/F207</f>
        <v>91.5</v>
      </c>
      <c r="K207" s="204">
        <f>H207/I207</f>
        <v>6.453551912568306</v>
      </c>
      <c r="L207" s="44">
        <v>916919</v>
      </c>
      <c r="M207" s="46">
        <v>84332</v>
      </c>
      <c r="N207" s="222">
        <f>+L207/M207</f>
        <v>10.87272921311009</v>
      </c>
      <c r="O207" s="103">
        <v>197</v>
      </c>
    </row>
    <row r="208" spans="1:15" s="94" customFormat="1" ht="12" customHeight="1">
      <c r="A208" s="95">
        <v>198</v>
      </c>
      <c r="B208" s="226" t="s">
        <v>312</v>
      </c>
      <c r="C208" s="2">
        <v>40529</v>
      </c>
      <c r="D208" s="20" t="s">
        <v>10</v>
      </c>
      <c r="E208" s="5">
        <v>72</v>
      </c>
      <c r="F208" s="5">
        <v>3</v>
      </c>
      <c r="G208" s="5">
        <v>5</v>
      </c>
      <c r="H208" s="445">
        <v>3407</v>
      </c>
      <c r="I208" s="446">
        <v>461</v>
      </c>
      <c r="J208" s="109">
        <f>I208/F208</f>
        <v>153.66666666666666</v>
      </c>
      <c r="K208" s="204">
        <f>H208/I208</f>
        <v>7.390455531453362</v>
      </c>
      <c r="L208" s="44">
        <v>915738</v>
      </c>
      <c r="M208" s="46">
        <v>84149</v>
      </c>
      <c r="N208" s="222">
        <f>+L208/M208</f>
        <v>10.88233965941366</v>
      </c>
      <c r="O208" s="103">
        <v>198</v>
      </c>
    </row>
    <row r="209" spans="1:15" s="94" customFormat="1" ht="12" customHeight="1">
      <c r="A209" s="95">
        <v>199</v>
      </c>
      <c r="B209" s="221" t="s">
        <v>312</v>
      </c>
      <c r="C209" s="2">
        <v>40529</v>
      </c>
      <c r="D209" s="22" t="s">
        <v>10</v>
      </c>
      <c r="E209" s="3">
        <v>72</v>
      </c>
      <c r="F209" s="3">
        <v>2</v>
      </c>
      <c r="G209" s="3">
        <v>4</v>
      </c>
      <c r="H209" s="445">
        <v>2401</v>
      </c>
      <c r="I209" s="446">
        <v>570</v>
      </c>
      <c r="J209" s="109">
        <f>I209/F209</f>
        <v>285</v>
      </c>
      <c r="K209" s="204">
        <f>H209/I209</f>
        <v>4.212280701754386</v>
      </c>
      <c r="L209" s="44">
        <v>912331</v>
      </c>
      <c r="M209" s="46">
        <v>83688</v>
      </c>
      <c r="N209" s="222">
        <f>+L209/M209</f>
        <v>10.901574897237358</v>
      </c>
      <c r="O209" s="103">
        <v>199</v>
      </c>
    </row>
    <row r="210" spans="1:15" s="94" customFormat="1" ht="12" customHeight="1">
      <c r="A210" s="95">
        <v>200</v>
      </c>
      <c r="B210" s="223" t="s">
        <v>312</v>
      </c>
      <c r="C210" s="2">
        <v>40529</v>
      </c>
      <c r="D210" s="22" t="s">
        <v>10</v>
      </c>
      <c r="E210" s="3">
        <v>72</v>
      </c>
      <c r="F210" s="3">
        <v>71</v>
      </c>
      <c r="G210" s="3">
        <v>3</v>
      </c>
      <c r="H210" s="612">
        <v>165182</v>
      </c>
      <c r="I210" s="446">
        <v>14707</v>
      </c>
      <c r="J210" s="109">
        <f>I210/F210</f>
        <v>207.14084507042253</v>
      </c>
      <c r="K210" s="269">
        <f>+H210/I210</f>
        <v>11.231522404297273</v>
      </c>
      <c r="L210" s="225">
        <v>909930</v>
      </c>
      <c r="M210" s="46">
        <v>83118</v>
      </c>
      <c r="N210" s="222">
        <f>+L210/M210</f>
        <v>10.94744820616473</v>
      </c>
      <c r="O210" s="103">
        <v>200</v>
      </c>
    </row>
    <row r="211" spans="1:15" s="94" customFormat="1" ht="12" customHeight="1">
      <c r="A211" s="95">
        <v>201</v>
      </c>
      <c r="B211" s="515" t="s">
        <v>313</v>
      </c>
      <c r="C211" s="516">
        <v>40480</v>
      </c>
      <c r="D211" s="118" t="s">
        <v>141</v>
      </c>
      <c r="E211" s="517">
        <v>15</v>
      </c>
      <c r="F211" s="517">
        <v>1</v>
      </c>
      <c r="G211" s="518">
        <v>11</v>
      </c>
      <c r="H211" s="450">
        <v>1179</v>
      </c>
      <c r="I211" s="451">
        <v>356</v>
      </c>
      <c r="J211" s="101">
        <f>I211/F211</f>
        <v>356</v>
      </c>
      <c r="K211" s="100">
        <f>H211/I211</f>
        <v>3.311797752808989</v>
      </c>
      <c r="L211" s="440">
        <v>63220</v>
      </c>
      <c r="M211" s="441">
        <v>7432</v>
      </c>
      <c r="N211" s="126">
        <f>+L211/M211</f>
        <v>8.506458557588806</v>
      </c>
      <c r="O211" s="103">
        <v>201</v>
      </c>
    </row>
    <row r="212" spans="1:15" s="94" customFormat="1" ht="12" customHeight="1">
      <c r="A212" s="95">
        <v>202</v>
      </c>
      <c r="B212" s="510" t="s">
        <v>313</v>
      </c>
      <c r="C212" s="508">
        <v>40480</v>
      </c>
      <c r="D212" s="199" t="s">
        <v>141</v>
      </c>
      <c r="E212" s="511">
        <v>15</v>
      </c>
      <c r="F212" s="511">
        <v>1</v>
      </c>
      <c r="G212" s="202">
        <v>10</v>
      </c>
      <c r="H212" s="617">
        <v>1898</v>
      </c>
      <c r="I212" s="618">
        <v>380</v>
      </c>
      <c r="J212" s="115">
        <v>380</v>
      </c>
      <c r="K212" s="268">
        <v>4.994736842105263</v>
      </c>
      <c r="L212" s="240">
        <v>62041</v>
      </c>
      <c r="M212" s="241">
        <v>7076</v>
      </c>
      <c r="N212" s="242">
        <v>8.767806670435274</v>
      </c>
      <c r="O212" s="103">
        <v>202</v>
      </c>
    </row>
    <row r="213" spans="1:15" s="94" customFormat="1" ht="12" customHeight="1">
      <c r="A213" s="95">
        <v>203</v>
      </c>
      <c r="B213" s="674" t="s">
        <v>313</v>
      </c>
      <c r="C213" s="508">
        <v>40480</v>
      </c>
      <c r="D213" s="30" t="s">
        <v>141</v>
      </c>
      <c r="E213" s="509">
        <v>15</v>
      </c>
      <c r="F213" s="509">
        <v>1</v>
      </c>
      <c r="G213" s="509">
        <v>9</v>
      </c>
      <c r="H213" s="617">
        <v>2135</v>
      </c>
      <c r="I213" s="618">
        <v>427</v>
      </c>
      <c r="J213" s="115">
        <v>427</v>
      </c>
      <c r="K213" s="477">
        <v>5</v>
      </c>
      <c r="L213" s="240">
        <v>60143</v>
      </c>
      <c r="M213" s="241">
        <v>6696</v>
      </c>
      <c r="N213" s="222">
        <f>+L213/M213</f>
        <v>8.981929510155316</v>
      </c>
      <c r="O213" s="103">
        <v>203</v>
      </c>
    </row>
    <row r="214" spans="1:15" s="94" customFormat="1" ht="12" customHeight="1">
      <c r="A214" s="95">
        <v>204</v>
      </c>
      <c r="B214" s="519" t="s">
        <v>313</v>
      </c>
      <c r="C214" s="508">
        <v>40480</v>
      </c>
      <c r="D214" s="520" t="s">
        <v>314</v>
      </c>
      <c r="E214" s="509">
        <v>15</v>
      </c>
      <c r="F214" s="509">
        <v>1</v>
      </c>
      <c r="G214" s="509">
        <v>8</v>
      </c>
      <c r="H214" s="617">
        <v>495</v>
      </c>
      <c r="I214" s="618">
        <v>70</v>
      </c>
      <c r="J214" s="112">
        <f>(I214/F214)</f>
        <v>70</v>
      </c>
      <c r="K214" s="195">
        <f>H214/I214</f>
        <v>7.071428571428571</v>
      </c>
      <c r="L214" s="240">
        <v>58008</v>
      </c>
      <c r="M214" s="241">
        <v>6269</v>
      </c>
      <c r="N214" s="197">
        <f>L214/M214</f>
        <v>9.253150422714947</v>
      </c>
      <c r="O214" s="103">
        <v>204</v>
      </c>
    </row>
    <row r="215" spans="1:15" s="94" customFormat="1" ht="12" customHeight="1">
      <c r="A215" s="95">
        <v>205</v>
      </c>
      <c r="B215" s="510" t="s">
        <v>313</v>
      </c>
      <c r="C215" s="508">
        <v>40480</v>
      </c>
      <c r="D215" s="512" t="s">
        <v>141</v>
      </c>
      <c r="E215" s="511">
        <v>15</v>
      </c>
      <c r="F215" s="511">
        <v>1</v>
      </c>
      <c r="G215" s="511">
        <v>7</v>
      </c>
      <c r="H215" s="617">
        <v>1779</v>
      </c>
      <c r="I215" s="618">
        <v>356</v>
      </c>
      <c r="J215" s="241">
        <v>356</v>
      </c>
      <c r="K215" s="513">
        <v>4.997191011235955</v>
      </c>
      <c r="L215" s="240">
        <v>57513</v>
      </c>
      <c r="M215" s="241">
        <v>6199</v>
      </c>
      <c r="N215" s="514">
        <v>9.277786739796742</v>
      </c>
      <c r="O215" s="103">
        <v>205</v>
      </c>
    </row>
    <row r="216" spans="1:15" s="94" customFormat="1" ht="12" customHeight="1">
      <c r="A216" s="95">
        <v>206</v>
      </c>
      <c r="B216" s="469" t="s">
        <v>315</v>
      </c>
      <c r="C216" s="32">
        <v>40536</v>
      </c>
      <c r="D216" s="199" t="s">
        <v>23</v>
      </c>
      <c r="E216" s="202">
        <v>91</v>
      </c>
      <c r="F216" s="202">
        <v>3</v>
      </c>
      <c r="G216" s="202">
        <v>10</v>
      </c>
      <c r="H216" s="625">
        <v>1793</v>
      </c>
      <c r="I216" s="631">
        <v>426</v>
      </c>
      <c r="J216" s="29">
        <f>I216/F216</f>
        <v>142</v>
      </c>
      <c r="K216" s="269">
        <f>+H216/I216</f>
        <v>4.208920187793427</v>
      </c>
      <c r="L216" s="28">
        <v>1199776</v>
      </c>
      <c r="M216" s="521">
        <v>105815</v>
      </c>
      <c r="N216" s="259">
        <f>+L216/M216</f>
        <v>11.338430279260974</v>
      </c>
      <c r="O216" s="103">
        <v>206</v>
      </c>
    </row>
    <row r="217" spans="1:15" s="94" customFormat="1" ht="12" customHeight="1">
      <c r="A217" s="95">
        <v>207</v>
      </c>
      <c r="B217" s="469" t="s">
        <v>315</v>
      </c>
      <c r="C217" s="32">
        <v>40536</v>
      </c>
      <c r="D217" s="199" t="s">
        <v>23</v>
      </c>
      <c r="E217" s="202">
        <v>91</v>
      </c>
      <c r="F217" s="202">
        <v>1</v>
      </c>
      <c r="G217" s="202">
        <v>9</v>
      </c>
      <c r="H217" s="595">
        <v>1546</v>
      </c>
      <c r="I217" s="596">
        <v>759</v>
      </c>
      <c r="J217" s="38">
        <f>I217/F217</f>
        <v>759</v>
      </c>
      <c r="K217" s="258">
        <f>+H217/I217</f>
        <v>2.036890645586298</v>
      </c>
      <c r="L217" s="36">
        <v>1197983</v>
      </c>
      <c r="M217" s="39">
        <v>105389</v>
      </c>
      <c r="N217" s="259">
        <f>+L217/M217</f>
        <v>11.367248953875642</v>
      </c>
      <c r="O217" s="103">
        <v>207</v>
      </c>
    </row>
    <row r="218" spans="1:15" s="94" customFormat="1" ht="12" customHeight="1">
      <c r="A218" s="95">
        <v>208</v>
      </c>
      <c r="B218" s="475" t="s">
        <v>315</v>
      </c>
      <c r="C218" s="478">
        <v>40536</v>
      </c>
      <c r="D218" s="479" t="s">
        <v>23</v>
      </c>
      <c r="E218" s="262">
        <v>91</v>
      </c>
      <c r="F218" s="262">
        <v>1</v>
      </c>
      <c r="G218" s="262">
        <v>8</v>
      </c>
      <c r="H218" s="447">
        <v>557</v>
      </c>
      <c r="I218" s="448">
        <v>81</v>
      </c>
      <c r="J218" s="263">
        <f>I218/F218</f>
        <v>81</v>
      </c>
      <c r="K218" s="480">
        <f>+H218/I218</f>
        <v>6.8765432098765435</v>
      </c>
      <c r="L218" s="264">
        <v>1196437</v>
      </c>
      <c r="M218" s="238">
        <v>104630</v>
      </c>
      <c r="N218" s="481">
        <f>+L218/M218</f>
        <v>11.43493261970754</v>
      </c>
      <c r="O218" s="103">
        <v>208</v>
      </c>
    </row>
    <row r="219" spans="1:15" s="94" customFormat="1" ht="12" customHeight="1">
      <c r="A219" s="95">
        <v>209</v>
      </c>
      <c r="B219" s="191" t="s">
        <v>315</v>
      </c>
      <c r="C219" s="32">
        <v>40536</v>
      </c>
      <c r="D219" s="273" t="s">
        <v>23</v>
      </c>
      <c r="E219" s="33">
        <v>91</v>
      </c>
      <c r="F219" s="33">
        <v>1</v>
      </c>
      <c r="G219" s="33">
        <v>6</v>
      </c>
      <c r="H219" s="595">
        <v>901</v>
      </c>
      <c r="I219" s="596">
        <v>123</v>
      </c>
      <c r="J219" s="38">
        <f>I219/F219</f>
        <v>123</v>
      </c>
      <c r="K219" s="258">
        <f>+H219/I219</f>
        <v>7.32520325203252</v>
      </c>
      <c r="L219" s="36">
        <v>1195880</v>
      </c>
      <c r="M219" s="39">
        <v>104549</v>
      </c>
      <c r="N219" s="222">
        <f>+L219/M219</f>
        <v>11.438464260777243</v>
      </c>
      <c r="O219" s="103">
        <v>209</v>
      </c>
    </row>
    <row r="220" spans="1:15" s="94" customFormat="1" ht="12" customHeight="1">
      <c r="A220" s="95">
        <v>210</v>
      </c>
      <c r="B220" s="236" t="s">
        <v>315</v>
      </c>
      <c r="C220" s="32">
        <v>40536</v>
      </c>
      <c r="D220" s="273" t="s">
        <v>23</v>
      </c>
      <c r="E220" s="33">
        <v>91</v>
      </c>
      <c r="F220" s="33">
        <v>6</v>
      </c>
      <c r="G220" s="33">
        <v>5</v>
      </c>
      <c r="H220" s="595">
        <v>2455</v>
      </c>
      <c r="I220" s="596">
        <v>339</v>
      </c>
      <c r="J220" s="38">
        <f>I220/F220</f>
        <v>56.5</v>
      </c>
      <c r="K220" s="258">
        <f>+H220/I220</f>
        <v>7.241887905604719</v>
      </c>
      <c r="L220" s="36">
        <v>1195033</v>
      </c>
      <c r="M220" s="39">
        <v>104426</v>
      </c>
      <c r="N220" s="259">
        <f>+L220/M220</f>
        <v>11.443826250167582</v>
      </c>
      <c r="O220" s="103">
        <v>210</v>
      </c>
    </row>
    <row r="221" spans="1:15" s="94" customFormat="1" ht="12" customHeight="1">
      <c r="A221" s="95">
        <v>211</v>
      </c>
      <c r="B221" s="475" t="s">
        <v>315</v>
      </c>
      <c r="C221" s="478">
        <v>40536</v>
      </c>
      <c r="D221" s="479" t="s">
        <v>23</v>
      </c>
      <c r="E221" s="262">
        <v>91</v>
      </c>
      <c r="F221" s="262">
        <v>22</v>
      </c>
      <c r="G221" s="262">
        <v>4</v>
      </c>
      <c r="H221" s="447">
        <v>28672</v>
      </c>
      <c r="I221" s="448">
        <v>2679</v>
      </c>
      <c r="J221" s="263">
        <f>I221/F221</f>
        <v>121.77272727272727</v>
      </c>
      <c r="K221" s="480">
        <f>+H221/I221</f>
        <v>10.702500933184023</v>
      </c>
      <c r="L221" s="264">
        <v>1192578</v>
      </c>
      <c r="M221" s="238">
        <v>104087</v>
      </c>
      <c r="N221" s="481">
        <f>+L221/M221</f>
        <v>11.45751150479887</v>
      </c>
      <c r="O221" s="103">
        <v>211</v>
      </c>
    </row>
    <row r="222" spans="1:15" s="94" customFormat="1" ht="12" customHeight="1">
      <c r="A222" s="95">
        <v>212</v>
      </c>
      <c r="B222" s="191" t="s">
        <v>315</v>
      </c>
      <c r="C222" s="32">
        <v>40536</v>
      </c>
      <c r="D222" s="261" t="s">
        <v>23</v>
      </c>
      <c r="E222" s="33">
        <v>91</v>
      </c>
      <c r="F222" s="33">
        <v>90</v>
      </c>
      <c r="G222" s="33">
        <v>3</v>
      </c>
      <c r="H222" s="595">
        <v>191201</v>
      </c>
      <c r="I222" s="596">
        <v>16807</v>
      </c>
      <c r="J222" s="38">
        <f>I222/F222</f>
        <v>186.74444444444444</v>
      </c>
      <c r="K222" s="258">
        <f>+H222/I222</f>
        <v>11.37627179151544</v>
      </c>
      <c r="L222" s="36">
        <v>1163906</v>
      </c>
      <c r="M222" s="39">
        <v>101408</v>
      </c>
      <c r="N222" s="259">
        <f>+L222/M222</f>
        <v>11.477457399810666</v>
      </c>
      <c r="O222" s="103">
        <v>212</v>
      </c>
    </row>
    <row r="223" spans="1:15" s="94" customFormat="1" ht="12" customHeight="1">
      <c r="A223" s="95">
        <v>213</v>
      </c>
      <c r="B223" s="236" t="s">
        <v>315</v>
      </c>
      <c r="C223" s="32">
        <v>40536</v>
      </c>
      <c r="D223" s="261" t="s">
        <v>23</v>
      </c>
      <c r="E223" s="33">
        <v>91</v>
      </c>
      <c r="F223" s="33">
        <v>92</v>
      </c>
      <c r="G223" s="33">
        <v>2</v>
      </c>
      <c r="H223" s="625">
        <v>390086</v>
      </c>
      <c r="I223" s="596">
        <v>33581</v>
      </c>
      <c r="J223" s="38">
        <f>I223/F223</f>
        <v>365.0108695652174</v>
      </c>
      <c r="K223" s="269">
        <f>+H223/I223</f>
        <v>11.616271105684762</v>
      </c>
      <c r="L223" s="28">
        <v>972705</v>
      </c>
      <c r="M223" s="39">
        <v>84601</v>
      </c>
      <c r="N223" s="259">
        <f>+L223/M223</f>
        <v>11.497559130506732</v>
      </c>
      <c r="O223" s="103">
        <v>213</v>
      </c>
    </row>
    <row r="224" spans="1:15" s="94" customFormat="1" ht="12" customHeight="1">
      <c r="A224" s="95">
        <v>214</v>
      </c>
      <c r="B224" s="526" t="s">
        <v>316</v>
      </c>
      <c r="C224" s="524">
        <v>40193</v>
      </c>
      <c r="D224" s="30" t="s">
        <v>32</v>
      </c>
      <c r="E224" s="525">
        <v>55</v>
      </c>
      <c r="F224" s="525">
        <v>1</v>
      </c>
      <c r="G224" s="525">
        <v>31</v>
      </c>
      <c r="H224" s="392">
        <v>1782</v>
      </c>
      <c r="I224" s="393">
        <v>445</v>
      </c>
      <c r="J224" s="112">
        <f>(I224/F224)</f>
        <v>445</v>
      </c>
      <c r="K224" s="195">
        <f>H224/I224</f>
        <v>4.004494382022472</v>
      </c>
      <c r="L224" s="12">
        <f>197266+158498+94472.5+25746.5+5341+4975+4175+3550+3868+6158+8020+1277+951+3397+4599+198+566+1146+2247.5+174+31.5+2775.5+1188+735+2376+307+324+2613.5+1782+1782+1782</f>
        <v>542322</v>
      </c>
      <c r="M224" s="13">
        <f>19567+17056+12441+3194+866+909+697+693+818+1478+1988+298+238+832+1154+55+212+207+411+57+12+610+297+71+594+46+71+653+445+445+445</f>
        <v>66860</v>
      </c>
      <c r="N224" s="197">
        <f>L224/M224</f>
        <v>8.111307209093628</v>
      </c>
      <c r="O224" s="103">
        <v>214</v>
      </c>
    </row>
    <row r="225" spans="1:15" s="94" customFormat="1" ht="12" customHeight="1">
      <c r="A225" s="95">
        <v>215</v>
      </c>
      <c r="B225" s="523" t="s">
        <v>316</v>
      </c>
      <c r="C225" s="524">
        <v>40193</v>
      </c>
      <c r="D225" s="199" t="s">
        <v>32</v>
      </c>
      <c r="E225" s="525">
        <v>55</v>
      </c>
      <c r="F225" s="525">
        <v>1</v>
      </c>
      <c r="G225" s="525">
        <v>30</v>
      </c>
      <c r="H225" s="392">
        <v>1782</v>
      </c>
      <c r="I225" s="393">
        <v>445</v>
      </c>
      <c r="J225" s="112">
        <f>(I225/F225)</f>
        <v>445</v>
      </c>
      <c r="K225" s="195">
        <f>H225/I225</f>
        <v>4.004494382022472</v>
      </c>
      <c r="L225" s="12">
        <f>197266+158498+94472.5+25746.5+5341+4975+4175+3550+3868+6158+8020+1277+951+3397+4599+198+566+1146+2247.5+174+31.5+2775.5+1188+735+2376+307+324+2613.5+1782+1782</f>
        <v>540540</v>
      </c>
      <c r="M225" s="13">
        <f>19567+17056+12441+3194+866+909+697+693+818+1478+1988+298+238+832+1154+55+212+207+411+57+12+610+297+71+594+46+71+653+445+445</f>
        <v>66415</v>
      </c>
      <c r="N225" s="197">
        <f>L225/M225</f>
        <v>8.138824060829633</v>
      </c>
      <c r="O225" s="103">
        <v>215</v>
      </c>
    </row>
    <row r="226" spans="1:15" s="94" customFormat="1" ht="12" customHeight="1">
      <c r="A226" s="95">
        <v>216</v>
      </c>
      <c r="B226" s="519" t="s">
        <v>316</v>
      </c>
      <c r="C226" s="508">
        <v>40193</v>
      </c>
      <c r="D226" s="199" t="s">
        <v>32</v>
      </c>
      <c r="E226" s="509">
        <v>55</v>
      </c>
      <c r="F226" s="509">
        <v>1</v>
      </c>
      <c r="G226" s="509">
        <v>29</v>
      </c>
      <c r="H226" s="392">
        <v>1782</v>
      </c>
      <c r="I226" s="393">
        <v>445</v>
      </c>
      <c r="J226" s="112">
        <f>(I226/F226)</f>
        <v>445</v>
      </c>
      <c r="K226" s="195">
        <f>H226/I226</f>
        <v>4.004494382022472</v>
      </c>
      <c r="L226" s="12">
        <f>197266+158498+94472.5+25746.5+5341+4975+4175+3550+3868+6158+8020+1277+951+3397+4599+198+566+1146+2247.5+174+31.5+2775.5+1188+735+2376+307+324+2613.5+1782</f>
        <v>538758</v>
      </c>
      <c r="M226" s="13">
        <f>19567+17056+12441+3194+866+909+697+693+818+1478+1988+298+238+832+1154+55+212+207+411+57+12+610+297+71+594+46+71+653+445</f>
        <v>65970</v>
      </c>
      <c r="N226" s="197">
        <f>L226/M226</f>
        <v>8.166712141882673</v>
      </c>
      <c r="O226" s="103">
        <v>216</v>
      </c>
    </row>
    <row r="227" spans="1:15" s="94" customFormat="1" ht="12" customHeight="1">
      <c r="A227" s="95">
        <v>217</v>
      </c>
      <c r="B227" s="198" t="s">
        <v>317</v>
      </c>
      <c r="C227" s="32">
        <v>40312</v>
      </c>
      <c r="D227" s="199" t="s">
        <v>32</v>
      </c>
      <c r="E227" s="33">
        <v>8</v>
      </c>
      <c r="F227" s="33">
        <v>1</v>
      </c>
      <c r="G227" s="33">
        <v>18</v>
      </c>
      <c r="H227" s="392">
        <v>1188</v>
      </c>
      <c r="I227" s="393">
        <v>297</v>
      </c>
      <c r="J227" s="112">
        <f>(I227/F227)</f>
        <v>297</v>
      </c>
      <c r="K227" s="195">
        <f>H227/I227</f>
        <v>4</v>
      </c>
      <c r="L227" s="12">
        <f>41764.5+663+13.5+1901+220.5+1188</f>
        <v>45750.5</v>
      </c>
      <c r="M227" s="13">
        <f>4847+89+1+475+63+297</f>
        <v>5772</v>
      </c>
      <c r="N227" s="197">
        <f>L227/M227</f>
        <v>7.926282051282051</v>
      </c>
      <c r="O227" s="103">
        <v>217</v>
      </c>
    </row>
    <row r="228" spans="1:15" s="94" customFormat="1" ht="12" customHeight="1">
      <c r="A228" s="95">
        <v>218</v>
      </c>
      <c r="B228" s="275" t="s">
        <v>159</v>
      </c>
      <c r="C228" s="276">
        <v>40515</v>
      </c>
      <c r="D228" s="277" t="s">
        <v>23</v>
      </c>
      <c r="E228" s="278">
        <v>122</v>
      </c>
      <c r="F228" s="278">
        <v>1</v>
      </c>
      <c r="G228" s="278">
        <v>14</v>
      </c>
      <c r="H228" s="447">
        <v>147</v>
      </c>
      <c r="I228" s="448">
        <v>21</v>
      </c>
      <c r="J228" s="279">
        <f>I228/F228</f>
        <v>21</v>
      </c>
      <c r="K228" s="280">
        <f>+H228/I228</f>
        <v>7</v>
      </c>
      <c r="L228" s="281">
        <v>613933</v>
      </c>
      <c r="M228" s="282">
        <v>73244</v>
      </c>
      <c r="N228" s="283">
        <f>+L228/M228</f>
        <v>8.382024466167877</v>
      </c>
      <c r="O228" s="103">
        <v>218</v>
      </c>
    </row>
    <row r="229" spans="1:15" s="94" customFormat="1" ht="12" customHeight="1">
      <c r="A229" s="95">
        <v>219</v>
      </c>
      <c r="B229" s="191" t="s">
        <v>159</v>
      </c>
      <c r="C229" s="32">
        <v>40515</v>
      </c>
      <c r="D229" s="273" t="s">
        <v>23</v>
      </c>
      <c r="E229" s="33">
        <v>122</v>
      </c>
      <c r="F229" s="33">
        <v>1</v>
      </c>
      <c r="G229" s="33">
        <v>13</v>
      </c>
      <c r="H229" s="595">
        <v>519</v>
      </c>
      <c r="I229" s="596">
        <v>74</v>
      </c>
      <c r="J229" s="38">
        <f>I229/F229</f>
        <v>74</v>
      </c>
      <c r="K229" s="258">
        <f>+H229/I229</f>
        <v>7.013513513513513</v>
      </c>
      <c r="L229" s="36">
        <v>613786</v>
      </c>
      <c r="M229" s="39">
        <v>73223</v>
      </c>
      <c r="N229" s="259">
        <f>+L229/M229</f>
        <v>8.382420824058014</v>
      </c>
      <c r="O229" s="103">
        <v>219</v>
      </c>
    </row>
    <row r="230" spans="1:15" s="94" customFormat="1" ht="12" customHeight="1">
      <c r="A230" s="95">
        <v>220</v>
      </c>
      <c r="B230" s="191" t="s">
        <v>159</v>
      </c>
      <c r="C230" s="32">
        <v>40515</v>
      </c>
      <c r="D230" s="261" t="s">
        <v>23</v>
      </c>
      <c r="E230" s="33">
        <v>122</v>
      </c>
      <c r="F230" s="33">
        <v>2</v>
      </c>
      <c r="G230" s="33">
        <v>5</v>
      </c>
      <c r="H230" s="595">
        <v>474</v>
      </c>
      <c r="I230" s="596">
        <v>70</v>
      </c>
      <c r="J230" s="38">
        <f>I230/F230</f>
        <v>35</v>
      </c>
      <c r="K230" s="258">
        <f>+H230/I230</f>
        <v>6.771428571428571</v>
      </c>
      <c r="L230" s="36">
        <v>611649</v>
      </c>
      <c r="M230" s="39">
        <v>72375</v>
      </c>
      <c r="N230" s="259">
        <f>+L230/M230</f>
        <v>8.451108808290156</v>
      </c>
      <c r="O230" s="103">
        <v>220</v>
      </c>
    </row>
    <row r="231" spans="1:15" s="94" customFormat="1" ht="12" customHeight="1">
      <c r="A231" s="95">
        <v>221</v>
      </c>
      <c r="B231" s="236" t="s">
        <v>159</v>
      </c>
      <c r="C231" s="32">
        <v>40515</v>
      </c>
      <c r="D231" s="261" t="s">
        <v>23</v>
      </c>
      <c r="E231" s="33">
        <v>122</v>
      </c>
      <c r="F231" s="33">
        <v>7</v>
      </c>
      <c r="G231" s="33">
        <v>4</v>
      </c>
      <c r="H231" s="625">
        <v>4679</v>
      </c>
      <c r="I231" s="596">
        <v>723</v>
      </c>
      <c r="J231" s="38">
        <f>I231/F231</f>
        <v>103.28571428571429</v>
      </c>
      <c r="K231" s="269">
        <f>+H231/I231</f>
        <v>6.4716459197787</v>
      </c>
      <c r="L231" s="28">
        <v>611175</v>
      </c>
      <c r="M231" s="39">
        <v>72305</v>
      </c>
      <c r="N231" s="259">
        <f>+L231/M231</f>
        <v>8.452734942258488</v>
      </c>
      <c r="O231" s="103">
        <v>221</v>
      </c>
    </row>
    <row r="232" spans="1:15" s="94" customFormat="1" ht="12" customHeight="1">
      <c r="A232" s="95">
        <v>222</v>
      </c>
      <c r="B232" s="756" t="s">
        <v>414</v>
      </c>
      <c r="C232" s="117">
        <v>40290</v>
      </c>
      <c r="D232" s="736" t="s">
        <v>29</v>
      </c>
      <c r="E232" s="31">
        <v>25</v>
      </c>
      <c r="F232" s="31">
        <v>1</v>
      </c>
      <c r="G232" s="31">
        <v>13</v>
      </c>
      <c r="H232" s="957">
        <v>180</v>
      </c>
      <c r="I232" s="631">
        <v>30</v>
      </c>
      <c r="J232" s="267">
        <f>I232/F232</f>
        <v>30</v>
      </c>
      <c r="K232" s="360">
        <f>H232/I232</f>
        <v>6</v>
      </c>
      <c r="L232" s="886">
        <f>94030+36665.5+19228.5+15274+9884.5+3195.5+2792+1795+3042.5+1500+1095+266+180</f>
        <v>188948.5</v>
      </c>
      <c r="M232" s="29">
        <f>8677+3579+2658+2286+1470+489+408+244+413+249+211+52+30</f>
        <v>20766</v>
      </c>
      <c r="N232" s="373">
        <f>+L232/M232</f>
        <v>9.09893576037754</v>
      </c>
      <c r="O232" s="103">
        <v>222</v>
      </c>
    </row>
    <row r="233" spans="1:15" s="94" customFormat="1" ht="12" customHeight="1">
      <c r="A233" s="95">
        <v>223</v>
      </c>
      <c r="B233" s="205" t="s">
        <v>318</v>
      </c>
      <c r="C233" s="206">
        <v>40389</v>
      </c>
      <c r="D233" s="199" t="s">
        <v>32</v>
      </c>
      <c r="E233" s="207">
        <v>19</v>
      </c>
      <c r="F233" s="207">
        <v>1</v>
      </c>
      <c r="G233" s="207">
        <v>13</v>
      </c>
      <c r="H233" s="603">
        <v>1307</v>
      </c>
      <c r="I233" s="611">
        <v>327</v>
      </c>
      <c r="J233" s="208">
        <f>(I233/F233)</f>
        <v>327</v>
      </c>
      <c r="K233" s="209">
        <f>H233/I233</f>
        <v>3.996941896024465</v>
      </c>
      <c r="L233" s="210">
        <f>69032+15425.5+9802+4755.5+7049.5+3610.5+8536+6024.5+2322+245+405.5+1307</f>
        <v>128515</v>
      </c>
      <c r="M233" s="211">
        <f>5509+1589+1417+704+842+602+1038+829+323+37+46+327</f>
        <v>13263</v>
      </c>
      <c r="N233" s="212">
        <f>L233/M233</f>
        <v>9.68973836990123</v>
      </c>
      <c r="O233" s="103">
        <v>223</v>
      </c>
    </row>
    <row r="234" spans="1:15" s="94" customFormat="1" ht="12" customHeight="1">
      <c r="A234" s="95">
        <v>224</v>
      </c>
      <c r="B234" s="502" t="s">
        <v>319</v>
      </c>
      <c r="C234" s="117">
        <v>40459</v>
      </c>
      <c r="D234" s="122" t="s">
        <v>8</v>
      </c>
      <c r="E234" s="123">
        <v>50</v>
      </c>
      <c r="F234" s="5">
        <v>1</v>
      </c>
      <c r="G234" s="396">
        <v>15</v>
      </c>
      <c r="H234" s="590">
        <v>653</v>
      </c>
      <c r="I234" s="591">
        <v>108</v>
      </c>
      <c r="J234" s="101">
        <f>I234/F234</f>
        <v>108</v>
      </c>
      <c r="K234" s="100">
        <f>H234/I234</f>
        <v>6.046296296296297</v>
      </c>
      <c r="L234" s="10">
        <v>378155</v>
      </c>
      <c r="M234" s="11">
        <v>34516</v>
      </c>
      <c r="N234" s="126">
        <f>+L234/M234</f>
        <v>10.955933480125159</v>
      </c>
      <c r="O234" s="103">
        <v>224</v>
      </c>
    </row>
    <row r="235" spans="1:15" s="94" customFormat="1" ht="12" customHeight="1">
      <c r="A235" s="95">
        <v>225</v>
      </c>
      <c r="B235" s="502" t="s">
        <v>319</v>
      </c>
      <c r="C235" s="444">
        <v>40459</v>
      </c>
      <c r="D235" s="122" t="s">
        <v>8</v>
      </c>
      <c r="E235" s="123">
        <v>50</v>
      </c>
      <c r="F235" s="5">
        <v>1</v>
      </c>
      <c r="G235" s="5">
        <v>15</v>
      </c>
      <c r="H235" s="590">
        <v>334</v>
      </c>
      <c r="I235" s="591">
        <v>55</v>
      </c>
      <c r="J235" s="267">
        <f>I235/F235</f>
        <v>55</v>
      </c>
      <c r="K235" s="200">
        <f>H235/I235</f>
        <v>6.072727272727272</v>
      </c>
      <c r="L235" s="10">
        <v>377502</v>
      </c>
      <c r="M235" s="11">
        <v>34408</v>
      </c>
      <c r="N235" s="128">
        <f>L235/M235</f>
        <v>10.971343873517787</v>
      </c>
      <c r="O235" s="103">
        <v>225</v>
      </c>
    </row>
    <row r="236" spans="1:15" s="94" customFormat="1" ht="12" customHeight="1">
      <c r="A236" s="95">
        <v>226</v>
      </c>
      <c r="B236" s="226" t="s">
        <v>319</v>
      </c>
      <c r="C236" s="2">
        <v>40459</v>
      </c>
      <c r="D236" s="25" t="s">
        <v>8</v>
      </c>
      <c r="E236" s="5">
        <v>50</v>
      </c>
      <c r="F236" s="5">
        <v>1</v>
      </c>
      <c r="G236" s="5">
        <v>14</v>
      </c>
      <c r="H236" s="590">
        <v>62</v>
      </c>
      <c r="I236" s="591">
        <v>10</v>
      </c>
      <c r="J236" s="101">
        <f>+I236/F236</f>
        <v>10</v>
      </c>
      <c r="K236" s="231">
        <f>+H236/I236</f>
        <v>6.2</v>
      </c>
      <c r="L236" s="10">
        <v>377168</v>
      </c>
      <c r="M236" s="11">
        <v>34353</v>
      </c>
      <c r="N236" s="232">
        <f>+L236/M236</f>
        <v>10.979186679474864</v>
      </c>
      <c r="O236" s="103">
        <v>226</v>
      </c>
    </row>
    <row r="237" spans="1:15" s="94" customFormat="1" ht="12" customHeight="1">
      <c r="A237" s="95">
        <v>227</v>
      </c>
      <c r="B237" s="251" t="s">
        <v>319</v>
      </c>
      <c r="C237" s="2">
        <v>40459</v>
      </c>
      <c r="D237" s="25" t="s">
        <v>8</v>
      </c>
      <c r="E237" s="5">
        <v>50</v>
      </c>
      <c r="F237" s="5">
        <v>5</v>
      </c>
      <c r="G237" s="5">
        <v>13</v>
      </c>
      <c r="H237" s="627">
        <v>4218</v>
      </c>
      <c r="I237" s="591">
        <v>597</v>
      </c>
      <c r="J237" s="101">
        <f>+I237/F237</f>
        <v>119.4</v>
      </c>
      <c r="K237" s="243">
        <f>+H237/I237</f>
        <v>7.065326633165829</v>
      </c>
      <c r="L237" s="23">
        <v>377106</v>
      </c>
      <c r="M237" s="11">
        <v>34343</v>
      </c>
      <c r="N237" s="232">
        <f>+L237/M237</f>
        <v>10.980578283784178</v>
      </c>
      <c r="O237" s="103">
        <v>227</v>
      </c>
    </row>
    <row r="238" spans="1:15" s="94" customFormat="1" ht="12" customHeight="1">
      <c r="A238" s="95">
        <v>228</v>
      </c>
      <c r="B238" s="201" t="s">
        <v>160</v>
      </c>
      <c r="C238" s="32">
        <v>40480</v>
      </c>
      <c r="D238" s="31" t="s">
        <v>29</v>
      </c>
      <c r="E238" s="33">
        <v>135</v>
      </c>
      <c r="F238" s="33">
        <v>1</v>
      </c>
      <c r="G238" s="33">
        <v>11</v>
      </c>
      <c r="H238" s="595">
        <v>265</v>
      </c>
      <c r="I238" s="596">
        <v>52</v>
      </c>
      <c r="J238" s="38">
        <f>I238/F238</f>
        <v>52</v>
      </c>
      <c r="K238" s="258">
        <f>H238/I238</f>
        <v>5.096153846153846</v>
      </c>
      <c r="L238" s="36">
        <f>151771.5+44278.5+20156+4831.5+5960.5+2697+3743.5+81+2518+2320+604+265</f>
        <v>239226.5</v>
      </c>
      <c r="M238" s="38">
        <f>19003+7410+3277+795+995+475+746+11+433+386+91+52</f>
        <v>33674</v>
      </c>
      <c r="N238" s="259">
        <f>L238/M238</f>
        <v>7.10419017639722</v>
      </c>
      <c r="O238" s="103">
        <v>228</v>
      </c>
    </row>
    <row r="239" spans="1:15" s="94" customFormat="1" ht="12" customHeight="1">
      <c r="A239" s="95">
        <v>229</v>
      </c>
      <c r="B239" s="198" t="s">
        <v>160</v>
      </c>
      <c r="C239" s="32">
        <v>40480</v>
      </c>
      <c r="D239" s="31" t="s">
        <v>29</v>
      </c>
      <c r="E239" s="33">
        <v>135</v>
      </c>
      <c r="F239" s="33">
        <v>5</v>
      </c>
      <c r="G239" s="33">
        <v>10</v>
      </c>
      <c r="H239" s="625">
        <v>604</v>
      </c>
      <c r="I239" s="596">
        <v>91</v>
      </c>
      <c r="J239" s="101">
        <f>IF(H239&lt;&gt;0,I239/F239,"")</f>
        <v>18.2</v>
      </c>
      <c r="K239" s="243">
        <f>IF(H239&lt;&gt;0,H239/I239,"")</f>
        <v>6.637362637362638</v>
      </c>
      <c r="L239" s="28">
        <f>151771.5+44278.5+20156+4831.5+5960.5+2697+3743.5+81+2518+2320+604</f>
        <v>238961.5</v>
      </c>
      <c r="M239" s="38">
        <f>19003+7410+3277+795+995+475+746+11+433+386+91</f>
        <v>33622</v>
      </c>
      <c r="N239" s="232">
        <f>IF(L239&lt;&gt;0,L239/M239,"")</f>
        <v>7.107295818214264</v>
      </c>
      <c r="O239" s="103">
        <v>229</v>
      </c>
    </row>
    <row r="240" spans="1:15" s="94" customFormat="1" ht="12" customHeight="1">
      <c r="A240" s="95">
        <v>230</v>
      </c>
      <c r="B240" s="502" t="s">
        <v>270</v>
      </c>
      <c r="C240" s="117">
        <v>40487</v>
      </c>
      <c r="D240" s="122" t="s">
        <v>8</v>
      </c>
      <c r="E240" s="123">
        <v>383</v>
      </c>
      <c r="F240" s="5">
        <v>1</v>
      </c>
      <c r="G240" s="5">
        <v>13</v>
      </c>
      <c r="H240" s="590">
        <v>288</v>
      </c>
      <c r="I240" s="591">
        <v>36</v>
      </c>
      <c r="J240" s="101">
        <f>I240/F240</f>
        <v>36</v>
      </c>
      <c r="K240" s="100">
        <f>H240/I240</f>
        <v>8</v>
      </c>
      <c r="L240" s="10">
        <v>31645541</v>
      </c>
      <c r="M240" s="11">
        <v>3474495</v>
      </c>
      <c r="N240" s="126">
        <f>+L240/M240</f>
        <v>9.107954105560664</v>
      </c>
      <c r="O240" s="103">
        <v>230</v>
      </c>
    </row>
    <row r="241" spans="1:15" s="94" customFormat="1" ht="12" customHeight="1">
      <c r="A241" s="95">
        <v>231</v>
      </c>
      <c r="B241" s="251" t="s">
        <v>161</v>
      </c>
      <c r="C241" s="2">
        <v>40487</v>
      </c>
      <c r="D241" s="21" t="s">
        <v>8</v>
      </c>
      <c r="E241" s="5">
        <v>312</v>
      </c>
      <c r="F241" s="5">
        <v>7</v>
      </c>
      <c r="G241" s="5">
        <v>12</v>
      </c>
      <c r="H241" s="590">
        <v>4990</v>
      </c>
      <c r="I241" s="591">
        <v>695</v>
      </c>
      <c r="J241" s="112">
        <f>(I241/F241)</f>
        <v>99.28571428571429</v>
      </c>
      <c r="K241" s="195">
        <f>H241/I241</f>
        <v>7.179856115107913</v>
      </c>
      <c r="L241" s="10">
        <v>31645253</v>
      </c>
      <c r="M241" s="11">
        <v>3474459</v>
      </c>
      <c r="N241" s="197">
        <f>L241/M241</f>
        <v>9.107965585433588</v>
      </c>
      <c r="O241" s="103">
        <v>231</v>
      </c>
    </row>
    <row r="242" spans="1:15" s="94" customFormat="1" ht="12" customHeight="1">
      <c r="A242" s="95">
        <v>232</v>
      </c>
      <c r="B242" s="226" t="s">
        <v>161</v>
      </c>
      <c r="C242" s="2">
        <v>40487</v>
      </c>
      <c r="D242" s="20" t="s">
        <v>8</v>
      </c>
      <c r="E242" s="5">
        <v>312</v>
      </c>
      <c r="F242" s="5">
        <v>12</v>
      </c>
      <c r="G242" s="5">
        <v>11</v>
      </c>
      <c r="H242" s="590">
        <v>5621</v>
      </c>
      <c r="I242" s="591">
        <v>841</v>
      </c>
      <c r="J242" s="101">
        <f>+I242/F242</f>
        <v>70.08333333333333</v>
      </c>
      <c r="K242" s="231">
        <f>+H242/I242</f>
        <v>6.683709869203329</v>
      </c>
      <c r="L242" s="10">
        <v>31640263</v>
      </c>
      <c r="M242" s="11">
        <v>3473764</v>
      </c>
      <c r="N242" s="232">
        <f>+L242/M242</f>
        <v>9.108351344535784</v>
      </c>
      <c r="O242" s="103">
        <v>232</v>
      </c>
    </row>
    <row r="243" spans="1:15" s="94" customFormat="1" ht="12" customHeight="1">
      <c r="A243" s="95">
        <v>233</v>
      </c>
      <c r="B243" s="226" t="s">
        <v>161</v>
      </c>
      <c r="C243" s="2">
        <v>40487</v>
      </c>
      <c r="D243" s="25" t="s">
        <v>8</v>
      </c>
      <c r="E243" s="5">
        <v>312</v>
      </c>
      <c r="F243" s="5">
        <v>19</v>
      </c>
      <c r="G243" s="5">
        <v>10</v>
      </c>
      <c r="H243" s="590">
        <v>12589</v>
      </c>
      <c r="I243" s="591">
        <v>1965</v>
      </c>
      <c r="J243" s="101">
        <f>+I243/F243</f>
        <v>103.42105263157895</v>
      </c>
      <c r="K243" s="231">
        <f>+H243/I243</f>
        <v>6.406615776081425</v>
      </c>
      <c r="L243" s="10">
        <v>31634642</v>
      </c>
      <c r="M243" s="11">
        <v>3472923</v>
      </c>
      <c r="N243" s="232">
        <f>+L243/M243</f>
        <v>9.108938493597469</v>
      </c>
      <c r="O243" s="103">
        <v>233</v>
      </c>
    </row>
    <row r="244" spans="1:15" s="94" customFormat="1" ht="12" customHeight="1">
      <c r="A244" s="95">
        <v>234</v>
      </c>
      <c r="B244" s="251" t="s">
        <v>161</v>
      </c>
      <c r="C244" s="2">
        <v>40487</v>
      </c>
      <c r="D244" s="25" t="s">
        <v>8</v>
      </c>
      <c r="E244" s="5">
        <v>312</v>
      </c>
      <c r="F244" s="5">
        <v>86</v>
      </c>
      <c r="G244" s="5">
        <v>9</v>
      </c>
      <c r="H244" s="627">
        <v>125458</v>
      </c>
      <c r="I244" s="591">
        <v>15869</v>
      </c>
      <c r="J244" s="101">
        <f>+I244/F244</f>
        <v>184.52325581395348</v>
      </c>
      <c r="K244" s="243">
        <f>+H244/I244</f>
        <v>7.90585418110782</v>
      </c>
      <c r="L244" s="23">
        <v>31622053</v>
      </c>
      <c r="M244" s="11">
        <v>3470958</v>
      </c>
      <c r="N244" s="232">
        <f>+L244/M244</f>
        <v>9.110468349084028</v>
      </c>
      <c r="O244" s="103">
        <v>234</v>
      </c>
    </row>
    <row r="245" spans="1:15" s="94" customFormat="1" ht="12" customHeight="1">
      <c r="A245" s="95">
        <v>235</v>
      </c>
      <c r="B245" s="284" t="s">
        <v>162</v>
      </c>
      <c r="C245" s="32">
        <v>39941</v>
      </c>
      <c r="D245" s="30" t="s">
        <v>32</v>
      </c>
      <c r="E245" s="33">
        <v>26</v>
      </c>
      <c r="F245" s="33">
        <v>1</v>
      </c>
      <c r="G245" s="33">
        <v>26</v>
      </c>
      <c r="H245" s="392">
        <v>2376</v>
      </c>
      <c r="I245" s="393">
        <v>594</v>
      </c>
      <c r="J245" s="112">
        <f>(I245/F245)</f>
        <v>594</v>
      </c>
      <c r="K245" s="195">
        <f>H245/I245</f>
        <v>4</v>
      </c>
      <c r="L245" s="12">
        <f>36482.75+16583.5+5922.75+3249+4769+4925+4199.5+5525+366+924+414+2215+2444+33+1987+838+1440+537+604+3792+2376+1780+3800+2376+310.7+381.86+2376</f>
        <v>110651.06</v>
      </c>
      <c r="M245" s="13">
        <f>4495+1934+744+517+1003+1215+722+968+65+193+83+369+384+5+336+159+238+83+151+948+594+445+950+594+72+92+594</f>
        <v>17953</v>
      </c>
      <c r="N245" s="197">
        <f>L245/M245</f>
        <v>6.163374366401158</v>
      </c>
      <c r="O245" s="103">
        <v>235</v>
      </c>
    </row>
    <row r="246" spans="1:15" s="94" customFormat="1" ht="12" customHeight="1">
      <c r="A246" s="95">
        <v>236</v>
      </c>
      <c r="B246" s="213" t="s">
        <v>163</v>
      </c>
      <c r="C246" s="32">
        <v>40473</v>
      </c>
      <c r="D246" s="199" t="s">
        <v>29</v>
      </c>
      <c r="E246" s="202">
        <v>36</v>
      </c>
      <c r="F246" s="202">
        <v>1</v>
      </c>
      <c r="G246" s="202">
        <v>9</v>
      </c>
      <c r="H246" s="625">
        <v>926</v>
      </c>
      <c r="I246" s="631">
        <v>136</v>
      </c>
      <c r="J246" s="267">
        <f>+I246/F246</f>
        <v>136</v>
      </c>
      <c r="K246" s="243">
        <f>+H246/I246</f>
        <v>6.8088235294117645</v>
      </c>
      <c r="L246" s="28">
        <f>34961.5+23009.5+1351+805+533+530+156+172+926</f>
        <v>62444</v>
      </c>
      <c r="M246" s="29">
        <f>4408+3132+214+122+62+78+26+27+136</f>
        <v>8205</v>
      </c>
      <c r="N246" s="232">
        <f>+L246/M246</f>
        <v>7.61048141377209</v>
      </c>
      <c r="O246" s="103">
        <v>236</v>
      </c>
    </row>
    <row r="247" spans="1:15" s="94" customFormat="1" ht="12" customHeight="1">
      <c r="A247" s="95">
        <v>237</v>
      </c>
      <c r="B247" s="198" t="s">
        <v>163</v>
      </c>
      <c r="C247" s="32">
        <v>40473</v>
      </c>
      <c r="D247" s="31" t="s">
        <v>29</v>
      </c>
      <c r="E247" s="33">
        <v>36</v>
      </c>
      <c r="F247" s="33">
        <v>1</v>
      </c>
      <c r="G247" s="33">
        <v>8</v>
      </c>
      <c r="H247" s="625">
        <v>172</v>
      </c>
      <c r="I247" s="596">
        <v>27</v>
      </c>
      <c r="J247" s="101">
        <f>IF(H247&lt;&gt;0,I247/F247,"")</f>
        <v>27</v>
      </c>
      <c r="K247" s="243">
        <f>IF(H247&lt;&gt;0,H247/I247,"")</f>
        <v>6.37037037037037</v>
      </c>
      <c r="L247" s="28">
        <f>34961.5+23009.5+1351+805+533+530+156+172</f>
        <v>61518</v>
      </c>
      <c r="M247" s="38">
        <f>4408+3132+214+122+62+78+26+27</f>
        <v>8069</v>
      </c>
      <c r="N247" s="232">
        <f>IF(L247&lt;&gt;0,L247/M247,"")</f>
        <v>7.6239930598587184</v>
      </c>
      <c r="O247" s="103">
        <v>237</v>
      </c>
    </row>
    <row r="248" spans="1:15" s="94" customFormat="1" ht="12" customHeight="1">
      <c r="A248" s="95">
        <v>238</v>
      </c>
      <c r="B248" s="201" t="s">
        <v>320</v>
      </c>
      <c r="C248" s="32">
        <v>40102</v>
      </c>
      <c r="D248" s="30" t="s">
        <v>32</v>
      </c>
      <c r="E248" s="33">
        <v>9</v>
      </c>
      <c r="F248" s="33">
        <v>1</v>
      </c>
      <c r="G248" s="33">
        <v>12</v>
      </c>
      <c r="H248" s="392">
        <v>670</v>
      </c>
      <c r="I248" s="393">
        <v>67</v>
      </c>
      <c r="J248" s="112">
        <f>(I248/F248)</f>
        <v>67</v>
      </c>
      <c r="K248" s="195">
        <f>H248/I248</f>
        <v>10</v>
      </c>
      <c r="L248" s="12">
        <f>140093+133065.5+53545.5+8843.5+1143.5+938+558+224+456+4065+1500+670</f>
        <v>345102</v>
      </c>
      <c r="M248" s="13">
        <f>10984+10700+4415+806+91+134+57+28+33+335+150+67</f>
        <v>27800</v>
      </c>
      <c r="N248" s="197">
        <f>L248/M248</f>
        <v>12.413741007194245</v>
      </c>
      <c r="O248" s="103">
        <v>238</v>
      </c>
    </row>
    <row r="249" spans="1:15" s="94" customFormat="1" ht="12" customHeight="1">
      <c r="A249" s="95">
        <v>239</v>
      </c>
      <c r="B249" s="201" t="s">
        <v>320</v>
      </c>
      <c r="C249" s="32">
        <v>40102</v>
      </c>
      <c r="D249" s="30" t="s">
        <v>32</v>
      </c>
      <c r="E249" s="33">
        <v>9</v>
      </c>
      <c r="F249" s="33">
        <v>1</v>
      </c>
      <c r="G249" s="33">
        <v>11</v>
      </c>
      <c r="H249" s="392">
        <v>1500</v>
      </c>
      <c r="I249" s="393">
        <v>150</v>
      </c>
      <c r="J249" s="112">
        <f>(I249/F249)</f>
        <v>150</v>
      </c>
      <c r="K249" s="195">
        <f>H249/I249</f>
        <v>10</v>
      </c>
      <c r="L249" s="12">
        <f>140093+133065.5+53545.5+8843.5+1143.5+938+558+224+456+4065+1500</f>
        <v>344432</v>
      </c>
      <c r="M249" s="13">
        <f>10984+10700+4415+806+91+134+57+28+33+335+150</f>
        <v>27733</v>
      </c>
      <c r="N249" s="197">
        <f>L249/M249</f>
        <v>12.419572350629215</v>
      </c>
      <c r="O249" s="103">
        <v>239</v>
      </c>
    </row>
    <row r="250" spans="1:15" s="94" customFormat="1" ht="12" customHeight="1">
      <c r="A250" s="95">
        <v>240</v>
      </c>
      <c r="B250" s="531" t="s">
        <v>364</v>
      </c>
      <c r="C250" s="117">
        <v>40515</v>
      </c>
      <c r="D250" s="118" t="s">
        <v>32</v>
      </c>
      <c r="E250" s="207">
        <v>62</v>
      </c>
      <c r="F250" s="207">
        <v>5</v>
      </c>
      <c r="G250" s="207">
        <v>31</v>
      </c>
      <c r="H250" s="392">
        <v>7747.5</v>
      </c>
      <c r="I250" s="393">
        <v>1593</v>
      </c>
      <c r="J250" s="101">
        <f>I250/F250</f>
        <v>318.6</v>
      </c>
      <c r="K250" s="100">
        <f>H250/I250</f>
        <v>4.86346516007533</v>
      </c>
      <c r="L250" s="12">
        <f>353151+191248+132731.5+71376+47862+26248.5+19265+34650.5+35095.5+42312+25849+10987+7528+3248+2395.5+3280.5+3141.5+4280+3042+1597+6128+4358+2107+777+4230+4335.5+1718.5+594+1978+2020+7747.5</f>
        <v>1055282</v>
      </c>
      <c r="M250" s="13">
        <f>34650+19352+14525+10591+7581+5012+3223+6065+6865+6589+3930+1782+1091+624+468+512+688+987+804+306+1395+991+478+166+1058+1084+430+148+474+261+1593</f>
        <v>133723</v>
      </c>
      <c r="N250" s="126">
        <f>+L250/M250</f>
        <v>7.891551939456937</v>
      </c>
      <c r="O250" s="103">
        <v>240</v>
      </c>
    </row>
    <row r="251" spans="1:15" s="94" customFormat="1" ht="12" customHeight="1">
      <c r="A251" s="95">
        <v>241</v>
      </c>
      <c r="B251" s="531" t="s">
        <v>364</v>
      </c>
      <c r="C251" s="117">
        <v>40515</v>
      </c>
      <c r="D251" s="118" t="s">
        <v>32</v>
      </c>
      <c r="E251" s="207">
        <v>62</v>
      </c>
      <c r="F251" s="207">
        <v>2</v>
      </c>
      <c r="G251" s="207">
        <v>30</v>
      </c>
      <c r="H251" s="392">
        <v>2020</v>
      </c>
      <c r="I251" s="393">
        <v>261</v>
      </c>
      <c r="J251" s="101">
        <f>I251/F251</f>
        <v>130.5</v>
      </c>
      <c r="K251" s="100">
        <f>H251/I251</f>
        <v>7.739463601532567</v>
      </c>
      <c r="L251" s="12">
        <f>353151+191248+132731.5+71376+47862+26248.5+19265+34650.5+35095.5+42312+25849+10987+7528+3248+2395.5+3280.5+3141.5+4280+3042+1597+6128+4358+2107+777+4230+4335.5+1718.5+594+1978+2020</f>
        <v>1047534.5</v>
      </c>
      <c r="M251" s="13">
        <f>34650+19352+14525+10591+7581+5012+3223+6065+6865+6589+3930+1782+1091+624+468+512+688+987+804+306+1395+991+478+166+1058+1084+430+148+474+261</f>
        <v>132130</v>
      </c>
      <c r="N251" s="128">
        <f>L251/M251</f>
        <v>7.928059486868992</v>
      </c>
      <c r="O251" s="103">
        <v>241</v>
      </c>
    </row>
    <row r="252" spans="1:15" s="94" customFormat="1" ht="12" customHeight="1">
      <c r="A252" s="95">
        <v>242</v>
      </c>
      <c r="B252" s="753" t="s">
        <v>321</v>
      </c>
      <c r="C252" s="497">
        <v>40515</v>
      </c>
      <c r="D252" s="118" t="s">
        <v>32</v>
      </c>
      <c r="E252" s="499">
        <v>62</v>
      </c>
      <c r="F252" s="207">
        <v>1</v>
      </c>
      <c r="G252" s="499">
        <v>32</v>
      </c>
      <c r="H252" s="392">
        <v>1188</v>
      </c>
      <c r="I252" s="393">
        <v>297</v>
      </c>
      <c r="J252" s="101">
        <f>I252/F252</f>
        <v>297</v>
      </c>
      <c r="K252" s="100">
        <f>H252/I252</f>
        <v>4</v>
      </c>
      <c r="L252" s="12">
        <f>353151+191248+132731.5+71376+47862+26248.5+19265+34650.5+35095.5+42312+25849+10987+7528+3248+2395.5+3280.5+3141.5+4280+3042+1597+6128+4358+2107+777+4230+4335.5+1718.5+594+1978+2020+7747.5+1188</f>
        <v>1056470</v>
      </c>
      <c r="M252" s="13">
        <f>34650+19352+14525+10591+7581+5012+3223+6065+6865+6589+3930+1782+1091+624+468+512+688+987+804+306+1395+991+478+166+1058+1084+430+148+474+261+1593+297</f>
        <v>134020</v>
      </c>
      <c r="N252" s="128">
        <f>L252/M252</f>
        <v>7.88292792120579</v>
      </c>
      <c r="O252" s="103">
        <v>242</v>
      </c>
    </row>
    <row r="253" spans="1:15" s="94" customFormat="1" ht="12" customHeight="1">
      <c r="A253" s="95">
        <v>243</v>
      </c>
      <c r="B253" s="496" t="s">
        <v>321</v>
      </c>
      <c r="C253" s="497">
        <v>40515</v>
      </c>
      <c r="D253" s="118" t="s">
        <v>32</v>
      </c>
      <c r="E253" s="499">
        <v>62</v>
      </c>
      <c r="F253" s="207">
        <v>3</v>
      </c>
      <c r="G253" s="389">
        <v>29</v>
      </c>
      <c r="H253" s="392">
        <v>1978</v>
      </c>
      <c r="I253" s="393">
        <v>474</v>
      </c>
      <c r="J253" s="101">
        <f>I253/F253</f>
        <v>158</v>
      </c>
      <c r="K253" s="100">
        <f>H253/I253</f>
        <v>4.172995780590718</v>
      </c>
      <c r="L253" s="12">
        <f>353151+191248+132731.5+71376+47862+26248.5+19265+34650.5+35095.5+42312+25849+10987+7528+3248+2395.5+3280.5+3141.5+4280+3042+1597+6128+4358+2107+777+4230+4335.5+1718.5+594+1978</f>
        <v>1045514.5</v>
      </c>
      <c r="M253" s="13">
        <f>34650+19352+14525+10591+7581+5012+3223+6065+6865+6589+3930+1782+1091+624+468+512+688+987+804+306+1395+991+478+166+1058+1084+430+148+474</f>
        <v>131869</v>
      </c>
      <c r="N253" s="128">
        <f>L253/M253</f>
        <v>7.9284327628176445</v>
      </c>
      <c r="O253" s="103">
        <v>243</v>
      </c>
    </row>
    <row r="254" spans="1:15" s="94" customFormat="1" ht="12" customHeight="1">
      <c r="A254" s="95">
        <v>244</v>
      </c>
      <c r="B254" s="531" t="s">
        <v>321</v>
      </c>
      <c r="C254" s="444">
        <v>40515</v>
      </c>
      <c r="D254" s="118" t="s">
        <v>32</v>
      </c>
      <c r="E254" s="499">
        <v>62</v>
      </c>
      <c r="F254" s="207">
        <v>1</v>
      </c>
      <c r="G254" s="499">
        <v>28</v>
      </c>
      <c r="H254" s="392">
        <v>594</v>
      </c>
      <c r="I254" s="393">
        <v>148</v>
      </c>
      <c r="J254" s="267">
        <f>I254/F254</f>
        <v>148</v>
      </c>
      <c r="K254" s="360">
        <f>H254/I254</f>
        <v>4.013513513513513</v>
      </c>
      <c r="L254" s="12">
        <f>353151+191248+132731.5+71376+47862+26248.5+19265+34650.5+35095.5+42312+25849+10987+7528+3248+2395.5+3280.5+3141.5+4280+3042+1597+6128+4358+2107+777+4230+4335.5+1718.5+594</f>
        <v>1043536.5</v>
      </c>
      <c r="M254" s="13">
        <f>34650+19352+14525+10591+7581+5012+3223+6065+6865+6589+3930+1782+1091+624+468+512+688+987+804+306+1395+991+478+166+1058+1084+430+148</f>
        <v>131395</v>
      </c>
      <c r="N254" s="128">
        <f>L254/M254</f>
        <v>7.9419802884432436</v>
      </c>
      <c r="O254" s="103">
        <v>244</v>
      </c>
    </row>
    <row r="255" spans="1:15" s="94" customFormat="1" ht="12" customHeight="1">
      <c r="A255" s="95">
        <v>245</v>
      </c>
      <c r="B255" s="310" t="s">
        <v>321</v>
      </c>
      <c r="C255" s="117">
        <v>40515</v>
      </c>
      <c r="D255" s="118" t="s">
        <v>32</v>
      </c>
      <c r="E255" s="119">
        <v>62</v>
      </c>
      <c r="F255" s="119">
        <v>2</v>
      </c>
      <c r="G255" s="119">
        <v>27</v>
      </c>
      <c r="H255" s="608">
        <v>4335.5</v>
      </c>
      <c r="I255" s="622">
        <v>1084</v>
      </c>
      <c r="J255" s="267">
        <f>I255/F255</f>
        <v>542</v>
      </c>
      <c r="K255" s="360">
        <f>H255/I255</f>
        <v>3.999538745387454</v>
      </c>
      <c r="L255" s="26">
        <f>353151+191248+132731.5+71376+47862+26248.5+19265+34650.5+35095.5+42312+25849+10987+7528+3248+2395.5+3280.5+3141.5+4280+3042+1597+6128+4358+2107+777+4230+4335.5</f>
        <v>1041224</v>
      </c>
      <c r="M255" s="27">
        <f>34650+19352+14525+10591+7581+5012+3223+6065+6865+6589+3930+1782+1091+624+468+512+688+987+804+306+1395+991+478+166+1058+1084</f>
        <v>130817</v>
      </c>
      <c r="N255" s="501">
        <f>L255/M255</f>
        <v>7.959393656787726</v>
      </c>
      <c r="O255" s="103">
        <v>245</v>
      </c>
    </row>
    <row r="256" spans="1:15" s="94" customFormat="1" ht="12" customHeight="1">
      <c r="A256" s="95">
        <v>246</v>
      </c>
      <c r="B256" s="496" t="s">
        <v>321</v>
      </c>
      <c r="C256" s="497">
        <v>40515</v>
      </c>
      <c r="D256" s="498" t="s">
        <v>138</v>
      </c>
      <c r="E256" s="499">
        <v>62</v>
      </c>
      <c r="F256" s="207">
        <v>2</v>
      </c>
      <c r="G256" s="499">
        <v>27</v>
      </c>
      <c r="H256" s="392">
        <v>1718.5</v>
      </c>
      <c r="I256" s="393">
        <v>430</v>
      </c>
      <c r="J256" s="267">
        <f>I256/F256</f>
        <v>215</v>
      </c>
      <c r="K256" s="360">
        <f>H256/I256</f>
        <v>3.9965116279069766</v>
      </c>
      <c r="L256" s="12">
        <f>353151+191248+132731.5+71376+47862+26248.5+19265+34650.5+35095.5+42312+25849+10987+7528+3248+2395.5+3280.5+3141.5+4280+3042+1597+6128+4358+2107+777+4230+4335.5+1718.5</f>
        <v>1042942.5</v>
      </c>
      <c r="M256" s="13">
        <f>34650+19352+14525+10591+7581+5012+3223+6065+6865+6589+3930+1782+1091+624+468+512+688+987+804+306+1395+991+478+166+1058+1084+430</f>
        <v>131247</v>
      </c>
      <c r="N256" s="126">
        <f>+L256/M256</f>
        <v>7.946410203661798</v>
      </c>
      <c r="O256" s="103">
        <v>246</v>
      </c>
    </row>
    <row r="257" spans="1:15" s="94" customFormat="1" ht="12" customHeight="1">
      <c r="A257" s="95">
        <v>247</v>
      </c>
      <c r="B257" s="310" t="s">
        <v>321</v>
      </c>
      <c r="C257" s="117">
        <v>40515</v>
      </c>
      <c r="D257" s="118" t="s">
        <v>32</v>
      </c>
      <c r="E257" s="119">
        <v>62</v>
      </c>
      <c r="F257" s="119">
        <v>2</v>
      </c>
      <c r="G257" s="119">
        <v>25</v>
      </c>
      <c r="H257" s="528">
        <v>4230</v>
      </c>
      <c r="I257" s="529">
        <v>1058</v>
      </c>
      <c r="J257" s="101">
        <f>I257/F257</f>
        <v>529</v>
      </c>
      <c r="K257" s="100">
        <f>H257/I257</f>
        <v>3.9981096408317582</v>
      </c>
      <c r="L257" s="111">
        <f>353151+191248+132731.5+71376+47862+26248.5+19265+34650.5+35095.5+42312+25849+10987+7528+3248+2395.5+3280.5+3141.5+4280+3042+1597+6128+4358+2107+777+4230</f>
        <v>1036888.5</v>
      </c>
      <c r="M257" s="112">
        <f>34650+19352+14525+10591+7581+5012+3223+6065+6865+6589+3930+1782+1091+624+468+512+688+987+804+306+1395+991+478+166+1058</f>
        <v>129733</v>
      </c>
      <c r="N257" s="128">
        <f>L257/M257</f>
        <v>7.992480710382092</v>
      </c>
      <c r="O257" s="103">
        <v>247</v>
      </c>
    </row>
    <row r="258" spans="1:15" s="94" customFormat="1" ht="12" customHeight="1">
      <c r="A258" s="95">
        <v>248</v>
      </c>
      <c r="B258" s="201" t="s">
        <v>321</v>
      </c>
      <c r="C258" s="32">
        <v>40515</v>
      </c>
      <c r="D258" s="30" t="s">
        <v>32</v>
      </c>
      <c r="E258" s="33">
        <v>62</v>
      </c>
      <c r="F258" s="33">
        <v>2</v>
      </c>
      <c r="G258" s="33">
        <v>24</v>
      </c>
      <c r="H258" s="392">
        <v>777</v>
      </c>
      <c r="I258" s="393">
        <v>166</v>
      </c>
      <c r="J258" s="112">
        <f>(I258/F258)</f>
        <v>83</v>
      </c>
      <c r="K258" s="195">
        <f>H258/I258</f>
        <v>4.680722891566265</v>
      </c>
      <c r="L258" s="12">
        <f>353151+191248+132731.5+71376+47862+26248.5+19265+34650.5+35095.5+42312+25849+10987+7528+3248+2395.5+3280.5+3141.5+4280+3042+1597+6128+4358+2107+777</f>
        <v>1032658.5</v>
      </c>
      <c r="M258" s="13">
        <f>34650+19352+14525+10591+7581+5012+3223+6065+6865+6589+3930+1782+1091+624+468+512+688+987+804+306+1395+991+478+166</f>
        <v>128675</v>
      </c>
      <c r="N258" s="197">
        <f>L258/M258</f>
        <v>8.025323489411308</v>
      </c>
      <c r="O258" s="103">
        <v>248</v>
      </c>
    </row>
    <row r="259" spans="1:15" s="94" customFormat="1" ht="12" customHeight="1">
      <c r="A259" s="95">
        <v>249</v>
      </c>
      <c r="B259" s="201" t="s">
        <v>321</v>
      </c>
      <c r="C259" s="32">
        <v>40515</v>
      </c>
      <c r="D259" s="30" t="s">
        <v>32</v>
      </c>
      <c r="E259" s="33">
        <v>62</v>
      </c>
      <c r="F259" s="33">
        <v>4</v>
      </c>
      <c r="G259" s="33">
        <v>23</v>
      </c>
      <c r="H259" s="392">
        <v>2107</v>
      </c>
      <c r="I259" s="393">
        <v>478</v>
      </c>
      <c r="J259" s="112">
        <f>(I259/F259)</f>
        <v>119.5</v>
      </c>
      <c r="K259" s="195">
        <f>H259/I259</f>
        <v>4.407949790794979</v>
      </c>
      <c r="L259" s="12">
        <f>353151+191248+132731.5+71376+47862+26248.5+19265+34650.5+35095.5+42312+25849+10987+7528+3248+2395.5+3280.5+3141.5+4280+3042+1597+6128+4358+2107</f>
        <v>1031881.5</v>
      </c>
      <c r="M259" s="13">
        <f>34650+19352+14525+10591+7581+5012+3223+6065+6865+6589+3930+1782+1091+624+468+512+688+987+804+306+1395+991+478</f>
        <v>128509</v>
      </c>
      <c r="N259" s="197">
        <f>L259/M259</f>
        <v>8.029643838174758</v>
      </c>
      <c r="O259" s="103">
        <v>249</v>
      </c>
    </row>
    <row r="260" spans="1:15" s="94" customFormat="1" ht="12" customHeight="1">
      <c r="A260" s="95">
        <v>250</v>
      </c>
      <c r="B260" s="201" t="s">
        <v>321</v>
      </c>
      <c r="C260" s="32">
        <v>40515</v>
      </c>
      <c r="D260" s="527" t="s">
        <v>32</v>
      </c>
      <c r="E260" s="33">
        <v>62</v>
      </c>
      <c r="F260" s="33">
        <v>5</v>
      </c>
      <c r="G260" s="33">
        <v>22</v>
      </c>
      <c r="H260" s="392">
        <v>4328</v>
      </c>
      <c r="I260" s="393">
        <v>991</v>
      </c>
      <c r="J260" s="112">
        <f>(I260/F260)</f>
        <v>198.2</v>
      </c>
      <c r="K260" s="200">
        <f>H260/I260</f>
        <v>4.367305751765893</v>
      </c>
      <c r="L260" s="12">
        <f>353151+191248+132731.5+71376+47862+26248.5+19265+34650.5+35095.5+42312+25849+10987+7528+3248+2395.5+3280.5+3141.5+4280+3042+1597+6128+4328</f>
        <v>1029744.5</v>
      </c>
      <c r="M260" s="13">
        <f>34650+19352+14525+10591+7581+5012+3223+6065+6865+6589+3930+1782+1091+624+468+512+688+987+804+306+1395+991</f>
        <v>128031</v>
      </c>
      <c r="N260" s="197">
        <f>L260/M260</f>
        <v>8.042931008896282</v>
      </c>
      <c r="O260" s="103">
        <v>250</v>
      </c>
    </row>
    <row r="261" spans="1:15" s="94" customFormat="1" ht="12" customHeight="1">
      <c r="A261" s="95">
        <v>251</v>
      </c>
      <c r="B261" s="201" t="s">
        <v>321</v>
      </c>
      <c r="C261" s="32">
        <v>40515</v>
      </c>
      <c r="D261" s="30" t="s">
        <v>32</v>
      </c>
      <c r="E261" s="33">
        <v>62</v>
      </c>
      <c r="F261" s="33">
        <v>5</v>
      </c>
      <c r="G261" s="33">
        <v>21</v>
      </c>
      <c r="H261" s="392">
        <v>6128</v>
      </c>
      <c r="I261" s="393">
        <v>1395</v>
      </c>
      <c r="J261" s="112">
        <f>(I261/F261)</f>
        <v>279</v>
      </c>
      <c r="K261" s="195">
        <f>H261/I261</f>
        <v>4.392831541218638</v>
      </c>
      <c r="L261" s="12">
        <f>353151+191248+132731.5+71376+47862+26248.5+19265+34650.5+35095.5+42312+25849+10987+7528+3248+2395.5+3280.5+3141.5+4280+3042+1597+6128</f>
        <v>1025416.5</v>
      </c>
      <c r="M261" s="13">
        <f>34650+19352+14525+10591+7581+5012+3223+6065+6865+6589+3930+1782+1091+624+468+512+688+987+804+306+1395</f>
        <v>127040</v>
      </c>
      <c r="N261" s="197">
        <f>L261/M261</f>
        <v>8.071603431989924</v>
      </c>
      <c r="O261" s="103">
        <v>251</v>
      </c>
    </row>
    <row r="262" spans="1:15" s="94" customFormat="1" ht="12" customHeight="1">
      <c r="A262" s="95">
        <v>252</v>
      </c>
      <c r="B262" s="201" t="s">
        <v>321</v>
      </c>
      <c r="C262" s="32">
        <v>40515</v>
      </c>
      <c r="D262" s="30" t="s">
        <v>32</v>
      </c>
      <c r="E262" s="33">
        <v>62</v>
      </c>
      <c r="F262" s="33">
        <v>3</v>
      </c>
      <c r="G262" s="33">
        <v>20</v>
      </c>
      <c r="H262" s="392">
        <v>1597</v>
      </c>
      <c r="I262" s="393">
        <v>306</v>
      </c>
      <c r="J262" s="112">
        <f>(I262/F262)</f>
        <v>102</v>
      </c>
      <c r="K262" s="195">
        <f>H262/I262</f>
        <v>5.218954248366013</v>
      </c>
      <c r="L262" s="12">
        <f>353151+191248+132731.5+71376+47862+26248.5+19265+34650.5+35095.5+42312+25849+10987+7528+3248+2395.5+3280.5+3141.5+4280+3042+1597</f>
        <v>1019288.5</v>
      </c>
      <c r="M262" s="13">
        <f>34650+19352+14525+10591+7581+5012+3223+6065+6865+6589+3930+1782+1091+624+468+512+688+987+804+306</f>
        <v>125645</v>
      </c>
      <c r="N262" s="197">
        <f>L262/M262</f>
        <v>8.112447769509332</v>
      </c>
      <c r="O262" s="103">
        <v>252</v>
      </c>
    </row>
    <row r="263" spans="1:15" s="94" customFormat="1" ht="12" customHeight="1">
      <c r="A263" s="95">
        <v>253</v>
      </c>
      <c r="B263" s="530" t="s">
        <v>321</v>
      </c>
      <c r="C263" s="465">
        <v>40515</v>
      </c>
      <c r="D263" s="466" t="s">
        <v>32</v>
      </c>
      <c r="E263" s="467">
        <v>62</v>
      </c>
      <c r="F263" s="467">
        <v>6</v>
      </c>
      <c r="G263" s="467">
        <v>19</v>
      </c>
      <c r="H263" s="392">
        <v>3042</v>
      </c>
      <c r="I263" s="393">
        <v>804</v>
      </c>
      <c r="J263" s="109">
        <v>134</v>
      </c>
      <c r="K263" s="204">
        <v>3.783582089552239</v>
      </c>
      <c r="L263" s="12">
        <v>1017691.5</v>
      </c>
      <c r="M263" s="13">
        <v>125339</v>
      </c>
      <c r="N263" s="197">
        <v>8.119511883771212</v>
      </c>
      <c r="O263" s="103">
        <v>253</v>
      </c>
    </row>
    <row r="264" spans="1:15" s="94" customFormat="1" ht="12" customHeight="1">
      <c r="A264" s="95">
        <v>254</v>
      </c>
      <c r="B264" s="205" t="s">
        <v>321</v>
      </c>
      <c r="C264" s="206">
        <v>40515</v>
      </c>
      <c r="D264" s="464" t="s">
        <v>32</v>
      </c>
      <c r="E264" s="207">
        <v>62</v>
      </c>
      <c r="F264" s="207">
        <v>8</v>
      </c>
      <c r="G264" s="207">
        <v>18</v>
      </c>
      <c r="H264" s="603">
        <v>4280</v>
      </c>
      <c r="I264" s="611">
        <v>987</v>
      </c>
      <c r="J264" s="208">
        <f>(I264/F264)</f>
        <v>123.375</v>
      </c>
      <c r="K264" s="209">
        <f>H264/I264</f>
        <v>4.336372847011145</v>
      </c>
      <c r="L264" s="210">
        <f>353151+191248+132731.5+71376+47862+26248.5+19265+34650.5+35095.5+42312+25849+10987+7528+3248+2395.5+3280.5+3141.5+4280</f>
        <v>1014649.5</v>
      </c>
      <c r="M264" s="211">
        <f>34650+19352+14525+10591+7581+5012+3223+6065+6865+6589+3930+1782+1091+624+468+512+688+987</f>
        <v>124535</v>
      </c>
      <c r="N264" s="212">
        <f>L264/M264</f>
        <v>8.147504717549284</v>
      </c>
      <c r="O264" s="103">
        <v>254</v>
      </c>
    </row>
    <row r="265" spans="1:15" s="94" customFormat="1" ht="12" customHeight="1">
      <c r="A265" s="95">
        <v>255</v>
      </c>
      <c r="B265" s="215" t="s">
        <v>321</v>
      </c>
      <c r="C265" s="272">
        <v>40515</v>
      </c>
      <c r="D265" s="216" t="s">
        <v>138</v>
      </c>
      <c r="E265" s="217">
        <v>62</v>
      </c>
      <c r="F265" s="217">
        <v>6</v>
      </c>
      <c r="G265" s="217">
        <v>17</v>
      </c>
      <c r="H265" s="600">
        <v>3141.5</v>
      </c>
      <c r="I265" s="597">
        <v>688</v>
      </c>
      <c r="J265" s="110">
        <f>(I265/F265)</f>
        <v>114.66666666666667</v>
      </c>
      <c r="K265" s="576">
        <f>H265/I265</f>
        <v>4.566133720930233</v>
      </c>
      <c r="L265" s="43">
        <f>353151+191248+132731.5+71376+47862+26248.5+19265+34650.5+35095.5+42312+25849+10987+7528+3248+2395.5+3280.5+3141.5</f>
        <v>1010369.5</v>
      </c>
      <c r="M265" s="9">
        <f>34650+19352+14525+10591+7581+5012+3223+6065+6865+6589+3930+1782+1091+624+468+512+688</f>
        <v>123548</v>
      </c>
      <c r="N265" s="219">
        <f>L265/M265</f>
        <v>8.177951079742286</v>
      </c>
      <c r="O265" s="103">
        <v>255</v>
      </c>
    </row>
    <row r="266" spans="1:15" s="94" customFormat="1" ht="12" customHeight="1">
      <c r="A266" s="95">
        <v>256</v>
      </c>
      <c r="B266" s="201" t="s">
        <v>321</v>
      </c>
      <c r="C266" s="32">
        <v>40515</v>
      </c>
      <c r="D266" s="30" t="s">
        <v>32</v>
      </c>
      <c r="E266" s="33">
        <v>62</v>
      </c>
      <c r="F266" s="33">
        <v>8</v>
      </c>
      <c r="G266" s="33">
        <v>16</v>
      </c>
      <c r="H266" s="392">
        <v>3280.5</v>
      </c>
      <c r="I266" s="393">
        <v>512</v>
      </c>
      <c r="J266" s="112">
        <f>(I266/F266)</f>
        <v>64</v>
      </c>
      <c r="K266" s="195">
        <f>H266/I266</f>
        <v>6.4072265625</v>
      </c>
      <c r="L266" s="12">
        <f>353151+191248+132731.5+71376+47862+26248.5+19265+34650.5+35095.5+42312+25849+10987+7528+3248+2395.5+3280.5</f>
        <v>1007228</v>
      </c>
      <c r="M266" s="13">
        <f>34650+19352+14525+10591+7581+5012+3223+6065+6865+6589+3930+1782+1091+624+468+512</f>
        <v>122860</v>
      </c>
      <c r="N266" s="197">
        <f>L266/M266</f>
        <v>8.198176786586359</v>
      </c>
      <c r="O266" s="103">
        <v>256</v>
      </c>
    </row>
    <row r="267" spans="1:15" s="94" customFormat="1" ht="12" customHeight="1">
      <c r="A267" s="95">
        <v>257</v>
      </c>
      <c r="B267" s="201" t="s">
        <v>321</v>
      </c>
      <c r="C267" s="32">
        <v>40515</v>
      </c>
      <c r="D267" s="30" t="s">
        <v>32</v>
      </c>
      <c r="E267" s="33">
        <v>62</v>
      </c>
      <c r="F267" s="33">
        <v>8</v>
      </c>
      <c r="G267" s="33">
        <v>15</v>
      </c>
      <c r="H267" s="392">
        <v>2395.5</v>
      </c>
      <c r="I267" s="393">
        <v>468</v>
      </c>
      <c r="J267" s="112">
        <f>(I267/F267)</f>
        <v>58.5</v>
      </c>
      <c r="K267" s="195">
        <f>H267/I267</f>
        <v>5.118589743589744</v>
      </c>
      <c r="L267" s="12">
        <f>353151+191248+132731.5+71376+47862+26248.5+19265+34650.5+35095.5+42312+25849+10987+7528+3248+2395.5</f>
        <v>1003947.5</v>
      </c>
      <c r="M267" s="13">
        <f>34650+19352+14525+10591+7581+5012+3223+6065+6865+6589+3930+1782+1091+624+468</f>
        <v>122348</v>
      </c>
      <c r="N267" s="197">
        <f>L267/M267</f>
        <v>8.205671527119364</v>
      </c>
      <c r="O267" s="103">
        <v>257</v>
      </c>
    </row>
    <row r="268" spans="1:15" s="94" customFormat="1" ht="12" customHeight="1">
      <c r="A268" s="95">
        <v>258</v>
      </c>
      <c r="B268" s="201" t="s">
        <v>321</v>
      </c>
      <c r="C268" s="32">
        <v>40515</v>
      </c>
      <c r="D268" s="30" t="s">
        <v>32</v>
      </c>
      <c r="E268" s="33">
        <v>62</v>
      </c>
      <c r="F268" s="33">
        <v>9</v>
      </c>
      <c r="G268" s="33">
        <v>14</v>
      </c>
      <c r="H268" s="392">
        <v>3248</v>
      </c>
      <c r="I268" s="393">
        <v>624</v>
      </c>
      <c r="J268" s="112">
        <f>(I268/F268)</f>
        <v>69.33333333333333</v>
      </c>
      <c r="K268" s="195">
        <f>H268/I268</f>
        <v>5.205128205128205</v>
      </c>
      <c r="L268" s="12">
        <f>353151+191248+132731.5+71376+47862+26248.5+19265+34650.5+35095.5+42312+25849+10987+7528+3248</f>
        <v>1001552</v>
      </c>
      <c r="M268" s="13">
        <f>34650+19352+14525+10591+7581+5012+3223+6065+6865+6589+3930+1782+1091+624</f>
        <v>121880</v>
      </c>
      <c r="N268" s="197">
        <f>L268/M268</f>
        <v>8.217525434853954</v>
      </c>
      <c r="O268" s="103">
        <v>258</v>
      </c>
    </row>
    <row r="269" spans="1:15" s="94" customFormat="1" ht="12" customHeight="1">
      <c r="A269" s="95">
        <v>259</v>
      </c>
      <c r="B269" s="213" t="s">
        <v>321</v>
      </c>
      <c r="C269" s="32">
        <v>40515</v>
      </c>
      <c r="D269" s="199" t="s">
        <v>32</v>
      </c>
      <c r="E269" s="202">
        <v>62</v>
      </c>
      <c r="F269" s="202">
        <v>14</v>
      </c>
      <c r="G269" s="202">
        <v>13</v>
      </c>
      <c r="H269" s="608">
        <v>7528</v>
      </c>
      <c r="I269" s="622">
        <v>1091</v>
      </c>
      <c r="J269" s="203">
        <f>(I269/F269)</f>
        <v>77.92857142857143</v>
      </c>
      <c r="K269" s="200">
        <f>H269/I269</f>
        <v>6.900091659028415</v>
      </c>
      <c r="L269" s="26">
        <f>353151+191248+132731.5+71376+47862+26248.5+19265+34650.5+35095.5+42312+25849+10987+7528</f>
        <v>998304</v>
      </c>
      <c r="M269" s="27">
        <f>34650+19352+14525+10591+7581+5012+3223+6065+6865+6589+3930+1782+1091</f>
        <v>121256</v>
      </c>
      <c r="N269" s="197">
        <f>L269/M269</f>
        <v>8.233027643992875</v>
      </c>
      <c r="O269" s="103">
        <v>259</v>
      </c>
    </row>
    <row r="270" spans="1:15" s="94" customFormat="1" ht="12" customHeight="1">
      <c r="A270" s="95">
        <v>260</v>
      </c>
      <c r="B270" s="213" t="s">
        <v>321</v>
      </c>
      <c r="C270" s="32">
        <v>40515</v>
      </c>
      <c r="D270" s="199" t="s">
        <v>32</v>
      </c>
      <c r="E270" s="202">
        <v>62</v>
      </c>
      <c r="F270" s="202">
        <v>17</v>
      </c>
      <c r="G270" s="202">
        <v>12</v>
      </c>
      <c r="H270" s="392">
        <v>10987</v>
      </c>
      <c r="I270" s="393">
        <v>1782</v>
      </c>
      <c r="J270" s="112">
        <f>(I270/F270)</f>
        <v>104.82352941176471</v>
      </c>
      <c r="K270" s="195">
        <f>H270/I270</f>
        <v>6.165544332210999</v>
      </c>
      <c r="L270" s="12">
        <f>353151+191248+132731.5+71376+47862+26248.5+19265+34650.5+35095.5+42312+25849+10987</f>
        <v>990776</v>
      </c>
      <c r="M270" s="13">
        <f>34650+19352+14525+10591+7581+5012+3223+6065+6865+6589+3930+1782</f>
        <v>120165</v>
      </c>
      <c r="N270" s="197">
        <f>L270/M270</f>
        <v>8.245129613448176</v>
      </c>
      <c r="O270" s="103">
        <v>260</v>
      </c>
    </row>
    <row r="271" spans="1:15" s="94" customFormat="1" ht="12" customHeight="1">
      <c r="A271" s="95">
        <v>261</v>
      </c>
      <c r="B271" s="205" t="s">
        <v>321</v>
      </c>
      <c r="C271" s="206">
        <v>40515</v>
      </c>
      <c r="D271" s="199" t="s">
        <v>32</v>
      </c>
      <c r="E271" s="207">
        <v>62</v>
      </c>
      <c r="F271" s="207">
        <v>26</v>
      </c>
      <c r="G271" s="207">
        <v>11</v>
      </c>
      <c r="H271" s="603">
        <v>25849</v>
      </c>
      <c r="I271" s="611">
        <v>3930</v>
      </c>
      <c r="J271" s="208">
        <f>(I271/F271)</f>
        <v>151.15384615384616</v>
      </c>
      <c r="K271" s="209">
        <f>H271/I271</f>
        <v>6.57735368956743</v>
      </c>
      <c r="L271" s="210">
        <f>353151+191248+132731.5+71376+47862+26248.5+19265+34650.5+35095.5+42312+25849</f>
        <v>979789</v>
      </c>
      <c r="M271" s="211">
        <f>34650+19352+14525+10591+7581+5012+3223+6065+6865+6589+3930</f>
        <v>118383</v>
      </c>
      <c r="N271" s="212">
        <f>L271/M271</f>
        <v>8.276433271669074</v>
      </c>
      <c r="O271" s="103">
        <v>261</v>
      </c>
    </row>
    <row r="272" spans="1:15" s="94" customFormat="1" ht="12" customHeight="1">
      <c r="A272" s="95">
        <v>262</v>
      </c>
      <c r="B272" s="213" t="s">
        <v>321</v>
      </c>
      <c r="C272" s="32">
        <v>40515</v>
      </c>
      <c r="D272" s="199" t="s">
        <v>32</v>
      </c>
      <c r="E272" s="202">
        <v>62</v>
      </c>
      <c r="F272" s="202">
        <v>28</v>
      </c>
      <c r="G272" s="202">
        <v>10</v>
      </c>
      <c r="H272" s="392">
        <v>42312</v>
      </c>
      <c r="I272" s="393">
        <v>6589</v>
      </c>
      <c r="J272" s="112">
        <f>(I272/F272)</f>
        <v>235.32142857142858</v>
      </c>
      <c r="K272" s="195">
        <f>H272/I272</f>
        <v>6.421611777204432</v>
      </c>
      <c r="L272" s="12">
        <f>353151+191248+132731.5+71376+47862+26248.5+19265+34650.5+35095.5+42312</f>
        <v>953940</v>
      </c>
      <c r="M272" s="13">
        <f>34650+19352+14525+10591+7581+5012+3223+6065+6865+6589</f>
        <v>114453</v>
      </c>
      <c r="N272" s="197">
        <f>L272/M272</f>
        <v>8.334774973133076</v>
      </c>
      <c r="O272" s="103">
        <v>262</v>
      </c>
    </row>
    <row r="273" spans="1:15" s="94" customFormat="1" ht="12" customHeight="1">
      <c r="A273" s="95">
        <v>263</v>
      </c>
      <c r="B273" s="201" t="s">
        <v>321</v>
      </c>
      <c r="C273" s="32">
        <v>40515</v>
      </c>
      <c r="D273" s="199" t="s">
        <v>32</v>
      </c>
      <c r="E273" s="33">
        <v>62</v>
      </c>
      <c r="F273" s="33">
        <v>37</v>
      </c>
      <c r="G273" s="33">
        <v>9</v>
      </c>
      <c r="H273" s="392">
        <v>35095.5</v>
      </c>
      <c r="I273" s="393">
        <v>6865</v>
      </c>
      <c r="J273" s="112">
        <f>(I273/F273)</f>
        <v>185.54054054054055</v>
      </c>
      <c r="K273" s="195">
        <f>H273/I273</f>
        <v>5.112235979606701</v>
      </c>
      <c r="L273" s="12">
        <f>353151+191248+132731.5+71376+47862+26248.5+19265+34650.5+35095.5</f>
        <v>911628</v>
      </c>
      <c r="M273" s="13">
        <f>34650+19352+14525+10591+7581+5012+3223+6065+6865</f>
        <v>107864</v>
      </c>
      <c r="N273" s="197">
        <f>L273/M273</f>
        <v>8.451642809463769</v>
      </c>
      <c r="O273" s="103">
        <v>263</v>
      </c>
    </row>
    <row r="274" spans="1:15" s="94" customFormat="1" ht="12" customHeight="1">
      <c r="A274" s="95">
        <v>264</v>
      </c>
      <c r="B274" s="198" t="s">
        <v>321</v>
      </c>
      <c r="C274" s="32">
        <v>40515</v>
      </c>
      <c r="D274" s="199" t="s">
        <v>32</v>
      </c>
      <c r="E274" s="33">
        <v>62</v>
      </c>
      <c r="F274" s="33">
        <v>36</v>
      </c>
      <c r="G274" s="33">
        <v>8</v>
      </c>
      <c r="H274" s="392">
        <v>34650.5</v>
      </c>
      <c r="I274" s="393">
        <v>6065</v>
      </c>
      <c r="J274" s="112">
        <f>(I274/F274)</f>
        <v>168.47222222222223</v>
      </c>
      <c r="K274" s="195">
        <f>H274/I274</f>
        <v>5.713190436933224</v>
      </c>
      <c r="L274" s="12">
        <f>353151+191248+132731.5+71376+47862+26248.5+19265+34650.5</f>
        <v>876532.5</v>
      </c>
      <c r="M274" s="13">
        <f>34650+19352+14525+10591+7581+5012+3223+6065</f>
        <v>100999</v>
      </c>
      <c r="N274" s="197">
        <f>L274/M274</f>
        <v>8.678625530945851</v>
      </c>
      <c r="O274" s="103">
        <v>264</v>
      </c>
    </row>
    <row r="275" spans="1:15" s="94" customFormat="1" ht="12" customHeight="1">
      <c r="A275" s="95">
        <v>265</v>
      </c>
      <c r="B275" s="205" t="s">
        <v>321</v>
      </c>
      <c r="C275" s="206">
        <v>40515</v>
      </c>
      <c r="D275" s="199" t="s">
        <v>32</v>
      </c>
      <c r="E275" s="207">
        <v>62</v>
      </c>
      <c r="F275" s="207">
        <v>37</v>
      </c>
      <c r="G275" s="207">
        <v>7</v>
      </c>
      <c r="H275" s="603">
        <v>19265</v>
      </c>
      <c r="I275" s="611">
        <v>3223</v>
      </c>
      <c r="J275" s="208">
        <f>(I275/F275)</f>
        <v>87.10810810810811</v>
      </c>
      <c r="K275" s="209">
        <f>H275/I275</f>
        <v>5.977350294756438</v>
      </c>
      <c r="L275" s="210">
        <f>353151+191248+132731.5+71376+47862+26248.5+19265</f>
        <v>841882</v>
      </c>
      <c r="M275" s="211">
        <f>34650+19352+14525+10591+7581+5012+3223</f>
        <v>94934</v>
      </c>
      <c r="N275" s="212">
        <f>L275/M275</f>
        <v>8.868076769123812</v>
      </c>
      <c r="O275" s="103">
        <v>265</v>
      </c>
    </row>
    <row r="276" spans="1:15" s="94" customFormat="1" ht="12" customHeight="1">
      <c r="A276" s="95">
        <v>266</v>
      </c>
      <c r="B276" s="201" t="s">
        <v>321</v>
      </c>
      <c r="C276" s="32">
        <v>40515</v>
      </c>
      <c r="D276" s="199" t="s">
        <v>32</v>
      </c>
      <c r="E276" s="33">
        <v>62</v>
      </c>
      <c r="F276" s="33">
        <v>42</v>
      </c>
      <c r="G276" s="33">
        <v>6</v>
      </c>
      <c r="H276" s="392">
        <v>26248.5</v>
      </c>
      <c r="I276" s="393">
        <v>5012</v>
      </c>
      <c r="J276" s="112">
        <f>(I276/F276)</f>
        <v>119.33333333333333</v>
      </c>
      <c r="K276" s="195">
        <f>H276/I276</f>
        <v>5.237130885873903</v>
      </c>
      <c r="L276" s="12">
        <f>353151+191248+132731.5+71376+47862+26248.5</f>
        <v>822617</v>
      </c>
      <c r="M276" s="13">
        <f>34650+19352+14525+10591+7581+5012</f>
        <v>91711</v>
      </c>
      <c r="N276" s="197">
        <f>L276/M276</f>
        <v>8.96966557991953</v>
      </c>
      <c r="O276" s="103">
        <v>266</v>
      </c>
    </row>
    <row r="277" spans="1:15" s="94" customFormat="1" ht="12" customHeight="1">
      <c r="A277" s="95">
        <v>267</v>
      </c>
      <c r="B277" s="198" t="s">
        <v>321</v>
      </c>
      <c r="C277" s="32">
        <v>40515</v>
      </c>
      <c r="D277" s="199" t="s">
        <v>32</v>
      </c>
      <c r="E277" s="33">
        <v>62</v>
      </c>
      <c r="F277" s="33">
        <v>62</v>
      </c>
      <c r="G277" s="33">
        <v>5</v>
      </c>
      <c r="H277" s="608">
        <v>47812</v>
      </c>
      <c r="I277" s="393">
        <v>7581</v>
      </c>
      <c r="J277" s="112">
        <f>(I277/F277)</f>
        <v>122.2741935483871</v>
      </c>
      <c r="K277" s="200">
        <f>H277/I277</f>
        <v>6.3068196807809</v>
      </c>
      <c r="L277" s="26">
        <f>353151+191248+132731.5+71376+47812</f>
        <v>796318.5</v>
      </c>
      <c r="M277" s="13">
        <f>34650+19352+14525+10591+7581</f>
        <v>86699</v>
      </c>
      <c r="N277" s="197">
        <f>L277/M277</f>
        <v>9.184863723918385</v>
      </c>
      <c r="O277" s="103">
        <v>267</v>
      </c>
    </row>
    <row r="278" spans="1:15" s="94" customFormat="1" ht="12" customHeight="1">
      <c r="A278" s="95">
        <v>268</v>
      </c>
      <c r="B278" s="236" t="s">
        <v>164</v>
      </c>
      <c r="C278" s="32">
        <v>40487</v>
      </c>
      <c r="D278" s="261" t="s">
        <v>23</v>
      </c>
      <c r="E278" s="33">
        <v>205</v>
      </c>
      <c r="F278" s="33">
        <v>3</v>
      </c>
      <c r="G278" s="33">
        <v>9</v>
      </c>
      <c r="H278" s="625">
        <v>2650</v>
      </c>
      <c r="I278" s="596">
        <v>405</v>
      </c>
      <c r="J278" s="38">
        <f>I278/F278</f>
        <v>135</v>
      </c>
      <c r="K278" s="269">
        <f>+H278/I278</f>
        <v>6.54320987654321</v>
      </c>
      <c r="L278" s="28">
        <v>1135918</v>
      </c>
      <c r="M278" s="39">
        <v>131505</v>
      </c>
      <c r="N278" s="259">
        <f>+L278/M278</f>
        <v>8.637831261168778</v>
      </c>
      <c r="O278" s="103">
        <v>268</v>
      </c>
    </row>
    <row r="279" spans="1:15" s="94" customFormat="1" ht="12" customHeight="1">
      <c r="A279" s="95">
        <v>269</v>
      </c>
      <c r="B279" s="236" t="s">
        <v>322</v>
      </c>
      <c r="C279" s="32">
        <v>40473</v>
      </c>
      <c r="D279" s="261" t="s">
        <v>23</v>
      </c>
      <c r="E279" s="33">
        <v>100</v>
      </c>
      <c r="F279" s="33">
        <v>1</v>
      </c>
      <c r="G279" s="33">
        <v>11</v>
      </c>
      <c r="H279" s="625">
        <v>846</v>
      </c>
      <c r="I279" s="596">
        <v>141</v>
      </c>
      <c r="J279" s="38">
        <f>I279/F279</f>
        <v>141</v>
      </c>
      <c r="K279" s="269">
        <f>+H279/I279</f>
        <v>6</v>
      </c>
      <c r="L279" s="28">
        <v>1818047</v>
      </c>
      <c r="M279" s="39">
        <v>188946</v>
      </c>
      <c r="N279" s="259">
        <f>+L279/M279</f>
        <v>9.622045452139766</v>
      </c>
      <c r="O279" s="103">
        <v>269</v>
      </c>
    </row>
    <row r="280" spans="1:15" s="94" customFormat="1" ht="12" customHeight="1">
      <c r="A280" s="95">
        <v>270</v>
      </c>
      <c r="B280" s="940" t="s">
        <v>323</v>
      </c>
      <c r="C280" s="272">
        <v>40228</v>
      </c>
      <c r="D280" s="286" t="s">
        <v>32</v>
      </c>
      <c r="E280" s="230">
        <v>88</v>
      </c>
      <c r="F280" s="230">
        <v>1</v>
      </c>
      <c r="G280" s="230">
        <v>25</v>
      </c>
      <c r="H280" s="600">
        <v>1782</v>
      </c>
      <c r="I280" s="597">
        <v>445</v>
      </c>
      <c r="J280" s="110">
        <f>(I280/F280)</f>
        <v>445</v>
      </c>
      <c r="K280" s="218">
        <f>H280/I280</f>
        <v>4.004494382022472</v>
      </c>
      <c r="L280" s="43">
        <f>848677.55+469+99+661+35+1782+1782</f>
        <v>853505.55</v>
      </c>
      <c r="M280" s="9">
        <f>99747+71+15+97+3+445+445</f>
        <v>100823</v>
      </c>
      <c r="N280" s="219">
        <f>L280/M280</f>
        <v>8.465385378336293</v>
      </c>
      <c r="O280" s="103">
        <v>270</v>
      </c>
    </row>
    <row r="281" spans="1:15" s="94" customFormat="1" ht="12" customHeight="1">
      <c r="A281" s="95">
        <v>271</v>
      </c>
      <c r="B281" s="532" t="s">
        <v>324</v>
      </c>
      <c r="C281" s="533">
        <v>40347</v>
      </c>
      <c r="D281" s="118" t="s">
        <v>32</v>
      </c>
      <c r="E281" s="534">
        <v>66</v>
      </c>
      <c r="F281" s="534">
        <v>2</v>
      </c>
      <c r="G281" s="534">
        <v>30</v>
      </c>
      <c r="H281" s="528">
        <v>2851</v>
      </c>
      <c r="I281" s="529">
        <v>712</v>
      </c>
      <c r="J281" s="101">
        <f>I281/F281</f>
        <v>356</v>
      </c>
      <c r="K281" s="100">
        <f>H281/I281</f>
        <v>4.004213483146067</v>
      </c>
      <c r="L281" s="111">
        <f>478213+7083+3309.5+6055+4900+8378+4378.5+2349+3103+2074+7679.5+6108+2991.5+2180+2234+642+2775.5+1757+1151+3382+60+1782+2851</f>
        <v>555436.5</v>
      </c>
      <c r="M281" s="112">
        <f>55327+1259+553+1133+756+1285+650+408+682+334+1688+1394+539+483+475+201+677+260+202+852+20+445+712</f>
        <v>70335</v>
      </c>
      <c r="N281" s="128">
        <f>L281/M281</f>
        <v>7.89701428876093</v>
      </c>
      <c r="O281" s="103">
        <v>271</v>
      </c>
    </row>
    <row r="282" spans="1:15" s="94" customFormat="1" ht="12" customHeight="1">
      <c r="A282" s="95">
        <v>272</v>
      </c>
      <c r="B282" s="488" t="s">
        <v>324</v>
      </c>
      <c r="C282" s="483">
        <v>40347</v>
      </c>
      <c r="D282" s="199" t="s">
        <v>32</v>
      </c>
      <c r="E282" s="489">
        <v>66</v>
      </c>
      <c r="F282" s="489">
        <v>1</v>
      </c>
      <c r="G282" s="489">
        <v>29</v>
      </c>
      <c r="H282" s="392">
        <v>1782</v>
      </c>
      <c r="I282" s="393">
        <v>445</v>
      </c>
      <c r="J282" s="112">
        <f>(I282/F282)</f>
        <v>445</v>
      </c>
      <c r="K282" s="195">
        <f>H282/I282</f>
        <v>4.004494382022472</v>
      </c>
      <c r="L282" s="12">
        <f>478213+7083+3309.5+6055+4900+8378+4378.5+2349+3103+2074+7679.5+6108+2991.5+2180+2234+642+2775.5+1757+1151+3382+60+1782</f>
        <v>552585.5</v>
      </c>
      <c r="M282" s="13">
        <f>55327+1259+553+1133+756+1285+650+408+682+334+1688+1394+539+483+475+201+677+260+202+852+20+445</f>
        <v>69623</v>
      </c>
      <c r="N282" s="197">
        <f>L282/M282</f>
        <v>7.936824038033408</v>
      </c>
      <c r="O282" s="103">
        <v>272</v>
      </c>
    </row>
    <row r="283" spans="1:15" s="94" customFormat="1" ht="12" customHeight="1">
      <c r="A283" s="95">
        <v>273</v>
      </c>
      <c r="B283" s="485" t="s">
        <v>324</v>
      </c>
      <c r="C283" s="486">
        <v>40347</v>
      </c>
      <c r="D283" s="199" t="s">
        <v>32</v>
      </c>
      <c r="E283" s="487">
        <v>66</v>
      </c>
      <c r="F283" s="487">
        <v>1</v>
      </c>
      <c r="G283" s="487">
        <v>28</v>
      </c>
      <c r="H283" s="603">
        <v>60</v>
      </c>
      <c r="I283" s="611">
        <v>20</v>
      </c>
      <c r="J283" s="208">
        <f>(I283/F283)</f>
        <v>20</v>
      </c>
      <c r="K283" s="209">
        <f>H283/I283</f>
        <v>3</v>
      </c>
      <c r="L283" s="210">
        <f>478213+7083+3309.5+6055+4900+8378+4378.5+2349+3103+2074+7679.5+6108+2991.5+2180+2234+642+2775.5+1757+1151+3382+60</f>
        <v>550803.5</v>
      </c>
      <c r="M283" s="211">
        <f>55327+1259+553+1133+756+1285+650+408+682+334+1688+1394+539+483+475+201+677+260+202+852+20</f>
        <v>69178</v>
      </c>
      <c r="N283" s="212">
        <f>L283/M283</f>
        <v>7.962119459943913</v>
      </c>
      <c r="O283" s="103">
        <v>273</v>
      </c>
    </row>
    <row r="284" spans="1:15" s="94" customFormat="1" ht="12" customHeight="1">
      <c r="A284" s="95">
        <v>274</v>
      </c>
      <c r="B284" s="488" t="s">
        <v>324</v>
      </c>
      <c r="C284" s="483">
        <v>40347</v>
      </c>
      <c r="D284" s="199" t="s">
        <v>32</v>
      </c>
      <c r="E284" s="489">
        <v>66</v>
      </c>
      <c r="F284" s="489">
        <v>3</v>
      </c>
      <c r="G284" s="489">
        <v>27</v>
      </c>
      <c r="H284" s="392">
        <v>3382</v>
      </c>
      <c r="I284" s="393">
        <v>852</v>
      </c>
      <c r="J284" s="112">
        <f>(I284/F284)</f>
        <v>284</v>
      </c>
      <c r="K284" s="195">
        <f>H284/I284</f>
        <v>3.9694835680751175</v>
      </c>
      <c r="L284" s="12">
        <f>478213+7083+3309.5+6055+4900+8378+4378.5+2349+3103+2074+7679.5+6108+2991.5+2180+2234+642+2775.5+1757+1151+3382</f>
        <v>550743.5</v>
      </c>
      <c r="M284" s="13">
        <f>55327+1259+553+1133+756+1285+650+408+682+334+1688+1394+539+483+475+201+677+260+202+852</f>
        <v>69158</v>
      </c>
      <c r="N284" s="197">
        <f>L284/M284</f>
        <v>7.963554469475693</v>
      </c>
      <c r="O284" s="103">
        <v>274</v>
      </c>
    </row>
    <row r="285" spans="1:15" s="94" customFormat="1" ht="12" customHeight="1">
      <c r="A285" s="95">
        <v>275</v>
      </c>
      <c r="B285" s="223" t="s">
        <v>165</v>
      </c>
      <c r="C285" s="2">
        <v>38764</v>
      </c>
      <c r="D285" s="22" t="s">
        <v>21</v>
      </c>
      <c r="E285" s="3">
        <v>113</v>
      </c>
      <c r="F285" s="3">
        <v>1</v>
      </c>
      <c r="G285" s="3">
        <v>20</v>
      </c>
      <c r="H285" s="614">
        <v>2014</v>
      </c>
      <c r="I285" s="594">
        <v>403</v>
      </c>
      <c r="J285" s="101">
        <f>IF(H285&lt;&gt;0,I285/F285,"")</f>
        <v>403</v>
      </c>
      <c r="K285" s="243">
        <f>IF(H285&lt;&gt;0,H285/I285,"")</f>
        <v>4.997518610421836</v>
      </c>
      <c r="L285" s="34">
        <f>1551334+0+1188+H285</f>
        <v>1554536</v>
      </c>
      <c r="M285" s="38">
        <f>207370+0+238+I285</f>
        <v>208011</v>
      </c>
      <c r="N285" s="232">
        <f>IF(L285&lt;&gt;0,L285/M285,"")</f>
        <v>7.473335544754844</v>
      </c>
      <c r="O285" s="103">
        <v>275</v>
      </c>
    </row>
    <row r="286" spans="1:15" s="94" customFormat="1" ht="12" customHeight="1">
      <c r="A286" s="95">
        <v>276</v>
      </c>
      <c r="B286" s="213" t="s">
        <v>325</v>
      </c>
      <c r="C286" s="32">
        <v>40025</v>
      </c>
      <c r="D286" s="199" t="s">
        <v>32</v>
      </c>
      <c r="E286" s="202">
        <v>1</v>
      </c>
      <c r="F286" s="202">
        <v>1</v>
      </c>
      <c r="G286" s="202">
        <v>9</v>
      </c>
      <c r="H286" s="392">
        <v>952</v>
      </c>
      <c r="I286" s="393">
        <v>238</v>
      </c>
      <c r="J286" s="112">
        <f>(I286/F286)</f>
        <v>238</v>
      </c>
      <c r="K286" s="195">
        <f>H286/I286</f>
        <v>4</v>
      </c>
      <c r="L286" s="12">
        <f>6157+1979.5+2138+815+825+343+114+159+952</f>
        <v>13482.5</v>
      </c>
      <c r="M286" s="13">
        <f>452+147+247+163+165+40+19+36+238</f>
        <v>1507</v>
      </c>
      <c r="N286" s="197">
        <f>L286/M286</f>
        <v>8.946582614465827</v>
      </c>
      <c r="O286" s="103">
        <v>276</v>
      </c>
    </row>
    <row r="287" spans="1:15" s="94" customFormat="1" ht="12" customHeight="1">
      <c r="A287" s="95">
        <v>277</v>
      </c>
      <c r="B287" s="226" t="s">
        <v>166</v>
      </c>
      <c r="C287" s="2">
        <v>40501</v>
      </c>
      <c r="D287" s="20" t="s">
        <v>142</v>
      </c>
      <c r="E287" s="5">
        <v>121</v>
      </c>
      <c r="F287" s="5">
        <v>1</v>
      </c>
      <c r="G287" s="5">
        <v>23</v>
      </c>
      <c r="H287" s="621">
        <v>604</v>
      </c>
      <c r="I287" s="620">
        <v>180</v>
      </c>
      <c r="J287" s="246">
        <f>I287/F287</f>
        <v>180</v>
      </c>
      <c r="K287" s="247">
        <f>H287/I287</f>
        <v>3.3555555555555556</v>
      </c>
      <c r="L287" s="248">
        <v>1611412</v>
      </c>
      <c r="M287" s="249">
        <v>165732</v>
      </c>
      <c r="N287" s="250">
        <f>+L287/M287</f>
        <v>9.722998576014287</v>
      </c>
      <c r="O287" s="103">
        <v>277</v>
      </c>
    </row>
    <row r="288" spans="1:15" s="94" customFormat="1" ht="12" customHeight="1">
      <c r="A288" s="95">
        <v>278</v>
      </c>
      <c r="B288" s="292" t="s">
        <v>166</v>
      </c>
      <c r="C288" s="265">
        <v>40501</v>
      </c>
      <c r="D288" s="293" t="s">
        <v>142</v>
      </c>
      <c r="E288" s="294">
        <v>121</v>
      </c>
      <c r="F288" s="294">
        <v>1</v>
      </c>
      <c r="G288" s="294">
        <v>21</v>
      </c>
      <c r="H288" s="621">
        <v>342</v>
      </c>
      <c r="I288" s="620">
        <v>114</v>
      </c>
      <c r="J288" s="109">
        <v>114</v>
      </c>
      <c r="K288" s="204">
        <v>3</v>
      </c>
      <c r="L288" s="248">
        <v>1610808</v>
      </c>
      <c r="M288" s="249">
        <v>165552</v>
      </c>
      <c r="N288" s="250">
        <v>9.729921716439547</v>
      </c>
      <c r="O288" s="103">
        <v>278</v>
      </c>
    </row>
    <row r="289" spans="1:15" s="94" customFormat="1" ht="12" customHeight="1">
      <c r="A289" s="95">
        <v>279</v>
      </c>
      <c r="B289" s="226" t="s">
        <v>166</v>
      </c>
      <c r="C289" s="2">
        <v>40501</v>
      </c>
      <c r="D289" s="20" t="s">
        <v>142</v>
      </c>
      <c r="E289" s="5">
        <v>121</v>
      </c>
      <c r="F289" s="5">
        <v>5</v>
      </c>
      <c r="G289" s="5">
        <v>15</v>
      </c>
      <c r="H289" s="619">
        <v>5491.95</v>
      </c>
      <c r="I289" s="632">
        <v>1653</v>
      </c>
      <c r="J289" s="290">
        <f>I289/F289</f>
        <v>330.6</v>
      </c>
      <c r="K289" s="260">
        <f>H289/I289</f>
        <v>3.3224137931034483</v>
      </c>
      <c r="L289" s="289">
        <v>1609599</v>
      </c>
      <c r="M289" s="291">
        <v>165154</v>
      </c>
      <c r="N289" s="250">
        <f>+L289/M289</f>
        <v>9.74604914201291</v>
      </c>
      <c r="O289" s="103">
        <v>279</v>
      </c>
    </row>
    <row r="290" spans="1:15" s="94" customFormat="1" ht="12" customHeight="1">
      <c r="A290" s="95">
        <v>280</v>
      </c>
      <c r="B290" s="226" t="s">
        <v>166</v>
      </c>
      <c r="C290" s="2">
        <v>40501</v>
      </c>
      <c r="D290" s="20" t="s">
        <v>142</v>
      </c>
      <c r="E290" s="5">
        <v>121</v>
      </c>
      <c r="F290" s="5">
        <v>2</v>
      </c>
      <c r="G290" s="5">
        <v>13</v>
      </c>
      <c r="H290" s="621">
        <v>1565</v>
      </c>
      <c r="I290" s="620">
        <v>369</v>
      </c>
      <c r="J290" s="246">
        <f>I290/F290</f>
        <v>184.5</v>
      </c>
      <c r="K290" s="247">
        <f>H290/I290</f>
        <v>4.2411924119241196</v>
      </c>
      <c r="L290" s="248">
        <v>1601521</v>
      </c>
      <c r="M290" s="249">
        <v>162757</v>
      </c>
      <c r="N290" s="250">
        <f>+L290/M290</f>
        <v>9.839951584263657</v>
      </c>
      <c r="O290" s="103">
        <v>280</v>
      </c>
    </row>
    <row r="291" spans="1:15" s="94" customFormat="1" ht="12" customHeight="1">
      <c r="A291" s="95">
        <v>281</v>
      </c>
      <c r="B291" s="226" t="s">
        <v>166</v>
      </c>
      <c r="C291" s="2">
        <v>40501</v>
      </c>
      <c r="D291" s="20" t="s">
        <v>142</v>
      </c>
      <c r="E291" s="5">
        <v>121</v>
      </c>
      <c r="F291" s="5">
        <v>3</v>
      </c>
      <c r="G291" s="5">
        <v>12</v>
      </c>
      <c r="H291" s="621">
        <v>1882</v>
      </c>
      <c r="I291" s="620">
        <v>579</v>
      </c>
      <c r="J291" s="246">
        <f>I291/F291</f>
        <v>193</v>
      </c>
      <c r="K291" s="247">
        <f>H291/I291</f>
        <v>3.250431778929188</v>
      </c>
      <c r="L291" s="248">
        <v>1599042</v>
      </c>
      <c r="M291" s="249">
        <v>162149</v>
      </c>
      <c r="N291" s="250">
        <f>+L291/M291</f>
        <v>9.86155942990706</v>
      </c>
      <c r="O291" s="103">
        <v>281</v>
      </c>
    </row>
    <row r="292" spans="1:15" s="94" customFormat="1" ht="12" customHeight="1">
      <c r="A292" s="95">
        <v>282</v>
      </c>
      <c r="B292" s="226" t="s">
        <v>166</v>
      </c>
      <c r="C292" s="2">
        <v>40501</v>
      </c>
      <c r="D292" s="20" t="s">
        <v>142</v>
      </c>
      <c r="E292" s="5">
        <v>121</v>
      </c>
      <c r="F292" s="5">
        <v>2</v>
      </c>
      <c r="G292" s="5">
        <v>11</v>
      </c>
      <c r="H292" s="621">
        <v>556</v>
      </c>
      <c r="I292" s="620">
        <v>89</v>
      </c>
      <c r="J292" s="246">
        <f>I292/F292</f>
        <v>44.5</v>
      </c>
      <c r="K292" s="247">
        <f>H292/I292</f>
        <v>6.247191011235955</v>
      </c>
      <c r="L292" s="248">
        <v>1597161</v>
      </c>
      <c r="M292" s="249">
        <v>161570</v>
      </c>
      <c r="N292" s="222">
        <f>+L292/M292</f>
        <v>9.88525716407749</v>
      </c>
      <c r="O292" s="103">
        <v>282</v>
      </c>
    </row>
    <row r="293" spans="1:15" s="94" customFormat="1" ht="12" customHeight="1">
      <c r="A293" s="95">
        <v>283</v>
      </c>
      <c r="B293" s="251" t="s">
        <v>166</v>
      </c>
      <c r="C293" s="2">
        <v>40501</v>
      </c>
      <c r="D293" s="20" t="s">
        <v>142</v>
      </c>
      <c r="E293" s="5">
        <v>121</v>
      </c>
      <c r="F293" s="5">
        <v>4</v>
      </c>
      <c r="G293" s="5">
        <v>10</v>
      </c>
      <c r="H293" s="621">
        <v>4266.5</v>
      </c>
      <c r="I293" s="620">
        <v>780</v>
      </c>
      <c r="J293" s="112">
        <f>(I293/F293)</f>
        <v>195</v>
      </c>
      <c r="K293" s="195">
        <f>H293/I293</f>
        <v>5.4698717948717945</v>
      </c>
      <c r="L293" s="248">
        <v>1596605</v>
      </c>
      <c r="M293" s="249">
        <v>161481</v>
      </c>
      <c r="N293" s="197">
        <f>L293/M293</f>
        <v>9.887262278534317</v>
      </c>
      <c r="O293" s="103">
        <v>283</v>
      </c>
    </row>
    <row r="294" spans="1:15" s="94" customFormat="1" ht="12" customHeight="1">
      <c r="A294" s="95">
        <v>284</v>
      </c>
      <c r="B294" s="226" t="s">
        <v>166</v>
      </c>
      <c r="C294" s="2">
        <v>40501</v>
      </c>
      <c r="D294" s="20" t="s">
        <v>142</v>
      </c>
      <c r="E294" s="5">
        <v>121</v>
      </c>
      <c r="F294" s="5">
        <v>3</v>
      </c>
      <c r="G294" s="5">
        <v>9</v>
      </c>
      <c r="H294" s="621">
        <v>1204</v>
      </c>
      <c r="I294" s="620">
        <v>296</v>
      </c>
      <c r="J294" s="246">
        <f>I294/F294</f>
        <v>98.66666666666667</v>
      </c>
      <c r="K294" s="247">
        <f>H294/I294</f>
        <v>4.0675675675675675</v>
      </c>
      <c r="L294" s="248">
        <v>1592338</v>
      </c>
      <c r="M294" s="249">
        <v>160701</v>
      </c>
      <c r="N294" s="250">
        <f>+L294/M294</f>
        <v>9.908700008089557</v>
      </c>
      <c r="O294" s="103">
        <v>284</v>
      </c>
    </row>
    <row r="295" spans="1:15" s="94" customFormat="1" ht="12" customHeight="1">
      <c r="A295" s="95">
        <v>285</v>
      </c>
      <c r="B295" s="226" t="s">
        <v>166</v>
      </c>
      <c r="C295" s="2">
        <v>40501</v>
      </c>
      <c r="D295" s="24" t="s">
        <v>142</v>
      </c>
      <c r="E295" s="5">
        <v>121</v>
      </c>
      <c r="F295" s="5">
        <v>6</v>
      </c>
      <c r="G295" s="5">
        <v>8</v>
      </c>
      <c r="H295" s="621">
        <v>6256</v>
      </c>
      <c r="I295" s="620">
        <v>1715</v>
      </c>
      <c r="J295" s="246">
        <f>I295/F295</f>
        <v>285.8333333333333</v>
      </c>
      <c r="K295" s="247">
        <f>H295/I295</f>
        <v>3.647813411078717</v>
      </c>
      <c r="L295" s="248">
        <v>1589244</v>
      </c>
      <c r="M295" s="249">
        <v>159721</v>
      </c>
      <c r="N295" s="250">
        <f>+L295/M295</f>
        <v>9.95012553139537</v>
      </c>
      <c r="O295" s="103">
        <v>285</v>
      </c>
    </row>
    <row r="296" spans="1:15" s="94" customFormat="1" ht="12" customHeight="1">
      <c r="A296" s="95">
        <v>286</v>
      </c>
      <c r="B296" s="251" t="s">
        <v>166</v>
      </c>
      <c r="C296" s="2">
        <v>40501</v>
      </c>
      <c r="D296" s="24" t="s">
        <v>142</v>
      </c>
      <c r="E296" s="5">
        <v>121</v>
      </c>
      <c r="F296" s="5">
        <v>18</v>
      </c>
      <c r="G296" s="5">
        <v>7</v>
      </c>
      <c r="H296" s="619">
        <v>10646</v>
      </c>
      <c r="I296" s="620">
        <v>2164</v>
      </c>
      <c r="J296" s="246">
        <f>I296/F296</f>
        <v>120.22222222222223</v>
      </c>
      <c r="K296" s="260">
        <f>H296/I296</f>
        <v>4.919593345656192</v>
      </c>
      <c r="L296" s="289">
        <v>1582988</v>
      </c>
      <c r="M296" s="249">
        <v>158006</v>
      </c>
      <c r="N296" s="250">
        <f>+L296/M296</f>
        <v>10.018530941862966</v>
      </c>
      <c r="O296" s="103">
        <v>286</v>
      </c>
    </row>
    <row r="297" spans="1:15" s="94" customFormat="1" ht="12" customHeight="1">
      <c r="A297" s="95">
        <v>287</v>
      </c>
      <c r="B297" s="205" t="s">
        <v>326</v>
      </c>
      <c r="C297" s="206">
        <v>40466</v>
      </c>
      <c r="D297" s="199" t="s">
        <v>32</v>
      </c>
      <c r="E297" s="207">
        <v>139</v>
      </c>
      <c r="F297" s="207">
        <v>1</v>
      </c>
      <c r="G297" s="207">
        <v>12</v>
      </c>
      <c r="H297" s="392">
        <v>770</v>
      </c>
      <c r="I297" s="393">
        <v>44</v>
      </c>
      <c r="J297" s="112">
        <f>(I297/F297)</f>
        <v>44</v>
      </c>
      <c r="K297" s="195">
        <f>H297/I297</f>
        <v>17.5</v>
      </c>
      <c r="L297" s="12">
        <f>859399.5+611922.5+597511+92540.5+35432.5+12313+8417+3230+2786+1901+208.5+770</f>
        <v>2226431.5</v>
      </c>
      <c r="M297" s="13">
        <f>81834+61457+58453+8463+3493+2070+1395+1040+668+474+59+44</f>
        <v>219450</v>
      </c>
      <c r="N297" s="197">
        <f>L297/M297</f>
        <v>10.14550694919116</v>
      </c>
      <c r="O297" s="103">
        <v>287</v>
      </c>
    </row>
    <row r="298" spans="1:15" s="94" customFormat="1" ht="12" customHeight="1">
      <c r="A298" s="95">
        <v>288</v>
      </c>
      <c r="B298" s="756" t="s">
        <v>415</v>
      </c>
      <c r="C298" s="117">
        <v>39500</v>
      </c>
      <c r="D298" s="736" t="s">
        <v>29</v>
      </c>
      <c r="E298" s="31">
        <v>230</v>
      </c>
      <c r="F298" s="31">
        <v>2</v>
      </c>
      <c r="G298" s="31">
        <v>32</v>
      </c>
      <c r="H298" s="957">
        <v>260</v>
      </c>
      <c r="I298" s="631">
        <v>52</v>
      </c>
      <c r="J298" s="267">
        <f>I298/F298</f>
        <v>26</v>
      </c>
      <c r="K298" s="360">
        <f>H298/I298</f>
        <v>5</v>
      </c>
      <c r="L298" s="889">
        <f>11178366+8377359.5+4672112.5+2362758+1366481.5+794201+526150+259383+162480.5+71477.5+186652+102815+31501+9708+8823.5+5724+3796+3024+2161+13986+11929.5+905+5825+547+419+6173.5+6130+150+355+12+864+260</f>
        <v>30172530</v>
      </c>
      <c r="M298" s="887">
        <f>1530255+1134702+635170+318515+192563+137173+96324+54461+35028+20139+72208+38598+10936+3213+2963+1896+1251+1004+711+4452+3769+206+1822+128+100+1906+1891+26+73+4+154+52</f>
        <v>4301693</v>
      </c>
      <c r="N298" s="373">
        <f>+L298/M298</f>
        <v>7.014105841583767</v>
      </c>
      <c r="O298" s="103">
        <v>288</v>
      </c>
    </row>
    <row r="299" spans="1:15" s="94" customFormat="1" ht="12" customHeight="1">
      <c r="A299" s="95">
        <v>289</v>
      </c>
      <c r="B299" s="213" t="s">
        <v>327</v>
      </c>
      <c r="C299" s="32">
        <v>40466</v>
      </c>
      <c r="D299" s="199" t="s">
        <v>32</v>
      </c>
      <c r="E299" s="202">
        <v>139</v>
      </c>
      <c r="F299" s="202">
        <v>1</v>
      </c>
      <c r="G299" s="202">
        <v>13</v>
      </c>
      <c r="H299" s="608">
        <v>241</v>
      </c>
      <c r="I299" s="622">
        <v>42</v>
      </c>
      <c r="J299" s="203">
        <f>(I299/F299)</f>
        <v>42</v>
      </c>
      <c r="K299" s="200">
        <f>H299/I299</f>
        <v>5.738095238095238</v>
      </c>
      <c r="L299" s="26">
        <f>859399.5+611922.5+597511+92540.5+35432.5+12313+8417+3230+2786+1901+208.5+770+241</f>
        <v>2226672.5</v>
      </c>
      <c r="M299" s="27">
        <f>81834+61457+58453+8463+3493+2070+1395+1040+668+474+59+44+42</f>
        <v>219492</v>
      </c>
      <c r="N299" s="197">
        <f>L299/M299</f>
        <v>10.144663586827766</v>
      </c>
      <c r="O299" s="103">
        <v>289</v>
      </c>
    </row>
    <row r="300" spans="1:15" s="94" customFormat="1" ht="12" customHeight="1">
      <c r="A300" s="95">
        <v>290</v>
      </c>
      <c r="B300" s="198" t="s">
        <v>327</v>
      </c>
      <c r="C300" s="32">
        <v>40466</v>
      </c>
      <c r="D300" s="199" t="s">
        <v>32</v>
      </c>
      <c r="E300" s="33">
        <v>139</v>
      </c>
      <c r="F300" s="33">
        <v>1</v>
      </c>
      <c r="G300" s="33">
        <v>11</v>
      </c>
      <c r="H300" s="392">
        <v>208.5</v>
      </c>
      <c r="I300" s="393">
        <v>59</v>
      </c>
      <c r="J300" s="112">
        <f>(I300/F300)</f>
        <v>59</v>
      </c>
      <c r="K300" s="195">
        <f>H300/I300</f>
        <v>3.5338983050847457</v>
      </c>
      <c r="L300" s="12">
        <f>859399.5+611922.5+597511+92540.5+35432.5+12313+8417+3230+2786+1901+208.5</f>
        <v>2225661.5</v>
      </c>
      <c r="M300" s="13">
        <f>81834+61457+58453+8463+3493+2070+1395+1040+668+474+59</f>
        <v>219406</v>
      </c>
      <c r="N300" s="197">
        <f>L300/M300</f>
        <v>10.14403206840287</v>
      </c>
      <c r="O300" s="103">
        <v>290</v>
      </c>
    </row>
    <row r="301" spans="1:15" s="94" customFormat="1" ht="12" customHeight="1">
      <c r="A301" s="95">
        <v>291</v>
      </c>
      <c r="B301" s="226" t="s">
        <v>328</v>
      </c>
      <c r="C301" s="2">
        <v>40431</v>
      </c>
      <c r="D301" s="21" t="s">
        <v>8</v>
      </c>
      <c r="E301" s="5">
        <v>104</v>
      </c>
      <c r="F301" s="5">
        <v>1</v>
      </c>
      <c r="G301" s="5">
        <v>13</v>
      </c>
      <c r="H301" s="590">
        <v>516</v>
      </c>
      <c r="I301" s="591">
        <v>86</v>
      </c>
      <c r="J301" s="101">
        <f>+I301/F301</f>
        <v>86</v>
      </c>
      <c r="K301" s="231">
        <f>+H301/I301</f>
        <v>6</v>
      </c>
      <c r="L301" s="10">
        <v>3688812</v>
      </c>
      <c r="M301" s="11">
        <v>331700</v>
      </c>
      <c r="N301" s="232">
        <f>+L301/M301</f>
        <v>11.120928549894483</v>
      </c>
      <c r="O301" s="103">
        <v>291</v>
      </c>
    </row>
    <row r="302" spans="1:15" s="94" customFormat="1" ht="12" customHeight="1">
      <c r="A302" s="95">
        <v>292</v>
      </c>
      <c r="B302" s="251" t="s">
        <v>328</v>
      </c>
      <c r="C302" s="2">
        <v>40431</v>
      </c>
      <c r="D302" s="25" t="s">
        <v>8</v>
      </c>
      <c r="E302" s="5">
        <v>124</v>
      </c>
      <c r="F302" s="5">
        <v>1</v>
      </c>
      <c r="G302" s="5">
        <v>12</v>
      </c>
      <c r="H302" s="627">
        <v>567</v>
      </c>
      <c r="I302" s="591">
        <v>95</v>
      </c>
      <c r="J302" s="101">
        <f>+I302/F302</f>
        <v>95</v>
      </c>
      <c r="K302" s="243">
        <f>+H302/I302</f>
        <v>5.968421052631579</v>
      </c>
      <c r="L302" s="23">
        <v>3688296</v>
      </c>
      <c r="M302" s="11">
        <v>331614</v>
      </c>
      <c r="N302" s="232">
        <f>+L302/M302</f>
        <v>11.12225659954043</v>
      </c>
      <c r="O302" s="103">
        <v>292</v>
      </c>
    </row>
    <row r="303" spans="1:15" s="94" customFormat="1" ht="12" customHeight="1">
      <c r="A303" s="95">
        <v>293</v>
      </c>
      <c r="B303" s="201" t="s">
        <v>329</v>
      </c>
      <c r="C303" s="32">
        <v>40081</v>
      </c>
      <c r="D303" s="199" t="s">
        <v>32</v>
      </c>
      <c r="E303" s="33">
        <v>10</v>
      </c>
      <c r="F303" s="33">
        <v>1</v>
      </c>
      <c r="G303" s="33">
        <v>9</v>
      </c>
      <c r="H303" s="392">
        <v>952</v>
      </c>
      <c r="I303" s="393">
        <v>238</v>
      </c>
      <c r="J303" s="112">
        <f>(I303/F303)</f>
        <v>238</v>
      </c>
      <c r="K303" s="195">
        <f>H303/I303</f>
        <v>4</v>
      </c>
      <c r="L303" s="12">
        <f>15355.5+7416.5+5376.5+1210+1050.5+1780+1780+1780+952</f>
        <v>36701</v>
      </c>
      <c r="M303" s="13">
        <f>1226+729+733+198+202+445+445+445+238</f>
        <v>4661</v>
      </c>
      <c r="N303" s="197">
        <f>L303/M303</f>
        <v>7.874061360223128</v>
      </c>
      <c r="O303" s="103">
        <v>293</v>
      </c>
    </row>
    <row r="304" spans="1:15" s="94" customFormat="1" ht="12" customHeight="1">
      <c r="A304" s="95">
        <v>294</v>
      </c>
      <c r="B304" s="475" t="s">
        <v>330</v>
      </c>
      <c r="C304" s="478">
        <v>40466</v>
      </c>
      <c r="D304" s="479" t="s">
        <v>23</v>
      </c>
      <c r="E304" s="262">
        <v>119</v>
      </c>
      <c r="F304" s="262">
        <v>1</v>
      </c>
      <c r="G304" s="262">
        <v>18</v>
      </c>
      <c r="H304" s="447">
        <v>66</v>
      </c>
      <c r="I304" s="448">
        <v>11</v>
      </c>
      <c r="J304" s="263">
        <f>I304/F304</f>
        <v>11</v>
      </c>
      <c r="K304" s="480">
        <f>+H304/I304</f>
        <v>6</v>
      </c>
      <c r="L304" s="264">
        <v>2014345</v>
      </c>
      <c r="M304" s="238">
        <v>175358</v>
      </c>
      <c r="N304" s="481">
        <f>+L304/M304</f>
        <v>11.487043647851824</v>
      </c>
      <c r="O304" s="103">
        <v>294</v>
      </c>
    </row>
    <row r="305" spans="1:15" s="94" customFormat="1" ht="12" customHeight="1">
      <c r="A305" s="95">
        <v>295</v>
      </c>
      <c r="B305" s="469" t="s">
        <v>330</v>
      </c>
      <c r="C305" s="32">
        <v>40466</v>
      </c>
      <c r="D305" s="199" t="s">
        <v>23</v>
      </c>
      <c r="E305" s="202">
        <v>119</v>
      </c>
      <c r="F305" s="202">
        <v>1</v>
      </c>
      <c r="G305" s="202">
        <v>17</v>
      </c>
      <c r="H305" s="595">
        <v>168</v>
      </c>
      <c r="I305" s="596">
        <v>28</v>
      </c>
      <c r="J305" s="38">
        <f>I305/F305</f>
        <v>28</v>
      </c>
      <c r="K305" s="258">
        <f>+H305/I305</f>
        <v>6</v>
      </c>
      <c r="L305" s="36">
        <v>2014279</v>
      </c>
      <c r="M305" s="39">
        <v>175347</v>
      </c>
      <c r="N305" s="259">
        <f>+L305/M305</f>
        <v>11.487387865204424</v>
      </c>
      <c r="O305" s="103">
        <v>295</v>
      </c>
    </row>
    <row r="306" spans="1:15" s="94" customFormat="1" ht="12" customHeight="1">
      <c r="A306" s="95">
        <v>296</v>
      </c>
      <c r="B306" s="191" t="s">
        <v>330</v>
      </c>
      <c r="C306" s="32">
        <v>40466</v>
      </c>
      <c r="D306" s="273" t="s">
        <v>23</v>
      </c>
      <c r="E306" s="33">
        <v>119</v>
      </c>
      <c r="F306" s="33">
        <v>1</v>
      </c>
      <c r="G306" s="33">
        <v>16</v>
      </c>
      <c r="H306" s="595">
        <v>96</v>
      </c>
      <c r="I306" s="596">
        <v>16</v>
      </c>
      <c r="J306" s="38">
        <f>I306/F306</f>
        <v>16</v>
      </c>
      <c r="K306" s="258">
        <f>+H306/I306</f>
        <v>6</v>
      </c>
      <c r="L306" s="36">
        <v>2014111</v>
      </c>
      <c r="M306" s="39">
        <v>175319</v>
      </c>
      <c r="N306" s="222">
        <f>+L306/M306</f>
        <v>11.488264249739046</v>
      </c>
      <c r="O306" s="103">
        <v>296</v>
      </c>
    </row>
    <row r="307" spans="1:15" s="94" customFormat="1" ht="12" customHeight="1">
      <c r="A307" s="95">
        <v>297</v>
      </c>
      <c r="B307" s="236" t="s">
        <v>330</v>
      </c>
      <c r="C307" s="32">
        <v>40466</v>
      </c>
      <c r="D307" s="273" t="s">
        <v>23</v>
      </c>
      <c r="E307" s="33">
        <v>119</v>
      </c>
      <c r="F307" s="33">
        <v>3</v>
      </c>
      <c r="G307" s="33">
        <v>15</v>
      </c>
      <c r="H307" s="595">
        <v>2636</v>
      </c>
      <c r="I307" s="596">
        <v>738</v>
      </c>
      <c r="J307" s="38">
        <f>I307/F307</f>
        <v>246</v>
      </c>
      <c r="K307" s="258">
        <f>+H307/I307</f>
        <v>3.5718157181571817</v>
      </c>
      <c r="L307" s="36">
        <v>2014015</v>
      </c>
      <c r="M307" s="39">
        <v>175303</v>
      </c>
      <c r="N307" s="259">
        <f>+L307/M307</f>
        <v>11.488765166597263</v>
      </c>
      <c r="O307" s="103">
        <v>297</v>
      </c>
    </row>
    <row r="308" spans="1:15" s="94" customFormat="1" ht="12" customHeight="1">
      <c r="A308" s="95">
        <v>298</v>
      </c>
      <c r="B308" s="475" t="s">
        <v>330</v>
      </c>
      <c r="C308" s="478">
        <v>40466</v>
      </c>
      <c r="D308" s="479" t="s">
        <v>23</v>
      </c>
      <c r="E308" s="262">
        <v>119</v>
      </c>
      <c r="F308" s="262">
        <v>1</v>
      </c>
      <c r="G308" s="262">
        <v>14</v>
      </c>
      <c r="H308" s="447">
        <v>558</v>
      </c>
      <c r="I308" s="448">
        <v>93</v>
      </c>
      <c r="J308" s="263">
        <f>I308/F308</f>
        <v>93</v>
      </c>
      <c r="K308" s="480">
        <f>+H308/I308</f>
        <v>6</v>
      </c>
      <c r="L308" s="264">
        <v>2011379</v>
      </c>
      <c r="M308" s="238">
        <v>174565</v>
      </c>
      <c r="N308" s="481">
        <f>+L308/M308</f>
        <v>11.522235270529603</v>
      </c>
      <c r="O308" s="103">
        <v>298</v>
      </c>
    </row>
    <row r="309" spans="1:15" s="94" customFormat="1" ht="12" customHeight="1">
      <c r="A309" s="95">
        <v>299</v>
      </c>
      <c r="B309" s="191" t="s">
        <v>330</v>
      </c>
      <c r="C309" s="32">
        <v>40466</v>
      </c>
      <c r="D309" s="261" t="s">
        <v>23</v>
      </c>
      <c r="E309" s="33">
        <v>119</v>
      </c>
      <c r="F309" s="33">
        <v>2</v>
      </c>
      <c r="G309" s="33">
        <v>13</v>
      </c>
      <c r="H309" s="595">
        <v>185</v>
      </c>
      <c r="I309" s="596">
        <v>40</v>
      </c>
      <c r="J309" s="38">
        <f>I309/F309</f>
        <v>20</v>
      </c>
      <c r="K309" s="258">
        <f>+H309/I309</f>
        <v>4.625</v>
      </c>
      <c r="L309" s="36">
        <v>2010821</v>
      </c>
      <c r="M309" s="39">
        <v>174472</v>
      </c>
      <c r="N309" s="259">
        <f>+L309/M309</f>
        <v>11.525178825255628</v>
      </c>
      <c r="O309" s="103">
        <v>299</v>
      </c>
    </row>
    <row r="310" spans="1:15" s="94" customFormat="1" ht="12" customHeight="1">
      <c r="A310" s="95">
        <v>300</v>
      </c>
      <c r="B310" s="754" t="s">
        <v>330</v>
      </c>
      <c r="C310" s="272">
        <v>40466</v>
      </c>
      <c r="D310" s="760" t="s">
        <v>23</v>
      </c>
      <c r="E310" s="230">
        <v>119</v>
      </c>
      <c r="F310" s="230">
        <v>3</v>
      </c>
      <c r="G310" s="230">
        <v>12</v>
      </c>
      <c r="H310" s="629">
        <v>999</v>
      </c>
      <c r="I310" s="630">
        <v>212</v>
      </c>
      <c r="J310" s="40">
        <f>I310/F310</f>
        <v>70.66666666666667</v>
      </c>
      <c r="K310" s="570">
        <f>+H310/I310</f>
        <v>4.712264150943396</v>
      </c>
      <c r="L310" s="577">
        <v>2010636</v>
      </c>
      <c r="M310" s="41">
        <v>174432</v>
      </c>
      <c r="N310" s="308">
        <f>+L310/M310</f>
        <v>11.526761144744084</v>
      </c>
      <c r="O310" s="103">
        <v>300</v>
      </c>
    </row>
    <row r="311" spans="1:15" s="94" customFormat="1" ht="12" customHeight="1">
      <c r="A311" s="95">
        <v>301</v>
      </c>
      <c r="B311" s="226" t="s">
        <v>331</v>
      </c>
      <c r="C311" s="2">
        <v>40494</v>
      </c>
      <c r="D311" s="20" t="s">
        <v>10</v>
      </c>
      <c r="E311" s="5">
        <v>144</v>
      </c>
      <c r="F311" s="5">
        <v>1</v>
      </c>
      <c r="G311" s="5">
        <v>13</v>
      </c>
      <c r="H311" s="445">
        <v>2042</v>
      </c>
      <c r="I311" s="446">
        <v>495</v>
      </c>
      <c r="J311" s="109">
        <f>I311/F311</f>
        <v>495</v>
      </c>
      <c r="K311" s="204">
        <f>H311/I311</f>
        <v>4.125252525252526</v>
      </c>
      <c r="L311" s="44">
        <v>6072415</v>
      </c>
      <c r="M311" s="46">
        <v>524703</v>
      </c>
      <c r="N311" s="222">
        <f>+L311/M311</f>
        <v>11.573051802638826</v>
      </c>
      <c r="O311" s="103">
        <v>301</v>
      </c>
    </row>
    <row r="312" spans="1:15" s="94" customFormat="1" ht="12" customHeight="1">
      <c r="A312" s="95">
        <v>302</v>
      </c>
      <c r="B312" s="221" t="s">
        <v>331</v>
      </c>
      <c r="C312" s="2">
        <v>40494</v>
      </c>
      <c r="D312" s="19" t="s">
        <v>10</v>
      </c>
      <c r="E312" s="3">
        <v>144</v>
      </c>
      <c r="F312" s="3">
        <v>1</v>
      </c>
      <c r="G312" s="3">
        <v>12</v>
      </c>
      <c r="H312" s="445">
        <v>1154</v>
      </c>
      <c r="I312" s="446">
        <v>217</v>
      </c>
      <c r="J312" s="109">
        <f>I312/F312</f>
        <v>217</v>
      </c>
      <c r="K312" s="204">
        <f>H312/I312</f>
        <v>5.317972350230415</v>
      </c>
      <c r="L312" s="44">
        <v>6070373</v>
      </c>
      <c r="M312" s="46">
        <v>524208</v>
      </c>
      <c r="N312" s="222">
        <f>+L312/M312</f>
        <v>11.58008462289778</v>
      </c>
      <c r="O312" s="103">
        <v>302</v>
      </c>
    </row>
    <row r="313" spans="1:15" s="94" customFormat="1" ht="12" customHeight="1">
      <c r="A313" s="95">
        <v>303</v>
      </c>
      <c r="B313" s="223" t="s">
        <v>331</v>
      </c>
      <c r="C313" s="2">
        <v>40494</v>
      </c>
      <c r="D313" s="19" t="s">
        <v>10</v>
      </c>
      <c r="E313" s="3">
        <v>144</v>
      </c>
      <c r="F313" s="3">
        <v>3</v>
      </c>
      <c r="G313" s="3">
        <v>11</v>
      </c>
      <c r="H313" s="445">
        <v>2600</v>
      </c>
      <c r="I313" s="446">
        <v>454</v>
      </c>
      <c r="J313" s="109">
        <f>I313/F313</f>
        <v>151.33333333333334</v>
      </c>
      <c r="K313" s="204">
        <f>H313/I313</f>
        <v>5.726872246696035</v>
      </c>
      <c r="L313" s="44">
        <v>6069219</v>
      </c>
      <c r="M313" s="46">
        <v>523991</v>
      </c>
      <c r="N313" s="222">
        <f>+L313/M313</f>
        <v>11.582677946758627</v>
      </c>
      <c r="O313" s="103">
        <v>303</v>
      </c>
    </row>
    <row r="314" spans="1:15" s="94" customFormat="1" ht="12" customHeight="1">
      <c r="A314" s="95">
        <v>304</v>
      </c>
      <c r="B314" s="226" t="s">
        <v>331</v>
      </c>
      <c r="C314" s="2">
        <v>40494</v>
      </c>
      <c r="D314" s="20" t="s">
        <v>10</v>
      </c>
      <c r="E314" s="5">
        <v>144</v>
      </c>
      <c r="F314" s="5">
        <v>6</v>
      </c>
      <c r="G314" s="5">
        <v>10</v>
      </c>
      <c r="H314" s="445">
        <v>8265</v>
      </c>
      <c r="I314" s="446">
        <v>1244</v>
      </c>
      <c r="J314" s="109">
        <f>I314/F314</f>
        <v>207.33333333333334</v>
      </c>
      <c r="K314" s="204">
        <f>H314/I314</f>
        <v>6.643890675241158</v>
      </c>
      <c r="L314" s="44">
        <v>6066619</v>
      </c>
      <c r="M314" s="46">
        <v>523537</v>
      </c>
      <c r="N314" s="222">
        <f>+L314/M314</f>
        <v>11.587755975222382</v>
      </c>
      <c r="O314" s="103">
        <v>304</v>
      </c>
    </row>
    <row r="315" spans="1:15" s="94" customFormat="1" ht="12" customHeight="1">
      <c r="A315" s="95">
        <v>305</v>
      </c>
      <c r="B315" s="221" t="s">
        <v>331</v>
      </c>
      <c r="C315" s="2">
        <v>40494</v>
      </c>
      <c r="D315" s="22" t="s">
        <v>10</v>
      </c>
      <c r="E315" s="3">
        <v>144</v>
      </c>
      <c r="F315" s="3">
        <v>3</v>
      </c>
      <c r="G315" s="3">
        <v>9</v>
      </c>
      <c r="H315" s="445">
        <v>2362</v>
      </c>
      <c r="I315" s="446">
        <v>525</v>
      </c>
      <c r="J315" s="109">
        <f>I315/F315</f>
        <v>175</v>
      </c>
      <c r="K315" s="204">
        <f>H315/I315</f>
        <v>4.499047619047619</v>
      </c>
      <c r="L315" s="44">
        <v>6058354</v>
      </c>
      <c r="M315" s="46">
        <v>522293</v>
      </c>
      <c r="N315" s="222">
        <f>+L315/M315</f>
        <v>11.599531297566692</v>
      </c>
      <c r="O315" s="103">
        <v>305</v>
      </c>
    </row>
    <row r="316" spans="1:15" s="94" customFormat="1" ht="12" customHeight="1">
      <c r="A316" s="95">
        <v>306</v>
      </c>
      <c r="B316" s="223" t="s">
        <v>331</v>
      </c>
      <c r="C316" s="2">
        <v>40494</v>
      </c>
      <c r="D316" s="22" t="s">
        <v>10</v>
      </c>
      <c r="E316" s="3">
        <v>144</v>
      </c>
      <c r="F316" s="3">
        <v>16</v>
      </c>
      <c r="G316" s="3">
        <v>8</v>
      </c>
      <c r="H316" s="612">
        <v>13943</v>
      </c>
      <c r="I316" s="446">
        <v>2193</v>
      </c>
      <c r="J316" s="109">
        <f>I316/F316</f>
        <v>137.0625</v>
      </c>
      <c r="K316" s="224">
        <f>H316/I316</f>
        <v>6.357957136342909</v>
      </c>
      <c r="L316" s="225">
        <v>6055992</v>
      </c>
      <c r="M316" s="46">
        <v>521768</v>
      </c>
      <c r="N316" s="222">
        <f>+L316/M316</f>
        <v>11.606675763941062</v>
      </c>
      <c r="O316" s="103">
        <v>306</v>
      </c>
    </row>
    <row r="317" spans="1:15" s="94" customFormat="1" ht="12" customHeight="1">
      <c r="A317" s="95">
        <v>307</v>
      </c>
      <c r="B317" s="236" t="s">
        <v>332</v>
      </c>
      <c r="C317" s="32">
        <v>40494</v>
      </c>
      <c r="D317" s="261" t="s">
        <v>23</v>
      </c>
      <c r="E317" s="33">
        <v>72</v>
      </c>
      <c r="F317" s="33">
        <v>2</v>
      </c>
      <c r="G317" s="33">
        <v>8</v>
      </c>
      <c r="H317" s="625">
        <v>1110</v>
      </c>
      <c r="I317" s="596">
        <v>180</v>
      </c>
      <c r="J317" s="38">
        <f>I317/F317</f>
        <v>90</v>
      </c>
      <c r="K317" s="269">
        <f>+H317/I317</f>
        <v>6.166666666666667</v>
      </c>
      <c r="L317" s="28">
        <v>906333</v>
      </c>
      <c r="M317" s="39">
        <v>84860</v>
      </c>
      <c r="N317" s="259">
        <f>+L317/M317</f>
        <v>10.680332312043365</v>
      </c>
      <c r="O317" s="103">
        <v>307</v>
      </c>
    </row>
    <row r="318" spans="1:15" s="94" customFormat="1" ht="12" customHeight="1">
      <c r="A318" s="95">
        <v>308</v>
      </c>
      <c r="B318" s="191" t="s">
        <v>333</v>
      </c>
      <c r="C318" s="32">
        <v>40459</v>
      </c>
      <c r="D318" s="261" t="s">
        <v>23</v>
      </c>
      <c r="E318" s="33">
        <v>93</v>
      </c>
      <c r="F318" s="33">
        <v>1</v>
      </c>
      <c r="G318" s="33">
        <v>14</v>
      </c>
      <c r="H318" s="595">
        <v>2415</v>
      </c>
      <c r="I318" s="596">
        <v>875</v>
      </c>
      <c r="J318" s="38">
        <f>I318/F318</f>
        <v>875</v>
      </c>
      <c r="K318" s="258">
        <f>+H318/I318</f>
        <v>2.76</v>
      </c>
      <c r="L318" s="36">
        <v>1072374</v>
      </c>
      <c r="M318" s="38">
        <v>99383</v>
      </c>
      <c r="N318" s="259">
        <f>+L318/M318</f>
        <v>10.790316251270339</v>
      </c>
      <c r="O318" s="103">
        <v>308</v>
      </c>
    </row>
    <row r="319" spans="1:15" s="94" customFormat="1" ht="12" customHeight="1">
      <c r="A319" s="95">
        <v>309</v>
      </c>
      <c r="B319" s="266" t="s">
        <v>167</v>
      </c>
      <c r="C319" s="295">
        <v>40529</v>
      </c>
      <c r="D319" s="296" t="s">
        <v>21</v>
      </c>
      <c r="E319" s="297">
        <v>134</v>
      </c>
      <c r="F319" s="297">
        <v>1</v>
      </c>
      <c r="G319" s="297">
        <v>11</v>
      </c>
      <c r="H319" s="593">
        <v>1180</v>
      </c>
      <c r="I319" s="594">
        <v>192</v>
      </c>
      <c r="J319" s="298">
        <f>IF(H319&lt;&gt;0,I319/F319,"")</f>
        <v>192</v>
      </c>
      <c r="K319" s="299">
        <f>IF(H319&lt;&gt;0,H319/I319,"")</f>
        <v>6.145833333333333</v>
      </c>
      <c r="L319" s="35">
        <f>415183+3929+3246+2363+1074+230+2072+4630+1180</f>
        <v>433907</v>
      </c>
      <c r="M319" s="38">
        <f>52315+638+476+361+299+38+414+683+192</f>
        <v>55416</v>
      </c>
      <c r="N319" s="300">
        <f>IF(L319&lt;&gt;0,L319/M319,"")</f>
        <v>7.829994947307637</v>
      </c>
      <c r="O319" s="103">
        <v>309</v>
      </c>
    </row>
    <row r="320" spans="1:15" s="94" customFormat="1" ht="12" customHeight="1">
      <c r="A320" s="95">
        <v>310</v>
      </c>
      <c r="B320" s="221" t="s">
        <v>167</v>
      </c>
      <c r="C320" s="2">
        <v>40529</v>
      </c>
      <c r="D320" s="19" t="s">
        <v>21</v>
      </c>
      <c r="E320" s="3">
        <v>134</v>
      </c>
      <c r="F320" s="3">
        <v>2</v>
      </c>
      <c r="G320" s="3">
        <v>10</v>
      </c>
      <c r="H320" s="593">
        <v>4630</v>
      </c>
      <c r="I320" s="594">
        <v>683</v>
      </c>
      <c r="J320" s="101">
        <f>IF(H320&lt;&gt;0,I320/F320,"")</f>
        <v>341.5</v>
      </c>
      <c r="K320" s="231">
        <f>IF(H320&lt;&gt;0,H320/I320,"")</f>
        <v>6.77891654465593</v>
      </c>
      <c r="L320" s="35">
        <f>415183+3929+3246+2363+1074+230+2072+4630</f>
        <v>432727</v>
      </c>
      <c r="M320" s="38">
        <f>52315+638+476+361+299+38+414+683</f>
        <v>55224</v>
      </c>
      <c r="N320" s="232">
        <f>IF(L320&lt;&gt;0,L320/M320,"")</f>
        <v>7.8358503549181515</v>
      </c>
      <c r="O320" s="103">
        <v>310</v>
      </c>
    </row>
    <row r="321" spans="1:15" s="94" customFormat="1" ht="12" customHeight="1">
      <c r="A321" s="95">
        <v>311</v>
      </c>
      <c r="B321" s="226" t="s">
        <v>167</v>
      </c>
      <c r="C321" s="2">
        <v>40529</v>
      </c>
      <c r="D321" s="20" t="s">
        <v>21</v>
      </c>
      <c r="E321" s="5">
        <v>134</v>
      </c>
      <c r="F321" s="5">
        <v>2</v>
      </c>
      <c r="G321" s="5">
        <v>9</v>
      </c>
      <c r="H321" s="614">
        <v>2072</v>
      </c>
      <c r="I321" s="626">
        <v>414</v>
      </c>
      <c r="J321" s="267">
        <f>IF(H321&lt;&gt;0,I321/F321,"")</f>
        <v>207</v>
      </c>
      <c r="K321" s="243">
        <f>IF(H321&lt;&gt;0,H321/I321,"")</f>
        <v>5.004830917874396</v>
      </c>
      <c r="L321" s="34">
        <f>415183+3929+3246+2363+1074+230+2072</f>
        <v>428097</v>
      </c>
      <c r="M321" s="29">
        <f>52315+638+476+361+299+38+414</f>
        <v>54541</v>
      </c>
      <c r="N321" s="232">
        <f>IF(L321&lt;&gt;0,L321/M321,"")</f>
        <v>7.84908600869071</v>
      </c>
      <c r="O321" s="103">
        <v>311</v>
      </c>
    </row>
    <row r="322" spans="1:15" s="94" customFormat="1" ht="12" customHeight="1">
      <c r="A322" s="95">
        <v>312</v>
      </c>
      <c r="B322" s="226" t="s">
        <v>167</v>
      </c>
      <c r="C322" s="2">
        <v>40529</v>
      </c>
      <c r="D322" s="20" t="s">
        <v>21</v>
      </c>
      <c r="E322" s="5">
        <v>134</v>
      </c>
      <c r="F322" s="5">
        <v>1</v>
      </c>
      <c r="G322" s="5">
        <v>8</v>
      </c>
      <c r="H322" s="593">
        <v>230</v>
      </c>
      <c r="I322" s="594">
        <v>38</v>
      </c>
      <c r="J322" s="101">
        <f>IF(H322&lt;&gt;0,I322/F322,"")</f>
        <v>38</v>
      </c>
      <c r="K322" s="231">
        <f>IF(H322&lt;&gt;0,H322/I322,"")</f>
        <v>6.052631578947368</v>
      </c>
      <c r="L322" s="35">
        <f>415183+3929+3246+2363+1074+230</f>
        <v>426025</v>
      </c>
      <c r="M322" s="38">
        <f>52315+638+476+361+299+38</f>
        <v>54127</v>
      </c>
      <c r="N322" s="232">
        <f>IF(L322&lt;&gt;0,L322/M322,"")</f>
        <v>7.870840800339941</v>
      </c>
      <c r="O322" s="103">
        <v>312</v>
      </c>
    </row>
    <row r="323" spans="1:15" s="94" customFormat="1" ht="12" customHeight="1">
      <c r="A323" s="95">
        <v>313</v>
      </c>
      <c r="B323" s="223" t="s">
        <v>167</v>
      </c>
      <c r="C323" s="2">
        <v>40529</v>
      </c>
      <c r="D323" s="19" t="s">
        <v>21</v>
      </c>
      <c r="E323" s="3">
        <v>134</v>
      </c>
      <c r="F323" s="3">
        <v>6</v>
      </c>
      <c r="G323" s="3">
        <v>6</v>
      </c>
      <c r="H323" s="593">
        <v>2363</v>
      </c>
      <c r="I323" s="594">
        <v>361</v>
      </c>
      <c r="J323" s="101">
        <f>IF(H323&lt;&gt;0,I323/F323,"")</f>
        <v>60.166666666666664</v>
      </c>
      <c r="K323" s="231">
        <f>IF(H323&lt;&gt;0,H323/I323,"")</f>
        <v>6.545706371191136</v>
      </c>
      <c r="L323" s="35">
        <f>415183+3929+3246+2363</f>
        <v>424721</v>
      </c>
      <c r="M323" s="38">
        <f>52315+638+476+361</f>
        <v>53790</v>
      </c>
      <c r="N323" s="232">
        <f>IF(L323&lt;&gt;0,L323/M323,"")</f>
        <v>7.8959100204498975</v>
      </c>
      <c r="O323" s="103">
        <v>313</v>
      </c>
    </row>
    <row r="324" spans="1:15" s="94" customFormat="1" ht="12" customHeight="1">
      <c r="A324" s="95">
        <v>314</v>
      </c>
      <c r="B324" s="266" t="s">
        <v>167</v>
      </c>
      <c r="C324" s="2">
        <v>40529</v>
      </c>
      <c r="D324" s="19" t="s">
        <v>21</v>
      </c>
      <c r="E324" s="3">
        <v>134</v>
      </c>
      <c r="F324" s="3">
        <v>6</v>
      </c>
      <c r="G324" s="3">
        <v>6</v>
      </c>
      <c r="H324" s="593">
        <v>1074</v>
      </c>
      <c r="I324" s="594">
        <v>299</v>
      </c>
      <c r="J324" s="101">
        <f>IF(H324&lt;&gt;0,I324/F324,"")</f>
        <v>49.833333333333336</v>
      </c>
      <c r="K324" s="231">
        <f>IF(H324&lt;&gt;0,H324/I324,"")</f>
        <v>3.591973244147157</v>
      </c>
      <c r="L324" s="35">
        <f>415183+3929+3246+2363+1074</f>
        <v>425795</v>
      </c>
      <c r="M324" s="38">
        <f>52315+638+476+361+299</f>
        <v>54089</v>
      </c>
      <c r="N324" s="232">
        <f>IF(L324&lt;&gt;0,L324/M324,"")</f>
        <v>7.872118175599475</v>
      </c>
      <c r="O324" s="103">
        <v>314</v>
      </c>
    </row>
    <row r="325" spans="1:15" s="94" customFormat="1" ht="12" customHeight="1">
      <c r="A325" s="95">
        <v>315</v>
      </c>
      <c r="B325" s="226" t="s">
        <v>167</v>
      </c>
      <c r="C325" s="2">
        <v>40529</v>
      </c>
      <c r="D325" s="20" t="s">
        <v>21</v>
      </c>
      <c r="E325" s="5">
        <v>134</v>
      </c>
      <c r="F325" s="5">
        <v>8</v>
      </c>
      <c r="G325" s="5">
        <v>5</v>
      </c>
      <c r="H325" s="593">
        <v>3246</v>
      </c>
      <c r="I325" s="594">
        <v>476</v>
      </c>
      <c r="J325" s="101">
        <f>IF(H325&lt;&gt;0,I325/F325,"")</f>
        <v>59.5</v>
      </c>
      <c r="K325" s="231">
        <f>IF(H325&lt;&gt;0,H325/I325,"")</f>
        <v>6.819327731092437</v>
      </c>
      <c r="L325" s="35">
        <f>415183+3929+3246</f>
        <v>422358</v>
      </c>
      <c r="M325" s="38">
        <f>52315+638+476</f>
        <v>53429</v>
      </c>
      <c r="N325" s="232">
        <f>IF(L325&lt;&gt;0,L325/M325,"")</f>
        <v>7.9050328473301015</v>
      </c>
      <c r="O325" s="103">
        <v>315</v>
      </c>
    </row>
    <row r="326" spans="1:15" s="94" customFormat="1" ht="12" customHeight="1">
      <c r="A326" s="95">
        <v>316</v>
      </c>
      <c r="B326" s="221" t="s">
        <v>167</v>
      </c>
      <c r="C326" s="2">
        <v>40529</v>
      </c>
      <c r="D326" s="22" t="s">
        <v>21</v>
      </c>
      <c r="E326" s="3">
        <v>134</v>
      </c>
      <c r="F326" s="3">
        <v>12</v>
      </c>
      <c r="G326" s="3">
        <v>4</v>
      </c>
      <c r="H326" s="593">
        <v>3929</v>
      </c>
      <c r="I326" s="594">
        <v>638</v>
      </c>
      <c r="J326" s="101">
        <f>IF(H326&lt;&gt;0,I326/F326,"")</f>
        <v>53.166666666666664</v>
      </c>
      <c r="K326" s="231">
        <f>IF(H326&lt;&gt;0,H326/I326,"")</f>
        <v>6.158307210031348</v>
      </c>
      <c r="L326" s="35">
        <f>415183+3929</f>
        <v>419112</v>
      </c>
      <c r="M326" s="38">
        <f>52315+638</f>
        <v>52953</v>
      </c>
      <c r="N326" s="232">
        <f>IF(L326&lt;&gt;0,L326/M326,"")</f>
        <v>7.914792363038921</v>
      </c>
      <c r="O326" s="103">
        <v>316</v>
      </c>
    </row>
    <row r="327" spans="1:15" s="94" customFormat="1" ht="12" customHeight="1">
      <c r="A327" s="95">
        <v>317</v>
      </c>
      <c r="B327" s="223" t="s">
        <v>167</v>
      </c>
      <c r="C327" s="2">
        <v>40529</v>
      </c>
      <c r="D327" s="22" t="s">
        <v>21</v>
      </c>
      <c r="E327" s="3">
        <v>134</v>
      </c>
      <c r="F327" s="3">
        <v>121</v>
      </c>
      <c r="G327" s="3">
        <v>3</v>
      </c>
      <c r="H327" s="614">
        <v>49789.5</v>
      </c>
      <c r="I327" s="594">
        <v>7079</v>
      </c>
      <c r="J327" s="101">
        <f>IF(H327&lt;&gt;0,I327/F327,"")</f>
        <v>58.50413223140496</v>
      </c>
      <c r="K327" s="243">
        <f>IF(H327&lt;&gt;0,H327/I327,"")</f>
        <v>7.0334086735414605</v>
      </c>
      <c r="L327" s="34">
        <f>244174+121219.5+H327</f>
        <v>415183</v>
      </c>
      <c r="M327" s="38">
        <f>29518+15718+I327</f>
        <v>52315</v>
      </c>
      <c r="N327" s="232">
        <f>IF(L327&lt;&gt;0,L327/M327,"")</f>
        <v>7.936213323138679</v>
      </c>
      <c r="O327" s="103">
        <v>317</v>
      </c>
    </row>
    <row r="328" spans="1:15" s="94" customFormat="1" ht="12" customHeight="1">
      <c r="A328" s="95">
        <v>318</v>
      </c>
      <c r="B328" s="213" t="s">
        <v>334</v>
      </c>
      <c r="C328" s="32">
        <v>40053</v>
      </c>
      <c r="D328" s="199" t="s">
        <v>32</v>
      </c>
      <c r="E328" s="202">
        <v>14</v>
      </c>
      <c r="F328" s="202">
        <v>1</v>
      </c>
      <c r="G328" s="202">
        <v>12</v>
      </c>
      <c r="H328" s="608">
        <v>236</v>
      </c>
      <c r="I328" s="622">
        <v>59</v>
      </c>
      <c r="J328" s="203">
        <f>(I328/F328)</f>
        <v>59</v>
      </c>
      <c r="K328" s="200">
        <f>H328/I328</f>
        <v>4</v>
      </c>
      <c r="L328" s="26">
        <f>46744+27773.5+29652+15092+1850+3126+1717.5+468+83+54+952+236</f>
        <v>127748</v>
      </c>
      <c r="M328" s="27">
        <f>3724+2772+2752+1903+308+472+380+135+20+18+238+59</f>
        <v>12781</v>
      </c>
      <c r="N328" s="197">
        <f>L328/M328</f>
        <v>9.99514904937016</v>
      </c>
      <c r="O328" s="103">
        <v>318</v>
      </c>
    </row>
    <row r="329" spans="1:15" s="94" customFormat="1" ht="12" customHeight="1">
      <c r="A329" s="95">
        <v>319</v>
      </c>
      <c r="B329" s="213" t="s">
        <v>334</v>
      </c>
      <c r="C329" s="32">
        <v>40053</v>
      </c>
      <c r="D329" s="199" t="s">
        <v>32</v>
      </c>
      <c r="E329" s="202">
        <v>14</v>
      </c>
      <c r="F329" s="202">
        <v>1</v>
      </c>
      <c r="G329" s="202">
        <v>11</v>
      </c>
      <c r="H329" s="392">
        <v>952</v>
      </c>
      <c r="I329" s="393">
        <v>238</v>
      </c>
      <c r="J329" s="112">
        <f>(I329/F329)</f>
        <v>238</v>
      </c>
      <c r="K329" s="195">
        <f>H329/I329</f>
        <v>4</v>
      </c>
      <c r="L329" s="12">
        <f>46744+27773.5+29652+15092+1850+3126+1717.5+468+83+54+952</f>
        <v>127512</v>
      </c>
      <c r="M329" s="13">
        <f>3724+2772+2752+1903+308+472+380+135+20+18+238</f>
        <v>12722</v>
      </c>
      <c r="N329" s="197">
        <f>L329/M329</f>
        <v>10.022952365980192</v>
      </c>
      <c r="O329" s="103">
        <v>319</v>
      </c>
    </row>
    <row r="330" spans="1:15" s="94" customFormat="1" ht="12" customHeight="1">
      <c r="A330" s="95">
        <v>320</v>
      </c>
      <c r="B330" s="226" t="s">
        <v>168</v>
      </c>
      <c r="C330" s="2">
        <v>40529</v>
      </c>
      <c r="D330" s="25" t="s">
        <v>8</v>
      </c>
      <c r="E330" s="5">
        <v>32</v>
      </c>
      <c r="F330" s="5">
        <v>1</v>
      </c>
      <c r="G330" s="5">
        <v>4</v>
      </c>
      <c r="H330" s="590">
        <v>523</v>
      </c>
      <c r="I330" s="591">
        <v>92</v>
      </c>
      <c r="J330" s="101">
        <f>+I330/F330</f>
        <v>92</v>
      </c>
      <c r="K330" s="231">
        <f>+H330/I330</f>
        <v>5.684782608695652</v>
      </c>
      <c r="L330" s="10">
        <v>19085</v>
      </c>
      <c r="M330" s="11">
        <v>1859</v>
      </c>
      <c r="N330" s="232">
        <f>+L330/M330</f>
        <v>10.266272189349113</v>
      </c>
      <c r="O330" s="103">
        <v>320</v>
      </c>
    </row>
    <row r="331" spans="1:15" s="94" customFormat="1" ht="12" customHeight="1">
      <c r="A331" s="95">
        <v>321</v>
      </c>
      <c r="B331" s="251" t="s">
        <v>168</v>
      </c>
      <c r="C331" s="2">
        <v>40529</v>
      </c>
      <c r="D331" s="25" t="s">
        <v>8</v>
      </c>
      <c r="E331" s="5">
        <v>32</v>
      </c>
      <c r="F331" s="5">
        <v>5</v>
      </c>
      <c r="G331" s="5">
        <v>3</v>
      </c>
      <c r="H331" s="627">
        <v>964</v>
      </c>
      <c r="I331" s="591">
        <v>140</v>
      </c>
      <c r="J331" s="101">
        <f>+I331/F331</f>
        <v>28</v>
      </c>
      <c r="K331" s="243">
        <f>+H331/I331</f>
        <v>6.885714285714286</v>
      </c>
      <c r="L331" s="23">
        <v>18563</v>
      </c>
      <c r="M331" s="11">
        <v>1767</v>
      </c>
      <c r="N331" s="232">
        <f>+L331/M331</f>
        <v>10.505376344086022</v>
      </c>
      <c r="O331" s="103">
        <v>321</v>
      </c>
    </row>
    <row r="332" spans="1:15" s="94" customFormat="1" ht="12" customHeight="1">
      <c r="A332" s="95">
        <v>322</v>
      </c>
      <c r="B332" s="198" t="s">
        <v>335</v>
      </c>
      <c r="C332" s="32">
        <v>40347</v>
      </c>
      <c r="D332" s="199" t="s">
        <v>32</v>
      </c>
      <c r="E332" s="33">
        <v>2</v>
      </c>
      <c r="F332" s="33">
        <v>1</v>
      </c>
      <c r="G332" s="33">
        <v>20</v>
      </c>
      <c r="H332" s="608">
        <v>713</v>
      </c>
      <c r="I332" s="393">
        <v>178</v>
      </c>
      <c r="J332" s="112">
        <f>(I332/F332)</f>
        <v>178</v>
      </c>
      <c r="K332" s="200">
        <f>H332/I332</f>
        <v>4.00561797752809</v>
      </c>
      <c r="L332" s="26">
        <f>15693+762+1031+1133+707+492+1323.5+1397+447+357+524+229+713</f>
        <v>24808.5</v>
      </c>
      <c r="M332" s="13">
        <f>1559+119+194+179+86+57+150+195+165+58+85+48+178</f>
        <v>3073</v>
      </c>
      <c r="N332" s="197">
        <f>L332/M332</f>
        <v>8.073055645948584</v>
      </c>
      <c r="O332" s="103">
        <v>322</v>
      </c>
    </row>
    <row r="333" spans="1:15" s="94" customFormat="1" ht="12" customHeight="1">
      <c r="A333" s="95">
        <v>323</v>
      </c>
      <c r="B333" s="547" t="s">
        <v>336</v>
      </c>
      <c r="C333" s="117">
        <v>40536</v>
      </c>
      <c r="D333" s="118" t="s">
        <v>23</v>
      </c>
      <c r="E333" s="123">
        <v>112</v>
      </c>
      <c r="F333" s="123">
        <v>1</v>
      </c>
      <c r="G333" s="554">
        <v>25</v>
      </c>
      <c r="H333" s="447">
        <v>777</v>
      </c>
      <c r="I333" s="448">
        <v>127</v>
      </c>
      <c r="J333" s="267">
        <f>I333/F333</f>
        <v>127</v>
      </c>
      <c r="K333" s="360">
        <f>H333/I333</f>
        <v>6.118110236220472</v>
      </c>
      <c r="L333" s="264">
        <v>2759867</v>
      </c>
      <c r="M333" s="238">
        <v>247327</v>
      </c>
      <c r="N333" s="126">
        <f>+L333/M333</f>
        <v>11.15877765064065</v>
      </c>
      <c r="O333" s="103">
        <v>323</v>
      </c>
    </row>
    <row r="334" spans="1:15" s="94" customFormat="1" ht="12" customHeight="1">
      <c r="A334" s="95">
        <v>324</v>
      </c>
      <c r="B334" s="547" t="s">
        <v>336</v>
      </c>
      <c r="C334" s="117">
        <v>40536</v>
      </c>
      <c r="D334" s="118" t="s">
        <v>23</v>
      </c>
      <c r="E334" s="119">
        <v>112</v>
      </c>
      <c r="F334" s="119">
        <v>1</v>
      </c>
      <c r="G334" s="119">
        <v>23</v>
      </c>
      <c r="H334" s="625">
        <v>2151</v>
      </c>
      <c r="I334" s="631">
        <v>326</v>
      </c>
      <c r="J334" s="267">
        <f>I334/F334</f>
        <v>326</v>
      </c>
      <c r="K334" s="360">
        <f>H334/I334</f>
        <v>6.598159509202454</v>
      </c>
      <c r="L334" s="28">
        <v>2759090</v>
      </c>
      <c r="M334" s="521">
        <v>247200</v>
      </c>
      <c r="N334" s="373">
        <f>+L334/M334</f>
        <v>11.161367313915857</v>
      </c>
      <c r="O334" s="103">
        <v>324</v>
      </c>
    </row>
    <row r="335" spans="1:15" s="94" customFormat="1" ht="12" customHeight="1">
      <c r="A335" s="95">
        <v>325</v>
      </c>
      <c r="B335" s="547" t="s">
        <v>336</v>
      </c>
      <c r="C335" s="117">
        <v>40536</v>
      </c>
      <c r="D335" s="118" t="s">
        <v>23</v>
      </c>
      <c r="E335" s="119">
        <v>112</v>
      </c>
      <c r="F335" s="119">
        <v>1</v>
      </c>
      <c r="G335" s="119">
        <v>22</v>
      </c>
      <c r="H335" s="550">
        <v>974</v>
      </c>
      <c r="I335" s="551">
        <v>161</v>
      </c>
      <c r="J335" s="101">
        <f>I335/F335</f>
        <v>161</v>
      </c>
      <c r="K335" s="100">
        <f>H335/I335</f>
        <v>6.049689440993789</v>
      </c>
      <c r="L335" s="552">
        <v>2756939</v>
      </c>
      <c r="M335" s="553">
        <v>246874</v>
      </c>
      <c r="N335" s="126">
        <f>+L335/M335</f>
        <v>11.167393083111223</v>
      </c>
      <c r="O335" s="103">
        <v>325</v>
      </c>
    </row>
    <row r="336" spans="1:15" s="94" customFormat="1" ht="12" customHeight="1">
      <c r="A336" s="95">
        <v>326</v>
      </c>
      <c r="B336" s="547" t="s">
        <v>336</v>
      </c>
      <c r="C336" s="117">
        <v>40536</v>
      </c>
      <c r="D336" s="118" t="s">
        <v>23</v>
      </c>
      <c r="E336" s="119">
        <v>112</v>
      </c>
      <c r="F336" s="119">
        <v>1</v>
      </c>
      <c r="G336" s="119">
        <v>22</v>
      </c>
      <c r="H336" s="550">
        <v>974</v>
      </c>
      <c r="I336" s="551">
        <v>161</v>
      </c>
      <c r="J336" s="101">
        <f>I336/F336</f>
        <v>161</v>
      </c>
      <c r="K336" s="100">
        <f>H336/I336</f>
        <v>6.049689440993789</v>
      </c>
      <c r="L336" s="552">
        <v>2756939</v>
      </c>
      <c r="M336" s="553">
        <v>246874</v>
      </c>
      <c r="N336" s="126">
        <f>+L336/M336</f>
        <v>11.167393083111223</v>
      </c>
      <c r="O336" s="103">
        <v>326</v>
      </c>
    </row>
    <row r="337" spans="1:15" s="94" customFormat="1" ht="12" customHeight="1">
      <c r="A337" s="95">
        <v>327</v>
      </c>
      <c r="B337" s="549" t="s">
        <v>336</v>
      </c>
      <c r="C337" s="32">
        <v>40536</v>
      </c>
      <c r="D337" s="273" t="s">
        <v>23</v>
      </c>
      <c r="E337" s="33">
        <v>112</v>
      </c>
      <c r="F337" s="33">
        <v>1</v>
      </c>
      <c r="G337" s="33">
        <v>18</v>
      </c>
      <c r="H337" s="595">
        <v>1205</v>
      </c>
      <c r="I337" s="596">
        <v>385</v>
      </c>
      <c r="J337" s="38">
        <f>I337/F337</f>
        <v>385</v>
      </c>
      <c r="K337" s="258">
        <f>+H337/I337</f>
        <v>3.1298701298701297</v>
      </c>
      <c r="L337" s="36">
        <v>2755770</v>
      </c>
      <c r="M337" s="39">
        <v>246648</v>
      </c>
      <c r="N337" s="259">
        <f>+L337/M337</f>
        <v>11.172886056242094</v>
      </c>
      <c r="O337" s="103">
        <v>327</v>
      </c>
    </row>
    <row r="338" spans="1:15" s="94" customFormat="1" ht="12" customHeight="1">
      <c r="A338" s="95">
        <v>328</v>
      </c>
      <c r="B338" s="201" t="s">
        <v>336</v>
      </c>
      <c r="C338" s="32">
        <v>40536</v>
      </c>
      <c r="D338" s="273" t="s">
        <v>23</v>
      </c>
      <c r="E338" s="33">
        <v>112</v>
      </c>
      <c r="F338" s="33">
        <v>3</v>
      </c>
      <c r="G338" s="33">
        <v>17</v>
      </c>
      <c r="H338" s="595">
        <v>5237</v>
      </c>
      <c r="I338" s="596">
        <v>1250</v>
      </c>
      <c r="J338" s="38">
        <f>I338/F338</f>
        <v>416.6666666666667</v>
      </c>
      <c r="K338" s="258">
        <f>+H338/I338</f>
        <v>4.1896</v>
      </c>
      <c r="L338" s="36">
        <v>2754565</v>
      </c>
      <c r="M338" s="38">
        <v>246263</v>
      </c>
      <c r="N338" s="259">
        <f>+L338/M338</f>
        <v>11.185460259965971</v>
      </c>
      <c r="O338" s="103">
        <v>328</v>
      </c>
    </row>
    <row r="339" spans="1:15" s="94" customFormat="1" ht="12" customHeight="1">
      <c r="A339" s="95">
        <v>329</v>
      </c>
      <c r="B339" s="540" t="s">
        <v>336</v>
      </c>
      <c r="C339" s="541">
        <v>40536</v>
      </c>
      <c r="D339" s="542" t="s">
        <v>23</v>
      </c>
      <c r="E339" s="543">
        <v>112</v>
      </c>
      <c r="F339" s="543">
        <v>4</v>
      </c>
      <c r="G339" s="543">
        <v>16</v>
      </c>
      <c r="H339" s="633">
        <v>2799</v>
      </c>
      <c r="I339" s="634">
        <v>759</v>
      </c>
      <c r="J339" s="109">
        <v>189.75</v>
      </c>
      <c r="K339" s="204">
        <v>3.6877470355731226</v>
      </c>
      <c r="L339" s="544">
        <v>2749328</v>
      </c>
      <c r="M339" s="545">
        <v>245013</v>
      </c>
      <c r="N339" s="546">
        <v>11.221151530735105</v>
      </c>
      <c r="O339" s="103">
        <v>329</v>
      </c>
    </row>
    <row r="340" spans="1:15" s="94" customFormat="1" ht="12" customHeight="1">
      <c r="A340" s="95">
        <v>330</v>
      </c>
      <c r="B340" s="475" t="s">
        <v>336</v>
      </c>
      <c r="C340" s="478">
        <v>40536</v>
      </c>
      <c r="D340" s="479" t="s">
        <v>23</v>
      </c>
      <c r="E340" s="262">
        <v>112</v>
      </c>
      <c r="F340" s="262">
        <v>2</v>
      </c>
      <c r="G340" s="262">
        <v>15</v>
      </c>
      <c r="H340" s="447">
        <v>1270</v>
      </c>
      <c r="I340" s="448">
        <v>361</v>
      </c>
      <c r="J340" s="263">
        <f>I340/F340</f>
        <v>180.5</v>
      </c>
      <c r="K340" s="480">
        <f>+H340/I340</f>
        <v>3.518005540166205</v>
      </c>
      <c r="L340" s="264">
        <v>2746529</v>
      </c>
      <c r="M340" s="238">
        <v>244254</v>
      </c>
      <c r="N340" s="481">
        <f>+L340/M340</f>
        <v>11.244560989789317</v>
      </c>
      <c r="O340" s="103">
        <v>330</v>
      </c>
    </row>
    <row r="341" spans="1:15" s="94" customFormat="1" ht="12" customHeight="1">
      <c r="A341" s="95">
        <v>331</v>
      </c>
      <c r="B341" s="469" t="s">
        <v>336</v>
      </c>
      <c r="C341" s="32">
        <v>40536</v>
      </c>
      <c r="D341" s="199" t="s">
        <v>23</v>
      </c>
      <c r="E341" s="202">
        <v>112</v>
      </c>
      <c r="F341" s="202">
        <v>3</v>
      </c>
      <c r="G341" s="202">
        <v>14</v>
      </c>
      <c r="H341" s="595">
        <v>1828</v>
      </c>
      <c r="I341" s="596">
        <v>458</v>
      </c>
      <c r="J341" s="38">
        <f>I341/F341</f>
        <v>152.66666666666666</v>
      </c>
      <c r="K341" s="548">
        <f>+H341/I341</f>
        <v>3.9912663755458517</v>
      </c>
      <c r="L341" s="36">
        <v>2745259</v>
      </c>
      <c r="M341" s="39">
        <v>243893</v>
      </c>
      <c r="N341" s="259">
        <f>+L341/M341</f>
        <v>11.255997507103524</v>
      </c>
      <c r="O341" s="103">
        <v>331</v>
      </c>
    </row>
    <row r="342" spans="1:15" s="94" customFormat="1" ht="12" customHeight="1">
      <c r="A342" s="95">
        <v>332</v>
      </c>
      <c r="B342" s="191" t="s">
        <v>336</v>
      </c>
      <c r="C342" s="32">
        <v>40536</v>
      </c>
      <c r="D342" s="273" t="s">
        <v>23</v>
      </c>
      <c r="E342" s="33">
        <v>112</v>
      </c>
      <c r="F342" s="33">
        <v>4</v>
      </c>
      <c r="G342" s="33">
        <v>13</v>
      </c>
      <c r="H342" s="595">
        <v>2777</v>
      </c>
      <c r="I342" s="596">
        <v>596</v>
      </c>
      <c r="J342" s="38">
        <f>I342/F342</f>
        <v>149</v>
      </c>
      <c r="K342" s="258">
        <f>+H342/I342</f>
        <v>4.659395973154362</v>
      </c>
      <c r="L342" s="36">
        <v>2743431</v>
      </c>
      <c r="M342" s="39">
        <v>243435</v>
      </c>
      <c r="N342" s="259">
        <f>+L342/M342</f>
        <v>11.269665413765482</v>
      </c>
      <c r="O342" s="103">
        <v>332</v>
      </c>
    </row>
    <row r="343" spans="1:15" s="94" customFormat="1" ht="12" customHeight="1">
      <c r="A343" s="95">
        <v>333</v>
      </c>
      <c r="B343" s="275" t="s">
        <v>336</v>
      </c>
      <c r="C343" s="276">
        <v>40536</v>
      </c>
      <c r="D343" s="277" t="s">
        <v>23</v>
      </c>
      <c r="E343" s="278">
        <v>112</v>
      </c>
      <c r="F343" s="278">
        <v>7</v>
      </c>
      <c r="G343" s="278">
        <v>12</v>
      </c>
      <c r="H343" s="447">
        <v>3805</v>
      </c>
      <c r="I343" s="448">
        <v>818</v>
      </c>
      <c r="J343" s="279">
        <f>I343/F343</f>
        <v>116.85714285714286</v>
      </c>
      <c r="K343" s="280">
        <f>+H343/I343</f>
        <v>4.65158924205379</v>
      </c>
      <c r="L343" s="281">
        <v>2740654</v>
      </c>
      <c r="M343" s="282">
        <v>242839</v>
      </c>
      <c r="N343" s="283">
        <f>+L343/M343</f>
        <v>11.28588900464917</v>
      </c>
      <c r="O343" s="103">
        <v>333</v>
      </c>
    </row>
    <row r="344" spans="1:15" s="94" customFormat="1" ht="12" customHeight="1">
      <c r="A344" s="95">
        <v>334</v>
      </c>
      <c r="B344" s="191" t="s">
        <v>336</v>
      </c>
      <c r="C344" s="32">
        <v>40536</v>
      </c>
      <c r="D344" s="273" t="s">
        <v>23</v>
      </c>
      <c r="E344" s="33">
        <v>112</v>
      </c>
      <c r="F344" s="33">
        <v>11</v>
      </c>
      <c r="G344" s="33">
        <v>11</v>
      </c>
      <c r="H344" s="595">
        <v>4094</v>
      </c>
      <c r="I344" s="596">
        <v>695</v>
      </c>
      <c r="J344" s="38">
        <f>I344/F344</f>
        <v>63.18181818181818</v>
      </c>
      <c r="K344" s="258">
        <f>+H344/I344</f>
        <v>5.890647482014389</v>
      </c>
      <c r="L344" s="36">
        <v>2736849</v>
      </c>
      <c r="M344" s="39">
        <v>242021</v>
      </c>
      <c r="N344" s="259">
        <f>+L344/M344</f>
        <v>11.30831208862041</v>
      </c>
      <c r="O344" s="103">
        <v>334</v>
      </c>
    </row>
    <row r="345" spans="1:15" s="94" customFormat="1" ht="12" customHeight="1">
      <c r="A345" s="95">
        <v>335</v>
      </c>
      <c r="B345" s="758" t="s">
        <v>336</v>
      </c>
      <c r="C345" s="272">
        <v>40536</v>
      </c>
      <c r="D345" s="216" t="s">
        <v>23</v>
      </c>
      <c r="E345" s="217">
        <v>112</v>
      </c>
      <c r="F345" s="217">
        <v>15</v>
      </c>
      <c r="G345" s="217">
        <v>10</v>
      </c>
      <c r="H345" s="629">
        <v>6766</v>
      </c>
      <c r="I345" s="953">
        <v>855</v>
      </c>
      <c r="J345" s="888">
        <f>I345/F345</f>
        <v>57</v>
      </c>
      <c r="K345" s="570">
        <f>+H345/I345</f>
        <v>7.913450292397661</v>
      </c>
      <c r="L345" s="577">
        <v>2732755</v>
      </c>
      <c r="M345" s="732">
        <v>241326</v>
      </c>
      <c r="N345" s="308">
        <f>+L345/M345</f>
        <v>11.323914538839578</v>
      </c>
      <c r="O345" s="103">
        <v>335</v>
      </c>
    </row>
    <row r="346" spans="1:17" s="94" customFormat="1" ht="12" customHeight="1">
      <c r="A346" s="95">
        <v>336</v>
      </c>
      <c r="B346" s="469" t="s">
        <v>336</v>
      </c>
      <c r="C346" s="32">
        <v>40536</v>
      </c>
      <c r="D346" s="199" t="s">
        <v>23</v>
      </c>
      <c r="E346" s="202">
        <v>112</v>
      </c>
      <c r="F346" s="202">
        <v>21</v>
      </c>
      <c r="G346" s="202">
        <v>9</v>
      </c>
      <c r="H346" s="595">
        <v>25605</v>
      </c>
      <c r="I346" s="596">
        <v>2458</v>
      </c>
      <c r="J346" s="40">
        <f>I346/F346</f>
        <v>117.04761904761905</v>
      </c>
      <c r="K346" s="274">
        <f>+H346/I346</f>
        <v>10.417005695687552</v>
      </c>
      <c r="L346" s="36">
        <v>2725989</v>
      </c>
      <c r="M346" s="39">
        <v>240471</v>
      </c>
      <c r="N346" s="259">
        <f>+L346/M346</f>
        <v>11.33604052047856</v>
      </c>
      <c r="O346" s="103">
        <v>336</v>
      </c>
      <c r="Q346" s="156"/>
    </row>
    <row r="347" spans="1:15" s="94" customFormat="1" ht="12" customHeight="1">
      <c r="A347" s="95">
        <v>337</v>
      </c>
      <c r="B347" s="938" t="s">
        <v>336</v>
      </c>
      <c r="C347" s="942">
        <v>40536</v>
      </c>
      <c r="D347" s="944" t="s">
        <v>23</v>
      </c>
      <c r="E347" s="947">
        <v>112</v>
      </c>
      <c r="F347" s="947">
        <v>76</v>
      </c>
      <c r="G347" s="947">
        <v>8</v>
      </c>
      <c r="H347" s="640">
        <v>133175</v>
      </c>
      <c r="I347" s="599">
        <v>12385</v>
      </c>
      <c r="J347" s="458">
        <f>I347/F347</f>
        <v>162.96052631578948</v>
      </c>
      <c r="K347" s="522">
        <f>+H347/I347</f>
        <v>10.752926927735164</v>
      </c>
      <c r="L347" s="270">
        <v>2700384</v>
      </c>
      <c r="M347" s="271">
        <v>238012</v>
      </c>
      <c r="N347" s="956">
        <f>+L347/M347</f>
        <v>11.345579214493387</v>
      </c>
      <c r="O347" s="103">
        <v>337</v>
      </c>
    </row>
    <row r="348" spans="1:15" s="94" customFormat="1" ht="12" customHeight="1">
      <c r="A348" s="95">
        <v>338</v>
      </c>
      <c r="B348" s="758" t="s">
        <v>336</v>
      </c>
      <c r="C348" s="272">
        <v>40536</v>
      </c>
      <c r="D348" s="216" t="s">
        <v>23</v>
      </c>
      <c r="E348" s="217">
        <v>112</v>
      </c>
      <c r="F348" s="217">
        <v>67</v>
      </c>
      <c r="G348" s="217">
        <v>7</v>
      </c>
      <c r="H348" s="949">
        <v>251883</v>
      </c>
      <c r="I348" s="630">
        <v>23368</v>
      </c>
      <c r="J348" s="40">
        <f>I348/F348</f>
        <v>348.7761194029851</v>
      </c>
      <c r="K348" s="274">
        <f>+H348/I348</f>
        <v>10.778971242725094</v>
      </c>
      <c r="L348" s="954">
        <v>2567209</v>
      </c>
      <c r="M348" s="41">
        <v>225627</v>
      </c>
      <c r="N348" s="308">
        <f>+L348/M348</f>
        <v>11.378110775749356</v>
      </c>
      <c r="O348" s="103">
        <v>338</v>
      </c>
    </row>
    <row r="349" spans="1:15" s="94" customFormat="1" ht="12" customHeight="1">
      <c r="A349" s="95">
        <v>339</v>
      </c>
      <c r="B349" s="939" t="s">
        <v>336</v>
      </c>
      <c r="C349" s="272">
        <v>40536</v>
      </c>
      <c r="D349" s="945" t="s">
        <v>23</v>
      </c>
      <c r="E349" s="230">
        <v>112</v>
      </c>
      <c r="F349" s="230">
        <v>16</v>
      </c>
      <c r="G349" s="230">
        <v>6</v>
      </c>
      <c r="H349" s="949">
        <v>40300</v>
      </c>
      <c r="I349" s="630">
        <v>4735</v>
      </c>
      <c r="J349" s="40">
        <f>I349/F349</f>
        <v>295.9375</v>
      </c>
      <c r="K349" s="274">
        <f>+H349/I349</f>
        <v>8.511087645195353</v>
      </c>
      <c r="L349" s="954">
        <v>2315326</v>
      </c>
      <c r="M349" s="41">
        <v>202259</v>
      </c>
      <c r="N349" s="301">
        <f>+L349/M349</f>
        <v>11.447332380759324</v>
      </c>
      <c r="O349" s="103">
        <v>339</v>
      </c>
    </row>
    <row r="350" spans="1:15" s="94" customFormat="1" ht="12" customHeight="1">
      <c r="A350" s="95">
        <v>340</v>
      </c>
      <c r="B350" s="754" t="s">
        <v>336</v>
      </c>
      <c r="C350" s="272">
        <v>40536</v>
      </c>
      <c r="D350" s="945" t="s">
        <v>23</v>
      </c>
      <c r="E350" s="230">
        <v>112</v>
      </c>
      <c r="F350" s="230">
        <v>26</v>
      </c>
      <c r="G350" s="230">
        <v>5</v>
      </c>
      <c r="H350" s="949">
        <v>35294</v>
      </c>
      <c r="I350" s="630">
        <v>5579</v>
      </c>
      <c r="J350" s="40">
        <f>I350/F350</f>
        <v>214.57692307692307</v>
      </c>
      <c r="K350" s="274">
        <f>+H350/I350</f>
        <v>6.3262233375156836</v>
      </c>
      <c r="L350" s="954">
        <v>2275026</v>
      </c>
      <c r="M350" s="41">
        <v>197524</v>
      </c>
      <c r="N350" s="308">
        <f>+L350/M350</f>
        <v>11.51771936574796</v>
      </c>
      <c r="O350" s="103">
        <v>340</v>
      </c>
    </row>
    <row r="351" spans="1:15" s="94" customFormat="1" ht="12" customHeight="1">
      <c r="A351" s="95">
        <v>341</v>
      </c>
      <c r="B351" s="938" t="s">
        <v>336</v>
      </c>
      <c r="C351" s="942">
        <v>40536</v>
      </c>
      <c r="D351" s="944" t="s">
        <v>23</v>
      </c>
      <c r="E351" s="947">
        <v>112</v>
      </c>
      <c r="F351" s="947">
        <v>51</v>
      </c>
      <c r="G351" s="947">
        <v>4</v>
      </c>
      <c r="H351" s="640">
        <v>136869</v>
      </c>
      <c r="I351" s="599">
        <v>12796</v>
      </c>
      <c r="J351" s="458">
        <f>I351/F351</f>
        <v>250.90196078431373</v>
      </c>
      <c r="K351" s="522">
        <f>+H351/I351</f>
        <v>10.696233197874335</v>
      </c>
      <c r="L351" s="270">
        <v>2239732</v>
      </c>
      <c r="M351" s="271">
        <v>191945</v>
      </c>
      <c r="N351" s="956">
        <f>+L351/M351</f>
        <v>11.668613404881606</v>
      </c>
      <c r="O351" s="103">
        <v>341</v>
      </c>
    </row>
    <row r="352" spans="1:15" s="94" customFormat="1" ht="12" customHeight="1">
      <c r="A352" s="95">
        <v>342</v>
      </c>
      <c r="B352" s="939" t="s">
        <v>336</v>
      </c>
      <c r="C352" s="272">
        <v>40536</v>
      </c>
      <c r="D352" s="760" t="s">
        <v>23</v>
      </c>
      <c r="E352" s="230">
        <v>112</v>
      </c>
      <c r="F352" s="230">
        <v>114</v>
      </c>
      <c r="G352" s="230">
        <v>3</v>
      </c>
      <c r="H352" s="949">
        <v>439081</v>
      </c>
      <c r="I352" s="630">
        <v>38093</v>
      </c>
      <c r="J352" s="40">
        <f>I352/F352</f>
        <v>334.14912280701753</v>
      </c>
      <c r="K352" s="274">
        <f>+H352/I352</f>
        <v>11.526553435014307</v>
      </c>
      <c r="L352" s="954">
        <v>2102863</v>
      </c>
      <c r="M352" s="41">
        <v>179149</v>
      </c>
      <c r="N352" s="308">
        <f>+L352/M352</f>
        <v>11.738067195462994</v>
      </c>
      <c r="O352" s="103">
        <v>342</v>
      </c>
    </row>
    <row r="353" spans="1:15" s="94" customFormat="1" ht="12" customHeight="1">
      <c r="A353" s="95">
        <v>343</v>
      </c>
      <c r="B353" s="754" t="s">
        <v>336</v>
      </c>
      <c r="C353" s="272">
        <v>40536</v>
      </c>
      <c r="D353" s="760" t="s">
        <v>23</v>
      </c>
      <c r="E353" s="230">
        <v>112</v>
      </c>
      <c r="F353" s="230">
        <v>116</v>
      </c>
      <c r="G353" s="230">
        <v>2</v>
      </c>
      <c r="H353" s="629">
        <v>694227</v>
      </c>
      <c r="I353" s="630">
        <v>58647</v>
      </c>
      <c r="J353" s="40">
        <f>I353/F353</f>
        <v>505.57758620689657</v>
      </c>
      <c r="K353" s="570">
        <f>+H353/I353</f>
        <v>11.837382986342012</v>
      </c>
      <c r="L353" s="577">
        <v>1663782</v>
      </c>
      <c r="M353" s="41">
        <v>141056</v>
      </c>
      <c r="N353" s="308">
        <f>+L353/M353</f>
        <v>11.795187726860254</v>
      </c>
      <c r="O353" s="103">
        <v>343</v>
      </c>
    </row>
    <row r="354" spans="1:15" s="94" customFormat="1" ht="12" customHeight="1">
      <c r="A354" s="95">
        <v>344</v>
      </c>
      <c r="B354" s="215" t="s">
        <v>337</v>
      </c>
      <c r="C354" s="272">
        <v>40319</v>
      </c>
      <c r="D354" s="216" t="s">
        <v>138</v>
      </c>
      <c r="E354" s="217">
        <v>2</v>
      </c>
      <c r="F354" s="217">
        <v>1</v>
      </c>
      <c r="G354" s="217">
        <v>17</v>
      </c>
      <c r="H354" s="600">
        <v>2970</v>
      </c>
      <c r="I354" s="597">
        <v>2755</v>
      </c>
      <c r="J354" s="110">
        <f>(I354/F354)</f>
        <v>2755</v>
      </c>
      <c r="K354" s="576">
        <f>H354/I354</f>
        <v>1.0780399274047188</v>
      </c>
      <c r="L354" s="43">
        <f>4143+1077+726+775+2269+1451+561+189+370+613+538+181+79+246+238+1188+2970</f>
        <v>17614</v>
      </c>
      <c r="M354" s="9">
        <f>330+90+108+118+312+209+62+36+139+104+67+25+11+37+68+297+742</f>
        <v>2755</v>
      </c>
      <c r="N354" s="219">
        <f>L354/M354</f>
        <v>6.393466424682396</v>
      </c>
      <c r="O354" s="103">
        <v>344</v>
      </c>
    </row>
    <row r="355" spans="1:15" s="94" customFormat="1" ht="12" customHeight="1">
      <c r="A355" s="95">
        <v>345</v>
      </c>
      <c r="B355" s="285" t="s">
        <v>337</v>
      </c>
      <c r="C355" s="272">
        <v>40319</v>
      </c>
      <c r="D355" s="286" t="s">
        <v>32</v>
      </c>
      <c r="E355" s="230">
        <v>2</v>
      </c>
      <c r="F355" s="230">
        <v>1</v>
      </c>
      <c r="G355" s="230">
        <v>16</v>
      </c>
      <c r="H355" s="600">
        <v>1188</v>
      </c>
      <c r="I355" s="597">
        <v>297</v>
      </c>
      <c r="J355" s="110">
        <f>(I355/F355)</f>
        <v>297</v>
      </c>
      <c r="K355" s="218">
        <f>H355/I355</f>
        <v>4</v>
      </c>
      <c r="L355" s="43">
        <f>4143+1077+726+775+2269+1451+561+189+370+613+538+181+79+246+238+1188</f>
        <v>14644</v>
      </c>
      <c r="M355" s="9">
        <f>330+90+108+118+312+209+62+36+139+104+67+25+11+37+68+297</f>
        <v>2013</v>
      </c>
      <c r="N355" s="219">
        <f>L355/M355</f>
        <v>7.27471435668157</v>
      </c>
      <c r="O355" s="103">
        <v>345</v>
      </c>
    </row>
    <row r="356" spans="1:15" s="94" customFormat="1" ht="12" customHeight="1">
      <c r="A356" s="95">
        <v>346</v>
      </c>
      <c r="B356" s="287" t="s">
        <v>169</v>
      </c>
      <c r="C356" s="272">
        <v>40529</v>
      </c>
      <c r="D356" s="645" t="s">
        <v>29</v>
      </c>
      <c r="E356" s="230">
        <v>5</v>
      </c>
      <c r="F356" s="230">
        <v>3</v>
      </c>
      <c r="G356" s="230">
        <v>3</v>
      </c>
      <c r="H356" s="629">
        <v>2915</v>
      </c>
      <c r="I356" s="630">
        <v>305</v>
      </c>
      <c r="J356" s="98">
        <f>IF(H356&lt;&gt;0,I356/F356,"")</f>
        <v>101.66666666666667</v>
      </c>
      <c r="K356" s="233">
        <f>IF(H356&lt;&gt;0,H356/I356,"")</f>
        <v>9.557377049180328</v>
      </c>
      <c r="L356" s="577">
        <f>9892.5+4913+2915</f>
        <v>17720.5</v>
      </c>
      <c r="M356" s="40">
        <f>1037+523+305</f>
        <v>1865</v>
      </c>
      <c r="N356" s="302">
        <f>IF(L356&lt;&gt;0,L356/M356,"")</f>
        <v>9.501608579088472</v>
      </c>
      <c r="O356" s="103">
        <v>346</v>
      </c>
    </row>
    <row r="357" spans="1:15" s="94" customFormat="1" ht="12" customHeight="1">
      <c r="A357" s="95">
        <v>347</v>
      </c>
      <c r="B357" s="755" t="s">
        <v>338</v>
      </c>
      <c r="C357" s="650">
        <v>40410</v>
      </c>
      <c r="D357" s="556" t="s">
        <v>32</v>
      </c>
      <c r="E357" s="652">
        <v>100</v>
      </c>
      <c r="F357" s="220">
        <v>1</v>
      </c>
      <c r="G357" s="652">
        <v>19</v>
      </c>
      <c r="H357" s="600">
        <v>1782</v>
      </c>
      <c r="I357" s="597">
        <v>446</v>
      </c>
      <c r="J357" s="98">
        <f>I357/F357</f>
        <v>446</v>
      </c>
      <c r="K357" s="99">
        <f>H357/I357</f>
        <v>3.995515695067265</v>
      </c>
      <c r="L357" s="43">
        <f>4793.5+233907+173006+95171+69286+22212.5+11921.5+10683+6473+5548+3621+5930+360+5346+2138.5+6058.5+4752+950.5+1782+1782</f>
        <v>665722</v>
      </c>
      <c r="M357" s="9">
        <f>312+25267+17706+10642+10638+3791+2335+2134+1501+1673+635+1434+72+1336+534+1515+1188+238+445+446</f>
        <v>83842</v>
      </c>
      <c r="N357" s="102">
        <f>+L357/M357</f>
        <v>7.940197037284416</v>
      </c>
      <c r="O357" s="103">
        <v>347</v>
      </c>
    </row>
    <row r="358" spans="1:15" s="94" customFormat="1" ht="12" customHeight="1">
      <c r="A358" s="95">
        <v>348</v>
      </c>
      <c r="B358" s="287" t="s">
        <v>338</v>
      </c>
      <c r="C358" s="272">
        <v>40410</v>
      </c>
      <c r="D358" s="216" t="s">
        <v>32</v>
      </c>
      <c r="E358" s="230">
        <v>100</v>
      </c>
      <c r="F358" s="230">
        <v>1</v>
      </c>
      <c r="G358" s="230">
        <v>18</v>
      </c>
      <c r="H358" s="600">
        <v>1782</v>
      </c>
      <c r="I358" s="597">
        <v>445</v>
      </c>
      <c r="J358" s="110">
        <f>(I358/F358)</f>
        <v>445</v>
      </c>
      <c r="K358" s="218">
        <f>H358/I358</f>
        <v>4.004494382022472</v>
      </c>
      <c r="L358" s="43">
        <f>4793.5+233907+173006+95171+69286+22212.5+11921.5+10683+6473+5548+3621+5930+360+5346+2138.5+6058.5+4752+950.5+1782</f>
        <v>663940</v>
      </c>
      <c r="M358" s="9">
        <f>312+25267+17706+10642+10638+3791+2335+2134+1501+1673+635+1434+72+1336+534+1515+1188+238+445</f>
        <v>83396</v>
      </c>
      <c r="N358" s="219">
        <f>L358/M358</f>
        <v>7.9612931075830975</v>
      </c>
      <c r="O358" s="103">
        <v>348</v>
      </c>
    </row>
    <row r="359" spans="1:15" s="94" customFormat="1" ht="12" customHeight="1">
      <c r="A359" s="95">
        <v>349</v>
      </c>
      <c r="B359" s="285" t="s">
        <v>338</v>
      </c>
      <c r="C359" s="272">
        <v>40410</v>
      </c>
      <c r="D359" s="216" t="s">
        <v>32</v>
      </c>
      <c r="E359" s="230">
        <v>100</v>
      </c>
      <c r="F359" s="230">
        <v>1</v>
      </c>
      <c r="G359" s="230">
        <v>17</v>
      </c>
      <c r="H359" s="600">
        <v>950.5</v>
      </c>
      <c r="I359" s="597">
        <v>238</v>
      </c>
      <c r="J359" s="110">
        <f>(I359/F359)</f>
        <v>238</v>
      </c>
      <c r="K359" s="218">
        <f>H359/I359</f>
        <v>3.9936974789915967</v>
      </c>
      <c r="L359" s="43">
        <f>4793.5+233907+173006+95171+69286+22212.5+11921.5+10683+6473+5548+3621+5930+360+5346+2138.5+6058.5+4752+950.5</f>
        <v>662158</v>
      </c>
      <c r="M359" s="9">
        <f>312+25267+17706+10642+10638+3791+2335+2134+1501+1673+635+1434+72+1336+534+1515+1188+238</f>
        <v>82951</v>
      </c>
      <c r="N359" s="219">
        <f>L359/M359</f>
        <v>7.9825198008462825</v>
      </c>
      <c r="O359" s="103">
        <v>349</v>
      </c>
    </row>
    <row r="360" spans="1:15" s="94" customFormat="1" ht="12" customHeight="1">
      <c r="A360" s="95">
        <v>350</v>
      </c>
      <c r="B360" s="215" t="s">
        <v>339</v>
      </c>
      <c r="C360" s="272">
        <v>40039</v>
      </c>
      <c r="D360" s="216" t="s">
        <v>32</v>
      </c>
      <c r="E360" s="217">
        <v>8</v>
      </c>
      <c r="F360" s="217">
        <v>1</v>
      </c>
      <c r="G360" s="217">
        <v>11</v>
      </c>
      <c r="H360" s="600">
        <v>952</v>
      </c>
      <c r="I360" s="597">
        <v>238</v>
      </c>
      <c r="J360" s="110">
        <f>(I360/F360)</f>
        <v>238</v>
      </c>
      <c r="K360" s="218">
        <f>H360/I360</f>
        <v>4</v>
      </c>
      <c r="L360" s="43">
        <f>29121.25+9335.5+10783.5+6805.5+6780.5+3746+1541.5+84+273+1188+952</f>
        <v>70610.75</v>
      </c>
      <c r="M360" s="9">
        <f>2428+976+1509+1029+1087+466+273+24+62+297+238</f>
        <v>8389</v>
      </c>
      <c r="N360" s="219">
        <f>L360/M360</f>
        <v>8.417064012397187</v>
      </c>
      <c r="O360" s="103">
        <v>350</v>
      </c>
    </row>
    <row r="361" spans="1:15" s="94" customFormat="1" ht="12" customHeight="1">
      <c r="A361" s="95">
        <v>351</v>
      </c>
      <c r="B361" s="646" t="s">
        <v>143</v>
      </c>
      <c r="C361" s="650">
        <v>40522</v>
      </c>
      <c r="D361" s="651" t="s">
        <v>138</v>
      </c>
      <c r="E361" s="652">
        <v>127</v>
      </c>
      <c r="F361" s="220">
        <v>2</v>
      </c>
      <c r="G361" s="652">
        <v>21</v>
      </c>
      <c r="H361" s="600">
        <v>1818.5</v>
      </c>
      <c r="I361" s="597">
        <v>447</v>
      </c>
      <c r="J361" s="98">
        <f>I361/F361</f>
        <v>223.5</v>
      </c>
      <c r="K361" s="99">
        <f>H361/I361</f>
        <v>4.068232662192393</v>
      </c>
      <c r="L361" s="43">
        <f>1048675+809166.5+457718.5+70165.5+7102+12164+8619.5+11777.5+6559.5+3338.5+10420.5+3303+3205+2076+1722.5+314+264+550+5455+5583.5+1818.5</f>
        <v>2469998.5</v>
      </c>
      <c r="M361" s="9">
        <f>92481+73795+43350+8841+1153+2869+1615+2831+1620+630+2477+726+513+481+318+38+33+104+1359+1394+447</f>
        <v>237075</v>
      </c>
      <c r="N361" s="102">
        <f>+L361/M361</f>
        <v>10.418637561952968</v>
      </c>
      <c r="O361" s="103">
        <v>351</v>
      </c>
    </row>
    <row r="362" spans="1:15" s="94" customFormat="1" ht="12" customHeight="1">
      <c r="A362" s="95">
        <v>352</v>
      </c>
      <c r="B362" s="646" t="s">
        <v>143</v>
      </c>
      <c r="C362" s="650">
        <v>40522</v>
      </c>
      <c r="D362" s="556" t="s">
        <v>32</v>
      </c>
      <c r="E362" s="652">
        <v>127</v>
      </c>
      <c r="F362" s="220">
        <v>4</v>
      </c>
      <c r="G362" s="654">
        <v>20</v>
      </c>
      <c r="H362" s="600">
        <v>5583.5</v>
      </c>
      <c r="I362" s="597">
        <v>1394</v>
      </c>
      <c r="J362" s="98">
        <f>I362/F362</f>
        <v>348.5</v>
      </c>
      <c r="K362" s="99">
        <f>H362/I362</f>
        <v>4.005380200860833</v>
      </c>
      <c r="L362" s="43">
        <f>1048675+809166.5+457718.5+70165.5+7102+12164+8619.5+11777.5+6559.5+3338.5+10420.5+3303+3205+2076+1722.5+314+264+550+5455+5583.5</f>
        <v>2468180</v>
      </c>
      <c r="M362" s="9">
        <f>92481+73795+43350+8841+1153+2869+1615+2831+1620+630+2477+726+513+481+318+38+33+104+1359+1394</f>
        <v>236628</v>
      </c>
      <c r="N362" s="102">
        <f>+L362/M362</f>
        <v>10.430633737343003</v>
      </c>
      <c r="O362" s="103">
        <v>352</v>
      </c>
    </row>
    <row r="363" spans="1:15" s="94" customFormat="1" ht="12" customHeight="1">
      <c r="A363" s="95">
        <v>353</v>
      </c>
      <c r="B363" s="587" t="s">
        <v>143</v>
      </c>
      <c r="C363" s="272">
        <v>40522</v>
      </c>
      <c r="D363" s="286" t="s">
        <v>32</v>
      </c>
      <c r="E363" s="230">
        <v>127</v>
      </c>
      <c r="F363" s="230">
        <v>4</v>
      </c>
      <c r="G363" s="230">
        <v>19</v>
      </c>
      <c r="H363" s="600">
        <v>5455</v>
      </c>
      <c r="I363" s="597">
        <v>1359</v>
      </c>
      <c r="J363" s="110">
        <f>(I363/F363)</f>
        <v>339.75</v>
      </c>
      <c r="K363" s="218">
        <f>H363/I363</f>
        <v>4.013980868285504</v>
      </c>
      <c r="L363" s="43">
        <f>1048675+809166.5+457718.5+70165.5+7102+12164+8619.5+11777.5+6559.5+3338.5+10420.5+3303+3205+2076+1722.5+314+264+550+5455</f>
        <v>2462596.5</v>
      </c>
      <c r="M363" s="9">
        <f>92481+73795+43350+8841+1153+2869+1615+2831+1620+630+2477+726+513+481+318+38+33+104+1359</f>
        <v>235234</v>
      </c>
      <c r="N363" s="219">
        <f>L363/M363</f>
        <v>10.468709880374435</v>
      </c>
      <c r="O363" s="103">
        <v>353</v>
      </c>
    </row>
    <row r="364" spans="1:15" s="94" customFormat="1" ht="12" customHeight="1">
      <c r="A364" s="95">
        <v>354</v>
      </c>
      <c r="B364" s="587" t="s">
        <v>143</v>
      </c>
      <c r="C364" s="272">
        <v>40522</v>
      </c>
      <c r="D364" s="286" t="s">
        <v>32</v>
      </c>
      <c r="E364" s="230">
        <v>127</v>
      </c>
      <c r="F364" s="230">
        <v>1</v>
      </c>
      <c r="G364" s="230">
        <v>18</v>
      </c>
      <c r="H364" s="600">
        <v>550</v>
      </c>
      <c r="I364" s="597">
        <v>104</v>
      </c>
      <c r="J364" s="110">
        <f>(I364/F364)</f>
        <v>104</v>
      </c>
      <c r="K364" s="218">
        <f>H364/I364</f>
        <v>5.288461538461538</v>
      </c>
      <c r="L364" s="43">
        <f>1048675+809166.5+457718.5+70165.5+7102+12164+8619.5+11777.5+6559.5+3338.5+10420.5+3303+3205+2076+1722.5+314+264+550</f>
        <v>2457141.5</v>
      </c>
      <c r="M364" s="9">
        <f>92481+73795+43350+8841+1153+2869+1615+2831+1620+630+2477+726+513+481+318+38+33+104</f>
        <v>233875</v>
      </c>
      <c r="N364" s="219">
        <f>L364/M364</f>
        <v>10.506216996258685</v>
      </c>
      <c r="O364" s="103">
        <v>354</v>
      </c>
    </row>
    <row r="365" spans="1:15" s="94" customFormat="1" ht="12" customHeight="1">
      <c r="A365" s="95">
        <v>355</v>
      </c>
      <c r="B365" s="588" t="s">
        <v>143</v>
      </c>
      <c r="C365" s="505">
        <v>40522</v>
      </c>
      <c r="D365" s="586" t="s">
        <v>32</v>
      </c>
      <c r="E365" s="220">
        <v>127</v>
      </c>
      <c r="F365" s="220">
        <v>1</v>
      </c>
      <c r="G365" s="220">
        <v>17</v>
      </c>
      <c r="H365" s="601">
        <v>264</v>
      </c>
      <c r="I365" s="602">
        <v>33</v>
      </c>
      <c r="J365" s="506">
        <f>(I365/F365)</f>
        <v>33</v>
      </c>
      <c r="K365" s="507">
        <f>H365/I365</f>
        <v>8</v>
      </c>
      <c r="L365" s="459">
        <f>1048675+809166.5+457718.5+70165.5+7102+12164+8619.5+11777.5+6559.5+3338.5+10420.5+3303+3205+2076+1722.5+314+264</f>
        <v>2456591.5</v>
      </c>
      <c r="M365" s="457">
        <f>92481+73795+43350+8841+1153+2869+1615+2831+1620+630+2477+726+513+481+318+38+33</f>
        <v>233771</v>
      </c>
      <c r="N365" s="575">
        <f>L365/M365</f>
        <v>10.5085382703586</v>
      </c>
      <c r="O365" s="103">
        <v>355</v>
      </c>
    </row>
    <row r="366" spans="1:15" s="94" customFormat="1" ht="12" customHeight="1">
      <c r="A366" s="95">
        <v>356</v>
      </c>
      <c r="B366" s="215" t="s">
        <v>143</v>
      </c>
      <c r="C366" s="272">
        <v>40522</v>
      </c>
      <c r="D366" s="216" t="s">
        <v>138</v>
      </c>
      <c r="E366" s="217">
        <v>127</v>
      </c>
      <c r="F366" s="217">
        <v>1</v>
      </c>
      <c r="G366" s="217">
        <v>16</v>
      </c>
      <c r="H366" s="600">
        <v>314</v>
      </c>
      <c r="I366" s="597">
        <v>38</v>
      </c>
      <c r="J366" s="110">
        <f>(I366/F366)</f>
        <v>38</v>
      </c>
      <c r="K366" s="576">
        <f>H366/I366</f>
        <v>8.263157894736842</v>
      </c>
      <c r="L366" s="43">
        <f>1048675+809166.5+457718.5+70165.5+7102+12164+8619.5+11777.5+6559.5+3338.5+10420.5+3303+3205+2076+1722.5+314</f>
        <v>2456327.5</v>
      </c>
      <c r="M366" s="9">
        <f>92481+73795+43350+8841+1153+2869+1615+2831+1620+630+2477+726+513+481+318+38</f>
        <v>233738</v>
      </c>
      <c r="N366" s="219">
        <f>L366/M366</f>
        <v>10.508892435119664</v>
      </c>
      <c r="O366" s="103">
        <v>356</v>
      </c>
    </row>
    <row r="367" spans="1:15" s="94" customFormat="1" ht="12" customHeight="1">
      <c r="A367" s="95">
        <v>357</v>
      </c>
      <c r="B367" s="587" t="s">
        <v>143</v>
      </c>
      <c r="C367" s="272">
        <v>40522</v>
      </c>
      <c r="D367" s="286" t="s">
        <v>32</v>
      </c>
      <c r="E367" s="230">
        <v>127</v>
      </c>
      <c r="F367" s="230">
        <v>2</v>
      </c>
      <c r="G367" s="230">
        <v>15</v>
      </c>
      <c r="H367" s="600">
        <v>1722.5</v>
      </c>
      <c r="I367" s="597">
        <v>318</v>
      </c>
      <c r="J367" s="110">
        <f>(I367/F367)</f>
        <v>159</v>
      </c>
      <c r="K367" s="218">
        <f>H367/I367</f>
        <v>5.416666666666667</v>
      </c>
      <c r="L367" s="43">
        <f>1048675+809166.5+457718.5+70165.5+7102+12164+8619.5+11777.5+6559.5+3338.5+10420.5+3303+3205+2076+1722.5</f>
        <v>2456013.5</v>
      </c>
      <c r="M367" s="9">
        <f>92481+73795+43350+8841+1153+2869+1615+2831+1620+630+2477+726+513+481+318</f>
        <v>233700</v>
      </c>
      <c r="N367" s="219">
        <f>L367/M367</f>
        <v>10.509257595207531</v>
      </c>
      <c r="O367" s="103">
        <v>357</v>
      </c>
    </row>
    <row r="368" spans="1:15" s="94" customFormat="1" ht="12" customHeight="1">
      <c r="A368" s="95">
        <v>358</v>
      </c>
      <c r="B368" s="587" t="s">
        <v>143</v>
      </c>
      <c r="C368" s="272">
        <v>40522</v>
      </c>
      <c r="D368" s="286" t="s">
        <v>32</v>
      </c>
      <c r="E368" s="230">
        <v>127</v>
      </c>
      <c r="F368" s="230">
        <v>2</v>
      </c>
      <c r="G368" s="230">
        <v>14</v>
      </c>
      <c r="H368" s="600">
        <v>2076</v>
      </c>
      <c r="I368" s="597">
        <v>481</v>
      </c>
      <c r="J368" s="110">
        <f>(I368/F368)</f>
        <v>240.5</v>
      </c>
      <c r="K368" s="218">
        <f>H368/I368</f>
        <v>4.316008316008316</v>
      </c>
      <c r="L368" s="43">
        <f>1048675+809166.5+457718.5+70165.5+7102+12164+8619.5+11777.5+6559.5+3338.5+10420.5+3303+3205+2076</f>
        <v>2454291</v>
      </c>
      <c r="M368" s="9">
        <f>92481+73795+43350+8841+1153+2869+1615+2831+1620+630+2477+726+513+481</f>
        <v>233382</v>
      </c>
      <c r="N368" s="219">
        <f>L368/M368</f>
        <v>10.516196621847444</v>
      </c>
      <c r="O368" s="103">
        <v>358</v>
      </c>
    </row>
    <row r="369" spans="1:15" s="94" customFormat="1" ht="12" customHeight="1">
      <c r="A369" s="95">
        <v>359</v>
      </c>
      <c r="B369" s="587" t="s">
        <v>143</v>
      </c>
      <c r="C369" s="272">
        <v>40522</v>
      </c>
      <c r="D369" s="286" t="s">
        <v>32</v>
      </c>
      <c r="E369" s="230">
        <v>127</v>
      </c>
      <c r="F369" s="230">
        <v>5</v>
      </c>
      <c r="G369" s="230">
        <v>13</v>
      </c>
      <c r="H369" s="600">
        <v>3205</v>
      </c>
      <c r="I369" s="597">
        <v>513</v>
      </c>
      <c r="J369" s="110">
        <f>(I369/F369)</f>
        <v>102.6</v>
      </c>
      <c r="K369" s="218">
        <f>H369/I369</f>
        <v>6.247563352826511</v>
      </c>
      <c r="L369" s="43">
        <f>1048675+809166.5+457718.5+70165.5+7102+12164+8619.5+11777.5+6559.5+3338.5+10420.5+3303+3205</f>
        <v>2452215</v>
      </c>
      <c r="M369" s="9">
        <f>92481+73795+43350+8841+1153+2869+1615+2831+1620+630+2477+726+513</f>
        <v>232901</v>
      </c>
      <c r="N369" s="219">
        <f>L369/M369</f>
        <v>10.529001592951511</v>
      </c>
      <c r="O369" s="103">
        <v>359</v>
      </c>
    </row>
    <row r="370" spans="1:15" s="94" customFormat="1" ht="12" customHeight="1">
      <c r="A370" s="95">
        <v>360</v>
      </c>
      <c r="B370" s="215" t="s">
        <v>143</v>
      </c>
      <c r="C370" s="272">
        <v>40522</v>
      </c>
      <c r="D370" s="216" t="s">
        <v>32</v>
      </c>
      <c r="E370" s="217">
        <v>127</v>
      </c>
      <c r="F370" s="217">
        <v>6</v>
      </c>
      <c r="G370" s="217">
        <v>12</v>
      </c>
      <c r="H370" s="609">
        <v>3303</v>
      </c>
      <c r="I370" s="610">
        <v>726</v>
      </c>
      <c r="J370" s="461">
        <f>(I370/F370)</f>
        <v>121</v>
      </c>
      <c r="K370" s="288">
        <f>H370/I370</f>
        <v>4.549586776859504</v>
      </c>
      <c r="L370" s="462">
        <f>1048675+809166.5+457718.5+70165.5+7102+12164+8619.5+11777.5+6559.5+3338.5+10420.5+3303</f>
        <v>2449010</v>
      </c>
      <c r="M370" s="463">
        <f>92481+73795+43350+8841+1153+2869+1615+2831+1620+630+2477+726</f>
        <v>232388</v>
      </c>
      <c r="N370" s="219">
        <f>L370/M370</f>
        <v>10.538452932165171</v>
      </c>
      <c r="O370" s="103">
        <v>360</v>
      </c>
    </row>
    <row r="371" spans="1:15" s="94" customFormat="1" ht="12" customHeight="1">
      <c r="A371" s="95">
        <v>361</v>
      </c>
      <c r="B371" s="215" t="s">
        <v>143</v>
      </c>
      <c r="C371" s="272">
        <v>40522</v>
      </c>
      <c r="D371" s="216" t="s">
        <v>32</v>
      </c>
      <c r="E371" s="217">
        <v>127</v>
      </c>
      <c r="F371" s="217">
        <v>10</v>
      </c>
      <c r="G371" s="217">
        <v>11</v>
      </c>
      <c r="H371" s="600">
        <v>10420.5</v>
      </c>
      <c r="I371" s="597">
        <v>2477</v>
      </c>
      <c r="J371" s="110">
        <f>(I371/F371)</f>
        <v>247.7</v>
      </c>
      <c r="K371" s="218">
        <f>H371/I371</f>
        <v>4.206903512313282</v>
      </c>
      <c r="L371" s="43">
        <f>1048675+809166.5+457718.5+70165.5+7102+12164+8619.5+11777.5+6559.5+3338.5+10420.5</f>
        <v>2445707</v>
      </c>
      <c r="M371" s="9">
        <f>92481+73795+43350+8841+1153+2869+1615+2831+1620+630+2477</f>
        <v>231662</v>
      </c>
      <c r="N371" s="219">
        <f>L371/M371</f>
        <v>10.557221296544103</v>
      </c>
      <c r="O371" s="103">
        <v>361</v>
      </c>
    </row>
    <row r="372" spans="1:15" s="94" customFormat="1" ht="12" customHeight="1">
      <c r="A372" s="95">
        <v>362</v>
      </c>
      <c r="B372" s="555" t="s">
        <v>143</v>
      </c>
      <c r="C372" s="206">
        <v>40522</v>
      </c>
      <c r="D372" s="199" t="s">
        <v>32</v>
      </c>
      <c r="E372" s="207">
        <v>127</v>
      </c>
      <c r="F372" s="207">
        <v>5</v>
      </c>
      <c r="G372" s="207">
        <v>10</v>
      </c>
      <c r="H372" s="603">
        <v>3338.5</v>
      </c>
      <c r="I372" s="611">
        <v>630</v>
      </c>
      <c r="J372" s="506">
        <f>(I372/F372)</f>
        <v>126</v>
      </c>
      <c r="K372" s="507">
        <f>H372/I372</f>
        <v>5.299206349206349</v>
      </c>
      <c r="L372" s="210">
        <f>1048675+809166.5+457718.5+70165.5+7102+12164+8619.5+11777.5+6559.5+3338.5</f>
        <v>2435286.5</v>
      </c>
      <c r="M372" s="211">
        <f>92481+73795+43350+8841+1153+2869+1615+2831+1620+630</f>
        <v>229185</v>
      </c>
      <c r="N372" s="575">
        <f>L372/M372</f>
        <v>10.625854658900016</v>
      </c>
      <c r="O372" s="103">
        <v>362</v>
      </c>
    </row>
    <row r="373" spans="1:15" s="94" customFormat="1" ht="12" customHeight="1">
      <c r="A373" s="95">
        <v>363</v>
      </c>
      <c r="B373" s="215" t="s">
        <v>143</v>
      </c>
      <c r="C373" s="272">
        <v>40522</v>
      </c>
      <c r="D373" s="216" t="s">
        <v>32</v>
      </c>
      <c r="E373" s="217">
        <v>127</v>
      </c>
      <c r="F373" s="217">
        <v>5</v>
      </c>
      <c r="G373" s="217">
        <v>9</v>
      </c>
      <c r="H373" s="392">
        <v>6559.5</v>
      </c>
      <c r="I373" s="393">
        <v>1620</v>
      </c>
      <c r="J373" s="110">
        <f>(I373/F373)</f>
        <v>324</v>
      </c>
      <c r="K373" s="218">
        <f>H373/I373</f>
        <v>4.049074074074074</v>
      </c>
      <c r="L373" s="12">
        <f>1048675+809166.5+457718.5+70165.5+7102+12164+8619.5+11777.5+6559.5</f>
        <v>2431948</v>
      </c>
      <c r="M373" s="13">
        <f>92481+73795+43350+8841+1153+2869+1615+2831+1620</f>
        <v>228555</v>
      </c>
      <c r="N373" s="219">
        <f>L373/M373</f>
        <v>10.640537288617619</v>
      </c>
      <c r="O373" s="103">
        <v>363</v>
      </c>
    </row>
    <row r="374" spans="1:15" s="94" customFormat="1" ht="12" customHeight="1">
      <c r="A374" s="95">
        <v>364</v>
      </c>
      <c r="B374" s="587" t="s">
        <v>143</v>
      </c>
      <c r="C374" s="272">
        <v>40522</v>
      </c>
      <c r="D374" s="216" t="s">
        <v>32</v>
      </c>
      <c r="E374" s="230">
        <v>127</v>
      </c>
      <c r="F374" s="230">
        <v>8</v>
      </c>
      <c r="G374" s="230">
        <v>8</v>
      </c>
      <c r="H374" s="392">
        <v>11777.5</v>
      </c>
      <c r="I374" s="393">
        <v>2831</v>
      </c>
      <c r="J374" s="110">
        <f>(I374/F374)</f>
        <v>353.875</v>
      </c>
      <c r="K374" s="218">
        <f>H374/I374</f>
        <v>4.160190745319675</v>
      </c>
      <c r="L374" s="12">
        <f>1048675+809166.5+457718.5+70165.5+7102+12164+8619.5+11777.5</f>
        <v>2425388.5</v>
      </c>
      <c r="M374" s="13">
        <f>92481+73795+43350+8841+1153+2869+1615+2831</f>
        <v>226935</v>
      </c>
      <c r="N374" s="219">
        <f>L374/M374</f>
        <v>10.68759116046445</v>
      </c>
      <c r="O374" s="103">
        <v>364</v>
      </c>
    </row>
    <row r="375" spans="1:15" s="94" customFormat="1" ht="12" customHeight="1">
      <c r="A375" s="95">
        <v>365</v>
      </c>
      <c r="B375" s="649" t="s">
        <v>143</v>
      </c>
      <c r="C375" s="272">
        <v>40522</v>
      </c>
      <c r="D375" s="216" t="s">
        <v>32</v>
      </c>
      <c r="E375" s="230">
        <v>127</v>
      </c>
      <c r="F375" s="230">
        <v>10</v>
      </c>
      <c r="G375" s="230">
        <v>7</v>
      </c>
      <c r="H375" s="600">
        <v>8619.5</v>
      </c>
      <c r="I375" s="597">
        <v>1615</v>
      </c>
      <c r="J375" s="110">
        <f>(I375/F375)</f>
        <v>161.5</v>
      </c>
      <c r="K375" s="218">
        <f>H375/I375</f>
        <v>5.337151702786378</v>
      </c>
      <c r="L375" s="43">
        <f>1048675+809166.5+457718.5+70165.5+7102+12164+8619.5</f>
        <v>2413611</v>
      </c>
      <c r="M375" s="9">
        <f>92481+73795+43350+8841+1153+2869+1615</f>
        <v>224104</v>
      </c>
      <c r="N375" s="219">
        <f>L375/M375</f>
        <v>10.770048727376576</v>
      </c>
      <c r="O375" s="103">
        <v>365</v>
      </c>
    </row>
    <row r="376" spans="1:15" s="94" customFormat="1" ht="12" customHeight="1">
      <c r="A376" s="95">
        <v>366</v>
      </c>
      <c r="B376" s="587" t="s">
        <v>143</v>
      </c>
      <c r="C376" s="505">
        <v>40522</v>
      </c>
      <c r="D376" s="216" t="s">
        <v>32</v>
      </c>
      <c r="E376" s="220">
        <v>127</v>
      </c>
      <c r="F376" s="220">
        <v>11</v>
      </c>
      <c r="G376" s="220">
        <v>6</v>
      </c>
      <c r="H376" s="601">
        <v>12164</v>
      </c>
      <c r="I376" s="602">
        <v>2869</v>
      </c>
      <c r="J376" s="506">
        <f>(I376/F376)</f>
        <v>260.8181818181818</v>
      </c>
      <c r="K376" s="507">
        <f>H376/I376</f>
        <v>4.239804810038341</v>
      </c>
      <c r="L376" s="459">
        <f>1048675+809166.5+457718.5+70165.5+7102+12164</f>
        <v>2404991.5</v>
      </c>
      <c r="M376" s="457">
        <f>92481+73795+43350+8841+1153+2869</f>
        <v>222489</v>
      </c>
      <c r="N376" s="575">
        <f>L376/M376</f>
        <v>10.809484963301557</v>
      </c>
      <c r="O376" s="103">
        <v>366</v>
      </c>
    </row>
    <row r="377" spans="1:15" s="94" customFormat="1" ht="12" customHeight="1">
      <c r="A377" s="95">
        <v>367</v>
      </c>
      <c r="B377" s="587" t="s">
        <v>143</v>
      </c>
      <c r="C377" s="272">
        <v>40522</v>
      </c>
      <c r="D377" s="216" t="s">
        <v>32</v>
      </c>
      <c r="E377" s="230">
        <v>127</v>
      </c>
      <c r="F377" s="230">
        <v>10</v>
      </c>
      <c r="G377" s="230">
        <v>5</v>
      </c>
      <c r="H377" s="600">
        <v>7102</v>
      </c>
      <c r="I377" s="597">
        <v>1153</v>
      </c>
      <c r="J377" s="110">
        <f>(I377/F377)</f>
        <v>115.3</v>
      </c>
      <c r="K377" s="218">
        <f>H377/I377</f>
        <v>6.159583694709454</v>
      </c>
      <c r="L377" s="43">
        <f>1048675+809166.5+457718.5+70165.5+7102</f>
        <v>2392827.5</v>
      </c>
      <c r="M377" s="9">
        <f>92481+73795+43350+8841+1153</f>
        <v>219620</v>
      </c>
      <c r="N377" s="219">
        <f>L377/M377</f>
        <v>10.8953078043894</v>
      </c>
      <c r="O377" s="103">
        <v>367</v>
      </c>
    </row>
    <row r="378" spans="1:15" s="94" customFormat="1" ht="12" customHeight="1">
      <c r="A378" s="95">
        <v>368</v>
      </c>
      <c r="B378" s="649" t="s">
        <v>143</v>
      </c>
      <c r="C378" s="272">
        <v>40522</v>
      </c>
      <c r="D378" s="216" t="s">
        <v>32</v>
      </c>
      <c r="E378" s="230">
        <v>127</v>
      </c>
      <c r="F378" s="230">
        <v>65</v>
      </c>
      <c r="G378" s="230">
        <v>4</v>
      </c>
      <c r="H378" s="609">
        <v>70165.5</v>
      </c>
      <c r="I378" s="597">
        <v>8841</v>
      </c>
      <c r="J378" s="110">
        <f>(I378/F378)</f>
        <v>136.01538461538462</v>
      </c>
      <c r="K378" s="288">
        <f>H378/I378</f>
        <v>7.9363759755683745</v>
      </c>
      <c r="L378" s="462">
        <f>1048675+809166.5+457718.5+70165.5</f>
        <v>2385725.5</v>
      </c>
      <c r="M378" s="9">
        <f>92481+73795+43350+8841</f>
        <v>218467</v>
      </c>
      <c r="N378" s="219">
        <f>L378/M378</f>
        <v>10.92030146429438</v>
      </c>
      <c r="O378" s="103">
        <v>368</v>
      </c>
    </row>
    <row r="379" spans="1:15" s="94" customFormat="1" ht="12" customHeight="1">
      <c r="A379" s="95">
        <v>369</v>
      </c>
      <c r="B379" s="285" t="s">
        <v>340</v>
      </c>
      <c r="C379" s="272">
        <v>40151</v>
      </c>
      <c r="D379" s="286" t="s">
        <v>32</v>
      </c>
      <c r="E379" s="230">
        <v>2</v>
      </c>
      <c r="F379" s="230">
        <v>1</v>
      </c>
      <c r="G379" s="230">
        <v>10</v>
      </c>
      <c r="H379" s="600">
        <v>2138.5</v>
      </c>
      <c r="I379" s="597">
        <v>534</v>
      </c>
      <c r="J379" s="110">
        <f>(I379/F379)</f>
        <v>534</v>
      </c>
      <c r="K379" s="218">
        <f>H379/I379</f>
        <v>4.004681647940075</v>
      </c>
      <c r="L379" s="43">
        <f>14952+6112+2196+2975+2853+674+1006+530+2139+2138.5</f>
        <v>35575.5</v>
      </c>
      <c r="M379" s="9">
        <f>1468+666+254+478+502+81+130+107+535+534</f>
        <v>4755</v>
      </c>
      <c r="N379" s="219">
        <f>L379/M379</f>
        <v>7.481703470031546</v>
      </c>
      <c r="O379" s="103">
        <v>369</v>
      </c>
    </row>
    <row r="380" spans="1:15" s="94" customFormat="1" ht="12" customHeight="1">
      <c r="A380" s="95">
        <v>370</v>
      </c>
      <c r="B380" s="504" t="s">
        <v>341</v>
      </c>
      <c r="C380" s="206">
        <v>40529</v>
      </c>
      <c r="D380" s="556" t="s">
        <v>32</v>
      </c>
      <c r="E380" s="220">
        <v>27</v>
      </c>
      <c r="F380" s="220">
        <v>1</v>
      </c>
      <c r="G380" s="220">
        <v>9</v>
      </c>
      <c r="H380" s="600">
        <v>1782</v>
      </c>
      <c r="I380" s="597">
        <v>446</v>
      </c>
      <c r="J380" s="307">
        <f>I380/F380</f>
        <v>446</v>
      </c>
      <c r="K380" s="359">
        <f>H380/I380</f>
        <v>3.995515695067265</v>
      </c>
      <c r="L380" s="43">
        <f>68045+25663+7073.5+5233+3859+470+100+1497+1782</f>
        <v>113722.5</v>
      </c>
      <c r="M380" s="9">
        <f>5442+2277+920+1185+711+78+13+218+446</f>
        <v>11290</v>
      </c>
      <c r="N380" s="102">
        <f>+L380/M380</f>
        <v>10.072852081488042</v>
      </c>
      <c r="O380" s="103">
        <v>370</v>
      </c>
    </row>
    <row r="381" spans="1:15" s="94" customFormat="1" ht="12" customHeight="1">
      <c r="A381" s="95">
        <v>371</v>
      </c>
      <c r="B381" s="285" t="s">
        <v>341</v>
      </c>
      <c r="C381" s="272">
        <v>40529</v>
      </c>
      <c r="D381" s="286" t="s">
        <v>32</v>
      </c>
      <c r="E381" s="230">
        <v>27</v>
      </c>
      <c r="F381" s="230">
        <v>1</v>
      </c>
      <c r="G381" s="230">
        <v>8</v>
      </c>
      <c r="H381" s="600">
        <v>1497</v>
      </c>
      <c r="I381" s="597">
        <v>218</v>
      </c>
      <c r="J381" s="110">
        <f>(I381/F381)</f>
        <v>218</v>
      </c>
      <c r="K381" s="218">
        <f>H381/I381</f>
        <v>6.86697247706422</v>
      </c>
      <c r="L381" s="43">
        <f>68045+25663+7073.5+5233+3859+470+100+1497</f>
        <v>111940.5</v>
      </c>
      <c r="M381" s="9">
        <f>5442+2277+920+1185+711+78+13+218</f>
        <v>10844</v>
      </c>
      <c r="N381" s="219">
        <f>L381/M381</f>
        <v>10.322805237919587</v>
      </c>
      <c r="O381" s="103">
        <v>371</v>
      </c>
    </row>
    <row r="382" spans="1:15" s="94" customFormat="1" ht="12" customHeight="1">
      <c r="A382" s="95">
        <v>372</v>
      </c>
      <c r="B382" s="215" t="s">
        <v>341</v>
      </c>
      <c r="C382" s="272">
        <v>40529</v>
      </c>
      <c r="D382" s="216" t="s">
        <v>32</v>
      </c>
      <c r="E382" s="217">
        <v>27</v>
      </c>
      <c r="F382" s="217">
        <v>1</v>
      </c>
      <c r="G382" s="217">
        <v>7</v>
      </c>
      <c r="H382" s="600">
        <v>100</v>
      </c>
      <c r="I382" s="597">
        <v>13</v>
      </c>
      <c r="J382" s="110">
        <f>(I382/F382)</f>
        <v>13</v>
      </c>
      <c r="K382" s="218">
        <f>H382/I382</f>
        <v>7.6923076923076925</v>
      </c>
      <c r="L382" s="43">
        <f>68045+25663+7073.5+5233+3859+470+100</f>
        <v>110443.5</v>
      </c>
      <c r="M382" s="9">
        <f>5442+2277+920+1185+711+78+13</f>
        <v>10626</v>
      </c>
      <c r="N382" s="219">
        <f>L382/M382</f>
        <v>10.393704121964992</v>
      </c>
      <c r="O382" s="103">
        <v>372</v>
      </c>
    </row>
    <row r="383" spans="1:15" s="94" customFormat="1" ht="12" customHeight="1">
      <c r="A383" s="95">
        <v>373</v>
      </c>
      <c r="B383" s="504" t="s">
        <v>341</v>
      </c>
      <c r="C383" s="505">
        <v>40529</v>
      </c>
      <c r="D383" s="216" t="s">
        <v>32</v>
      </c>
      <c r="E383" s="220">
        <v>27</v>
      </c>
      <c r="F383" s="220">
        <v>1</v>
      </c>
      <c r="G383" s="220">
        <v>6</v>
      </c>
      <c r="H383" s="600">
        <v>470</v>
      </c>
      <c r="I383" s="597">
        <v>78</v>
      </c>
      <c r="J383" s="110">
        <f>(I383/F383)</f>
        <v>78</v>
      </c>
      <c r="K383" s="218">
        <f>H383/I383</f>
        <v>6.0256410256410255</v>
      </c>
      <c r="L383" s="43">
        <f>68045+25663+7073.5+5233+3859+470</f>
        <v>110343.5</v>
      </c>
      <c r="M383" s="9">
        <f>5442+2277+920+1185+711+78</f>
        <v>10613</v>
      </c>
      <c r="N383" s="219">
        <f>L383/M383</f>
        <v>10.397013097145011</v>
      </c>
      <c r="O383" s="103">
        <v>373</v>
      </c>
    </row>
    <row r="384" spans="1:15" s="94" customFormat="1" ht="12" customHeight="1">
      <c r="A384" s="95">
        <v>374</v>
      </c>
      <c r="B384" s="287" t="s">
        <v>341</v>
      </c>
      <c r="C384" s="272">
        <v>40529</v>
      </c>
      <c r="D384" s="216" t="s">
        <v>32</v>
      </c>
      <c r="E384" s="230">
        <v>27</v>
      </c>
      <c r="F384" s="230">
        <v>2</v>
      </c>
      <c r="G384" s="230">
        <v>5</v>
      </c>
      <c r="H384" s="600">
        <v>3859</v>
      </c>
      <c r="I384" s="597">
        <v>711</v>
      </c>
      <c r="J384" s="110">
        <f>(I384/F384)</f>
        <v>355.5</v>
      </c>
      <c r="K384" s="218">
        <f>H384/I384</f>
        <v>5.427566807313643</v>
      </c>
      <c r="L384" s="43">
        <f>68045+25663+7073.5+5233+3859</f>
        <v>109873.5</v>
      </c>
      <c r="M384" s="9">
        <f>5442+2277+920+1185+711</f>
        <v>10535</v>
      </c>
      <c r="N384" s="219">
        <f>L384/M384</f>
        <v>10.42937826293308</v>
      </c>
      <c r="O384" s="103">
        <v>374</v>
      </c>
    </row>
    <row r="385" spans="1:15" s="94" customFormat="1" ht="12" customHeight="1">
      <c r="A385" s="95">
        <v>375</v>
      </c>
      <c r="B385" s="504" t="s">
        <v>341</v>
      </c>
      <c r="C385" s="505">
        <v>40529</v>
      </c>
      <c r="D385" s="216" t="s">
        <v>32</v>
      </c>
      <c r="E385" s="220">
        <v>27</v>
      </c>
      <c r="F385" s="220">
        <v>4</v>
      </c>
      <c r="G385" s="220">
        <v>4</v>
      </c>
      <c r="H385" s="600">
        <v>5233</v>
      </c>
      <c r="I385" s="597">
        <v>1185</v>
      </c>
      <c r="J385" s="110">
        <f>(I385/F385)</f>
        <v>296.25</v>
      </c>
      <c r="K385" s="218">
        <f>H385/I385</f>
        <v>4.4160337552742615</v>
      </c>
      <c r="L385" s="43">
        <f>68045+25663+7073.5+5233</f>
        <v>106014.5</v>
      </c>
      <c r="M385" s="9">
        <f>5442+2277+920+1185</f>
        <v>9824</v>
      </c>
      <c r="N385" s="219">
        <f>L385/M385</f>
        <v>10.79137825732899</v>
      </c>
      <c r="O385" s="103">
        <v>375</v>
      </c>
    </row>
    <row r="386" spans="1:15" s="94" customFormat="1" ht="12" customHeight="1">
      <c r="A386" s="95">
        <v>376</v>
      </c>
      <c r="B386" s="504" t="s">
        <v>341</v>
      </c>
      <c r="C386" s="272">
        <v>40529</v>
      </c>
      <c r="D386" s="216" t="s">
        <v>32</v>
      </c>
      <c r="E386" s="230">
        <v>27</v>
      </c>
      <c r="F386" s="230">
        <v>11</v>
      </c>
      <c r="G386" s="230">
        <v>3</v>
      </c>
      <c r="H386" s="609">
        <v>7073.5</v>
      </c>
      <c r="I386" s="597">
        <v>920</v>
      </c>
      <c r="J386" s="110">
        <f>(I386/F386)</f>
        <v>83.63636363636364</v>
      </c>
      <c r="K386" s="288">
        <f>H386/I386</f>
        <v>7.688586956521739</v>
      </c>
      <c r="L386" s="462">
        <f>68045+25663+7073.5</f>
        <v>100781.5</v>
      </c>
      <c r="M386" s="9">
        <f>5442+2277+920</f>
        <v>8639</v>
      </c>
      <c r="N386" s="219">
        <f>L386/M386</f>
        <v>11.665875680055562</v>
      </c>
      <c r="O386" s="103">
        <v>376</v>
      </c>
    </row>
    <row r="387" spans="1:15" s="94" customFormat="1" ht="12" customHeight="1">
      <c r="A387" s="95">
        <v>377</v>
      </c>
      <c r="B387" s="755" t="s">
        <v>404</v>
      </c>
      <c r="C387" s="650">
        <v>40333</v>
      </c>
      <c r="D387" s="556" t="s">
        <v>32</v>
      </c>
      <c r="E387" s="652">
        <v>4</v>
      </c>
      <c r="F387" s="220">
        <v>3</v>
      </c>
      <c r="G387" s="652">
        <v>11</v>
      </c>
      <c r="H387" s="600">
        <v>1188</v>
      </c>
      <c r="I387" s="597">
        <v>297</v>
      </c>
      <c r="J387" s="98">
        <f>I387/F387</f>
        <v>99</v>
      </c>
      <c r="K387" s="99">
        <f>H387/I387</f>
        <v>4</v>
      </c>
      <c r="L387" s="43">
        <f>24273.7+308+483+1188</f>
        <v>26252.7</v>
      </c>
      <c r="M387" s="9">
        <f>2830+67+68+297</f>
        <v>3262</v>
      </c>
      <c r="N387" s="102">
        <f>+L387/M387</f>
        <v>8.048038013488657</v>
      </c>
      <c r="O387" s="103">
        <v>377</v>
      </c>
    </row>
    <row r="388" spans="1:15" s="94" customFormat="1" ht="12" customHeight="1">
      <c r="A388" s="95">
        <v>378</v>
      </c>
      <c r="B388" s="557" t="s">
        <v>342</v>
      </c>
      <c r="C388" s="536">
        <v>40417</v>
      </c>
      <c r="D388" s="558" t="s">
        <v>10</v>
      </c>
      <c r="E388" s="6">
        <v>119</v>
      </c>
      <c r="F388" s="6">
        <v>1</v>
      </c>
      <c r="G388" s="6">
        <v>15</v>
      </c>
      <c r="H388" s="635">
        <v>941</v>
      </c>
      <c r="I388" s="598">
        <v>843</v>
      </c>
      <c r="J388" s="538">
        <f>I388/F388</f>
        <v>843</v>
      </c>
      <c r="K388" s="229">
        <f>H388/I388</f>
        <v>1.1162514827995256</v>
      </c>
      <c r="L388" s="539">
        <v>859853</v>
      </c>
      <c r="M388" s="42">
        <v>97516</v>
      </c>
      <c r="N388" s="301">
        <f>+L388/M388</f>
        <v>8.817558144304524</v>
      </c>
      <c r="O388" s="103">
        <v>378</v>
      </c>
    </row>
    <row r="389" spans="1:15" s="94" customFormat="1" ht="12" customHeight="1">
      <c r="A389" s="95">
        <v>379</v>
      </c>
      <c r="B389" s="563" t="s">
        <v>343</v>
      </c>
      <c r="C389" s="564">
        <v>40480</v>
      </c>
      <c r="D389" s="565" t="s">
        <v>8</v>
      </c>
      <c r="E389" s="381">
        <v>21</v>
      </c>
      <c r="F389" s="381">
        <v>3</v>
      </c>
      <c r="G389" s="381">
        <v>22</v>
      </c>
      <c r="H389" s="566">
        <v>2357</v>
      </c>
      <c r="I389" s="567">
        <v>335</v>
      </c>
      <c r="J389" s="98">
        <f>I389/F389</f>
        <v>111.66666666666667</v>
      </c>
      <c r="K389" s="99">
        <f>H389/I389</f>
        <v>7.035820895522388</v>
      </c>
      <c r="L389" s="45">
        <v>320593</v>
      </c>
      <c r="M389" s="47">
        <v>30325</v>
      </c>
      <c r="N389" s="102">
        <f>+L389/M389</f>
        <v>10.571904369332234</v>
      </c>
      <c r="O389" s="103">
        <v>379</v>
      </c>
    </row>
    <row r="390" spans="1:15" s="94" customFormat="1" ht="12" customHeight="1">
      <c r="A390" s="95">
        <v>380</v>
      </c>
      <c r="B390" s="557" t="s">
        <v>343</v>
      </c>
      <c r="C390" s="2">
        <v>40480</v>
      </c>
      <c r="D390" s="562" t="s">
        <v>8</v>
      </c>
      <c r="E390" s="6">
        <v>21</v>
      </c>
      <c r="F390" s="6">
        <v>9</v>
      </c>
      <c r="G390" s="6">
        <v>21</v>
      </c>
      <c r="H390" s="638">
        <v>6650</v>
      </c>
      <c r="I390" s="637">
        <v>974</v>
      </c>
      <c r="J390" s="538">
        <f>I390/F390</f>
        <v>108.22222222222223</v>
      </c>
      <c r="K390" s="229">
        <f>H390/I390</f>
        <v>6.827515400410678</v>
      </c>
      <c r="L390" s="7">
        <v>311586</v>
      </c>
      <c r="M390" s="8">
        <v>29016</v>
      </c>
      <c r="N390" s="302">
        <f>+L390/M390</f>
        <v>10.73842018196857</v>
      </c>
      <c r="O390" s="103">
        <v>380</v>
      </c>
    </row>
    <row r="391" spans="1:15" s="94" customFormat="1" ht="12" customHeight="1">
      <c r="A391" s="95">
        <v>381</v>
      </c>
      <c r="B391" s="557" t="s">
        <v>343</v>
      </c>
      <c r="C391" s="536">
        <v>40480</v>
      </c>
      <c r="D391" s="562" t="s">
        <v>8</v>
      </c>
      <c r="E391" s="6">
        <v>21</v>
      </c>
      <c r="F391" s="6">
        <v>2</v>
      </c>
      <c r="G391" s="6">
        <v>20</v>
      </c>
      <c r="H391" s="638">
        <v>1062</v>
      </c>
      <c r="I391" s="637">
        <v>160</v>
      </c>
      <c r="J391" s="98">
        <f>+I391/F391</f>
        <v>80</v>
      </c>
      <c r="K391" s="234">
        <f>+H391/I391</f>
        <v>6.6375</v>
      </c>
      <c r="L391" s="7">
        <v>311586</v>
      </c>
      <c r="M391" s="8">
        <v>29016</v>
      </c>
      <c r="N391" s="302">
        <f>+L391/M391</f>
        <v>10.73842018196857</v>
      </c>
      <c r="O391" s="103">
        <v>381</v>
      </c>
    </row>
    <row r="392" spans="1:15" s="94" customFormat="1" ht="12" customHeight="1">
      <c r="A392" s="95">
        <v>382</v>
      </c>
      <c r="B392" s="557" t="s">
        <v>343</v>
      </c>
      <c r="C392" s="536">
        <v>40480</v>
      </c>
      <c r="D392" s="562" t="s">
        <v>8</v>
      </c>
      <c r="E392" s="6">
        <v>21</v>
      </c>
      <c r="F392" s="6">
        <v>1</v>
      </c>
      <c r="G392" s="6">
        <v>19</v>
      </c>
      <c r="H392" s="638">
        <v>1048</v>
      </c>
      <c r="I392" s="637">
        <v>152</v>
      </c>
      <c r="J392" s="98">
        <f>+I392/F392</f>
        <v>152</v>
      </c>
      <c r="K392" s="233">
        <f>+H392/I392</f>
        <v>6.894736842105263</v>
      </c>
      <c r="L392" s="7">
        <v>310524</v>
      </c>
      <c r="M392" s="8">
        <v>28856</v>
      </c>
      <c r="N392" s="302">
        <f>+L392/M392</f>
        <v>10.761158857776545</v>
      </c>
      <c r="O392" s="103">
        <v>382</v>
      </c>
    </row>
    <row r="393" spans="1:15" s="94" customFormat="1" ht="12" customHeight="1">
      <c r="A393" s="95">
        <v>383</v>
      </c>
      <c r="B393" s="226" t="s">
        <v>343</v>
      </c>
      <c r="C393" s="2">
        <v>40480</v>
      </c>
      <c r="D393" s="21" t="s">
        <v>8</v>
      </c>
      <c r="E393" s="5">
        <v>21</v>
      </c>
      <c r="F393" s="5">
        <v>2</v>
      </c>
      <c r="G393" s="5">
        <v>18</v>
      </c>
      <c r="H393" s="590">
        <v>3250</v>
      </c>
      <c r="I393" s="637">
        <v>468</v>
      </c>
      <c r="J393" s="98">
        <f>+I393/F393</f>
        <v>234</v>
      </c>
      <c r="K393" s="234">
        <f>+H393/I393</f>
        <v>6.944444444444445</v>
      </c>
      <c r="L393" s="10">
        <v>309476</v>
      </c>
      <c r="M393" s="8">
        <v>28704</v>
      </c>
      <c r="N393" s="302">
        <f>+L393/M393</f>
        <v>10.781633221850614</v>
      </c>
      <c r="O393" s="103">
        <v>383</v>
      </c>
    </row>
    <row r="394" spans="1:15" s="94" customFormat="1" ht="12" customHeight="1">
      <c r="A394" s="95">
        <v>384</v>
      </c>
      <c r="B394" s="226" t="s">
        <v>343</v>
      </c>
      <c r="C394" s="2">
        <v>40480</v>
      </c>
      <c r="D394" s="21" t="s">
        <v>8</v>
      </c>
      <c r="E394" s="5">
        <v>21</v>
      </c>
      <c r="F394" s="5">
        <v>2</v>
      </c>
      <c r="G394" s="5">
        <v>17</v>
      </c>
      <c r="H394" s="590">
        <v>2367</v>
      </c>
      <c r="I394" s="637">
        <v>314</v>
      </c>
      <c r="J394" s="98">
        <f>+I394/F394</f>
        <v>157</v>
      </c>
      <c r="K394" s="234">
        <f>+H394/I394</f>
        <v>7.538216560509555</v>
      </c>
      <c r="L394" s="10">
        <v>306226</v>
      </c>
      <c r="M394" s="8">
        <v>28236</v>
      </c>
      <c r="N394" s="302">
        <f>+L394/M394</f>
        <v>10.84523303584077</v>
      </c>
      <c r="O394" s="103">
        <v>384</v>
      </c>
    </row>
    <row r="395" spans="1:15" s="94" customFormat="1" ht="12" customHeight="1">
      <c r="A395" s="95">
        <v>385</v>
      </c>
      <c r="B395" s="226" t="s">
        <v>343</v>
      </c>
      <c r="C395" s="2">
        <v>40480</v>
      </c>
      <c r="D395" s="21" t="s">
        <v>8</v>
      </c>
      <c r="E395" s="5">
        <v>21</v>
      </c>
      <c r="F395" s="5">
        <v>1</v>
      </c>
      <c r="G395" s="5">
        <v>16</v>
      </c>
      <c r="H395" s="590">
        <v>273</v>
      </c>
      <c r="I395" s="637">
        <v>53</v>
      </c>
      <c r="J395" s="98">
        <f>+I395/F395</f>
        <v>53</v>
      </c>
      <c r="K395" s="234">
        <f>+H395/I395</f>
        <v>5.150943396226415</v>
      </c>
      <c r="L395" s="10">
        <v>303859</v>
      </c>
      <c r="M395" s="8">
        <v>27922</v>
      </c>
      <c r="N395" s="302">
        <f>+L395/M395</f>
        <v>10.882422462574315</v>
      </c>
      <c r="O395" s="103">
        <v>385</v>
      </c>
    </row>
    <row r="396" spans="1:15" s="94" customFormat="1" ht="12" customHeight="1">
      <c r="A396" s="95">
        <v>386</v>
      </c>
      <c r="B396" s="226" t="s">
        <v>343</v>
      </c>
      <c r="C396" s="2">
        <v>40480</v>
      </c>
      <c r="D396" s="21" t="s">
        <v>8</v>
      </c>
      <c r="E396" s="5">
        <v>21</v>
      </c>
      <c r="F396" s="5">
        <v>1</v>
      </c>
      <c r="G396" s="5">
        <v>15</v>
      </c>
      <c r="H396" s="590">
        <v>484</v>
      </c>
      <c r="I396" s="591">
        <v>96</v>
      </c>
      <c r="J396" s="98">
        <f>+I396/F396</f>
        <v>96</v>
      </c>
      <c r="K396" s="234">
        <f>+H396/I396</f>
        <v>5.041666666666667</v>
      </c>
      <c r="L396" s="10">
        <v>303586</v>
      </c>
      <c r="M396" s="11">
        <v>27869</v>
      </c>
      <c r="N396" s="302">
        <f>+L396/M396</f>
        <v>10.89332232947002</v>
      </c>
      <c r="O396" s="103">
        <v>386</v>
      </c>
    </row>
    <row r="397" spans="1:15" s="94" customFormat="1" ht="12" customHeight="1">
      <c r="A397" s="95">
        <v>387</v>
      </c>
      <c r="B397" s="226" t="s">
        <v>343</v>
      </c>
      <c r="C397" s="2">
        <v>40480</v>
      </c>
      <c r="D397" s="20" t="s">
        <v>8</v>
      </c>
      <c r="E397" s="5">
        <v>21</v>
      </c>
      <c r="F397" s="5">
        <v>1</v>
      </c>
      <c r="G397" s="5">
        <v>14</v>
      </c>
      <c r="H397" s="627">
        <v>1028</v>
      </c>
      <c r="I397" s="628">
        <v>201</v>
      </c>
      <c r="J397" s="307">
        <f>+I397/F397</f>
        <v>201</v>
      </c>
      <c r="K397" s="233">
        <f>+H397/I397</f>
        <v>5.114427860696518</v>
      </c>
      <c r="L397" s="23">
        <v>303102</v>
      </c>
      <c r="M397" s="503">
        <v>27773</v>
      </c>
      <c r="N397" s="302">
        <f>+L397/M397</f>
        <v>10.913549130450438</v>
      </c>
      <c r="O397" s="103">
        <v>387</v>
      </c>
    </row>
    <row r="398" spans="1:15" s="94" customFormat="1" ht="12" customHeight="1">
      <c r="A398" s="95">
        <v>388</v>
      </c>
      <c r="B398" s="226" t="s">
        <v>343</v>
      </c>
      <c r="C398" s="2">
        <v>40480</v>
      </c>
      <c r="D398" s="20" t="s">
        <v>8</v>
      </c>
      <c r="E398" s="5">
        <v>21</v>
      </c>
      <c r="F398" s="5">
        <v>3</v>
      </c>
      <c r="G398" s="5">
        <v>13</v>
      </c>
      <c r="H398" s="590">
        <v>2972</v>
      </c>
      <c r="I398" s="591">
        <v>535</v>
      </c>
      <c r="J398" s="98">
        <f>+I398/F398</f>
        <v>178.33333333333334</v>
      </c>
      <c r="K398" s="234">
        <f>+H398/I398</f>
        <v>5.555140186915888</v>
      </c>
      <c r="L398" s="10">
        <v>302074</v>
      </c>
      <c r="M398" s="11">
        <v>27572</v>
      </c>
      <c r="N398" s="302">
        <f>+L398/M398</f>
        <v>10.95582474974612</v>
      </c>
      <c r="O398" s="103">
        <v>388</v>
      </c>
    </row>
    <row r="399" spans="1:15" s="94" customFormat="1" ht="12" customHeight="1">
      <c r="A399" s="95">
        <v>389</v>
      </c>
      <c r="B399" s="226" t="s">
        <v>343</v>
      </c>
      <c r="C399" s="2">
        <v>40480</v>
      </c>
      <c r="D399" s="21" t="s">
        <v>8</v>
      </c>
      <c r="E399" s="5">
        <v>21</v>
      </c>
      <c r="F399" s="5">
        <v>1</v>
      </c>
      <c r="G399" s="5">
        <v>12</v>
      </c>
      <c r="H399" s="590">
        <v>1139</v>
      </c>
      <c r="I399" s="591">
        <v>203</v>
      </c>
      <c r="J399" s="98">
        <f>+I399/F399</f>
        <v>203</v>
      </c>
      <c r="K399" s="234">
        <f>+H399/I399</f>
        <v>5.610837438423645</v>
      </c>
      <c r="L399" s="10">
        <v>299102</v>
      </c>
      <c r="M399" s="11">
        <v>27037</v>
      </c>
      <c r="N399" s="302">
        <f>+L399/M399</f>
        <v>11.062691866701186</v>
      </c>
      <c r="O399" s="103">
        <v>389</v>
      </c>
    </row>
    <row r="400" spans="1:15" s="94" customFormat="1" ht="12" customHeight="1">
      <c r="A400" s="95">
        <v>390</v>
      </c>
      <c r="B400" s="251" t="s">
        <v>343</v>
      </c>
      <c r="C400" s="2">
        <v>40480</v>
      </c>
      <c r="D400" s="25" t="s">
        <v>8</v>
      </c>
      <c r="E400" s="5">
        <v>21</v>
      </c>
      <c r="F400" s="5">
        <v>12</v>
      </c>
      <c r="G400" s="5">
        <v>10</v>
      </c>
      <c r="H400" s="636">
        <v>8985</v>
      </c>
      <c r="I400" s="637">
        <v>1356</v>
      </c>
      <c r="J400" s="98">
        <f>+I400/F400</f>
        <v>113</v>
      </c>
      <c r="K400" s="233">
        <f>+H400/I400</f>
        <v>6.626106194690266</v>
      </c>
      <c r="L400" s="561">
        <v>295457</v>
      </c>
      <c r="M400" s="8">
        <v>26551</v>
      </c>
      <c r="N400" s="302">
        <f>+L400/M400</f>
        <v>11.127904787013671</v>
      </c>
      <c r="O400" s="103">
        <v>390</v>
      </c>
    </row>
    <row r="401" spans="1:15" s="94" customFormat="1" ht="12" customHeight="1">
      <c r="A401" s="95">
        <v>391</v>
      </c>
      <c r="B401" s="226" t="s">
        <v>344</v>
      </c>
      <c r="C401" s="2">
        <v>37193</v>
      </c>
      <c r="D401" s="20" t="s">
        <v>8</v>
      </c>
      <c r="E401" s="5">
        <v>21</v>
      </c>
      <c r="F401" s="5">
        <v>1</v>
      </c>
      <c r="G401" s="5">
        <v>11</v>
      </c>
      <c r="H401" s="638">
        <v>2506</v>
      </c>
      <c r="I401" s="637">
        <v>283</v>
      </c>
      <c r="J401" s="98">
        <f>+I401/F401</f>
        <v>283</v>
      </c>
      <c r="K401" s="234">
        <f>+H401/I401</f>
        <v>8.855123674911662</v>
      </c>
      <c r="L401" s="7">
        <v>297963</v>
      </c>
      <c r="M401" s="8">
        <v>26834</v>
      </c>
      <c r="N401" s="302">
        <f>+L401/M401</f>
        <v>11.103935305955131</v>
      </c>
      <c r="O401" s="103">
        <v>391</v>
      </c>
    </row>
    <row r="402" spans="1:15" s="94" customFormat="1" ht="12" customHeight="1">
      <c r="A402" s="95">
        <v>392</v>
      </c>
      <c r="B402" s="468" t="s">
        <v>345</v>
      </c>
      <c r="C402" s="32">
        <v>39920</v>
      </c>
      <c r="D402" s="30" t="s">
        <v>32</v>
      </c>
      <c r="E402" s="33">
        <v>133</v>
      </c>
      <c r="F402" s="33">
        <v>1</v>
      </c>
      <c r="G402" s="33">
        <v>24</v>
      </c>
      <c r="H402" s="600">
        <v>14</v>
      </c>
      <c r="I402" s="597">
        <v>7</v>
      </c>
      <c r="J402" s="110">
        <f>(I402/F402)</f>
        <v>7</v>
      </c>
      <c r="K402" s="218">
        <f>H402/I402</f>
        <v>2</v>
      </c>
      <c r="L402" s="43">
        <f>814797.5+158602+44526+7105.5+1443+731+330+3273+1356+388+2317+2290.5+138+112.5+37+1136+51+98+1424+1780+1780+2020+4040+14</f>
        <v>1049790</v>
      </c>
      <c r="M402" s="9">
        <f>100614+19257+6285+1176+234+205+67+783+301+48+521+500+23+18+9+170+23+30+356+445+445+505+1010+7</f>
        <v>133032</v>
      </c>
      <c r="N402" s="219">
        <f>L402/M402</f>
        <v>7.891259245895724</v>
      </c>
      <c r="O402" s="103">
        <v>392</v>
      </c>
    </row>
    <row r="403" spans="1:15" s="94" customFormat="1" ht="12" customHeight="1">
      <c r="A403" s="95">
        <v>393</v>
      </c>
      <c r="B403" s="569" t="s">
        <v>346</v>
      </c>
      <c r="C403" s="536">
        <v>40473</v>
      </c>
      <c r="D403" s="537" t="s">
        <v>10</v>
      </c>
      <c r="E403" s="4">
        <v>74</v>
      </c>
      <c r="F403" s="4">
        <v>1</v>
      </c>
      <c r="G403" s="4">
        <v>12</v>
      </c>
      <c r="H403" s="445">
        <v>464</v>
      </c>
      <c r="I403" s="446">
        <v>380</v>
      </c>
      <c r="J403" s="538">
        <f>I403/F403</f>
        <v>380</v>
      </c>
      <c r="K403" s="229">
        <f>H403/I403</f>
        <v>1.2210526315789474</v>
      </c>
      <c r="L403" s="44">
        <v>983681</v>
      </c>
      <c r="M403" s="46">
        <v>85076</v>
      </c>
      <c r="N403" s="301">
        <f>+L403/M403</f>
        <v>11.562379519488458</v>
      </c>
      <c r="O403" s="103">
        <v>393</v>
      </c>
    </row>
    <row r="404" spans="1:15" s="94" customFormat="1" ht="12" customHeight="1">
      <c r="A404" s="95">
        <v>394</v>
      </c>
      <c r="B404" s="569" t="s">
        <v>346</v>
      </c>
      <c r="C404" s="536">
        <v>40473</v>
      </c>
      <c r="D404" s="537" t="s">
        <v>10</v>
      </c>
      <c r="E404" s="4">
        <v>74</v>
      </c>
      <c r="F404" s="4">
        <v>1</v>
      </c>
      <c r="G404" s="4">
        <v>11</v>
      </c>
      <c r="H404" s="445">
        <v>1190</v>
      </c>
      <c r="I404" s="446">
        <v>238</v>
      </c>
      <c r="J404" s="538">
        <f>I404/F404</f>
        <v>238</v>
      </c>
      <c r="K404" s="229">
        <f>H404/I404</f>
        <v>5</v>
      </c>
      <c r="L404" s="44">
        <v>983217</v>
      </c>
      <c r="M404" s="46">
        <v>84696</v>
      </c>
      <c r="N404" s="301">
        <f>+L404/M404</f>
        <v>11.608777274015301</v>
      </c>
      <c r="O404" s="103">
        <v>394</v>
      </c>
    </row>
    <row r="405" spans="1:15" s="94" customFormat="1" ht="12" customHeight="1">
      <c r="A405" s="95">
        <v>395</v>
      </c>
      <c r="B405" s="569" t="s">
        <v>346</v>
      </c>
      <c r="C405" s="536">
        <v>40473</v>
      </c>
      <c r="D405" s="537" t="s">
        <v>10</v>
      </c>
      <c r="E405" s="4">
        <v>74</v>
      </c>
      <c r="F405" s="4">
        <v>1</v>
      </c>
      <c r="G405" s="4">
        <v>10</v>
      </c>
      <c r="H405" s="445">
        <v>775</v>
      </c>
      <c r="I405" s="446">
        <v>79</v>
      </c>
      <c r="J405" s="538">
        <f>I405/F405</f>
        <v>79</v>
      </c>
      <c r="K405" s="229">
        <f>H405/I405</f>
        <v>9.810126582278482</v>
      </c>
      <c r="L405" s="44">
        <f>981252+775</f>
        <v>982027</v>
      </c>
      <c r="M405" s="46">
        <f>84379+79</f>
        <v>84458</v>
      </c>
      <c r="N405" s="301">
        <f>+L405/M405</f>
        <v>11.627400601482394</v>
      </c>
      <c r="O405" s="103">
        <v>395</v>
      </c>
    </row>
    <row r="406" spans="1:15" s="94" customFormat="1" ht="12" customHeight="1">
      <c r="A406" s="95">
        <v>396</v>
      </c>
      <c r="B406" s="569" t="s">
        <v>346</v>
      </c>
      <c r="C406" s="536">
        <v>40473</v>
      </c>
      <c r="D406" s="537" t="s">
        <v>10</v>
      </c>
      <c r="E406" s="4">
        <v>74</v>
      </c>
      <c r="F406" s="4">
        <v>1</v>
      </c>
      <c r="G406" s="4">
        <v>9</v>
      </c>
      <c r="H406" s="445">
        <v>3572</v>
      </c>
      <c r="I406" s="446">
        <v>893</v>
      </c>
      <c r="J406" s="538">
        <f>I406/F406</f>
        <v>893</v>
      </c>
      <c r="K406" s="229">
        <f>H406/I406</f>
        <v>4</v>
      </c>
      <c r="L406" s="44">
        <v>981252</v>
      </c>
      <c r="M406" s="46">
        <v>84379</v>
      </c>
      <c r="N406" s="301">
        <f>+L406/M406</f>
        <v>11.62910202775572</v>
      </c>
      <c r="O406" s="103">
        <v>396</v>
      </c>
    </row>
    <row r="407" spans="1:15" s="94" customFormat="1" ht="12" customHeight="1">
      <c r="A407" s="95">
        <v>397</v>
      </c>
      <c r="B407" s="569" t="s">
        <v>347</v>
      </c>
      <c r="C407" s="536">
        <v>40312</v>
      </c>
      <c r="D407" s="537" t="s">
        <v>21</v>
      </c>
      <c r="E407" s="4">
        <v>64</v>
      </c>
      <c r="F407" s="4">
        <v>1</v>
      </c>
      <c r="G407" s="4">
        <v>22</v>
      </c>
      <c r="H407" s="566">
        <v>2376</v>
      </c>
      <c r="I407" s="567">
        <v>475</v>
      </c>
      <c r="J407" s="98">
        <f>IF(H407&lt;&gt;0,I407/F407,"")</f>
        <v>475</v>
      </c>
      <c r="K407" s="234">
        <f>IF(H407&lt;&gt;0,H407/I407,"")</f>
        <v>5.002105263157895</v>
      </c>
      <c r="L407" s="45">
        <f>384993+315+150+24+2376</f>
        <v>387858</v>
      </c>
      <c r="M407" s="40">
        <f>43717+38+25+4+475</f>
        <v>44259</v>
      </c>
      <c r="N407" s="302">
        <f>IF(L407&lt;&gt;0,L407/M407,"")</f>
        <v>8.76337016200095</v>
      </c>
      <c r="O407" s="103">
        <v>397</v>
      </c>
    </row>
    <row r="408" spans="1:15" s="94" customFormat="1" ht="12" customHeight="1">
      <c r="A408" s="95">
        <v>398</v>
      </c>
      <c r="B408" s="563" t="s">
        <v>348</v>
      </c>
      <c r="C408" s="564">
        <v>40522</v>
      </c>
      <c r="D408" s="565" t="s">
        <v>8</v>
      </c>
      <c r="E408" s="6">
        <v>110</v>
      </c>
      <c r="F408" s="6">
        <v>1</v>
      </c>
      <c r="G408" s="401">
        <v>14</v>
      </c>
      <c r="H408" s="638">
        <v>362</v>
      </c>
      <c r="I408" s="637">
        <v>61</v>
      </c>
      <c r="J408" s="98">
        <f>I408/F408</f>
        <v>61</v>
      </c>
      <c r="K408" s="99">
        <f>H408/I408</f>
        <v>5.934426229508197</v>
      </c>
      <c r="L408" s="7">
        <v>5015111</v>
      </c>
      <c r="M408" s="8">
        <v>477329</v>
      </c>
      <c r="N408" s="102">
        <f>+L408/M408</f>
        <v>10.506612839362369</v>
      </c>
      <c r="O408" s="103">
        <v>398</v>
      </c>
    </row>
    <row r="409" spans="1:15" s="94" customFormat="1" ht="12" customHeight="1">
      <c r="A409" s="95">
        <v>399</v>
      </c>
      <c r="B409" s="557" t="s">
        <v>348</v>
      </c>
      <c r="C409" s="536">
        <v>40522</v>
      </c>
      <c r="D409" s="562" t="s">
        <v>8</v>
      </c>
      <c r="E409" s="6">
        <v>110</v>
      </c>
      <c r="F409" s="6">
        <v>4</v>
      </c>
      <c r="G409" s="6">
        <v>13</v>
      </c>
      <c r="H409" s="590">
        <v>2400</v>
      </c>
      <c r="I409" s="591">
        <v>492</v>
      </c>
      <c r="J409" s="98">
        <f>+I409/F409</f>
        <v>123</v>
      </c>
      <c r="K409" s="234">
        <f>+H409/I409</f>
        <v>4.878048780487805</v>
      </c>
      <c r="L409" s="10">
        <v>5014749</v>
      </c>
      <c r="M409" s="11">
        <v>477268</v>
      </c>
      <c r="N409" s="302">
        <f>+L409/M409</f>
        <v>10.507197214143835</v>
      </c>
      <c r="O409" s="103">
        <v>399</v>
      </c>
    </row>
    <row r="410" spans="1:15" s="94" customFormat="1" ht="12" customHeight="1">
      <c r="A410" s="95">
        <v>400</v>
      </c>
      <c r="B410" s="557" t="s">
        <v>348</v>
      </c>
      <c r="C410" s="536">
        <v>40522</v>
      </c>
      <c r="D410" s="558" t="s">
        <v>8</v>
      </c>
      <c r="E410" s="6">
        <v>110</v>
      </c>
      <c r="F410" s="6">
        <v>2</v>
      </c>
      <c r="G410" s="6">
        <v>12</v>
      </c>
      <c r="H410" s="636">
        <v>496</v>
      </c>
      <c r="I410" s="639">
        <v>75</v>
      </c>
      <c r="J410" s="307">
        <f>+I410/F410</f>
        <v>37.5</v>
      </c>
      <c r="K410" s="233">
        <f>+H410/I410</f>
        <v>6.613333333333333</v>
      </c>
      <c r="L410" s="561">
        <v>5012349</v>
      </c>
      <c r="M410" s="568">
        <v>476776</v>
      </c>
      <c r="N410" s="302">
        <f>+L410/M410</f>
        <v>10.513006107689984</v>
      </c>
      <c r="O410" s="103">
        <v>400</v>
      </c>
    </row>
    <row r="411" spans="1:15" s="94" customFormat="1" ht="12" customHeight="1">
      <c r="A411" s="95">
        <v>401</v>
      </c>
      <c r="B411" s="557" t="s">
        <v>348</v>
      </c>
      <c r="C411" s="536">
        <v>40522</v>
      </c>
      <c r="D411" s="558" t="s">
        <v>8</v>
      </c>
      <c r="E411" s="6">
        <v>110</v>
      </c>
      <c r="F411" s="6">
        <v>9</v>
      </c>
      <c r="G411" s="6">
        <v>11</v>
      </c>
      <c r="H411" s="638">
        <v>3734</v>
      </c>
      <c r="I411" s="637">
        <v>594</v>
      </c>
      <c r="J411" s="98">
        <f>+I411/F411</f>
        <v>66</v>
      </c>
      <c r="K411" s="234">
        <f>+H411/I411</f>
        <v>6.286195286195286</v>
      </c>
      <c r="L411" s="7">
        <v>5011853</v>
      </c>
      <c r="M411" s="8">
        <v>476701</v>
      </c>
      <c r="N411" s="302">
        <f>+L411/M411</f>
        <v>10.513619648374977</v>
      </c>
      <c r="O411" s="103">
        <v>401</v>
      </c>
    </row>
    <row r="412" spans="1:15" s="94" customFormat="1" ht="12" customHeight="1">
      <c r="A412" s="95">
        <v>402</v>
      </c>
      <c r="B412" s="557" t="s">
        <v>348</v>
      </c>
      <c r="C412" s="536">
        <v>40522</v>
      </c>
      <c r="D412" s="562" t="s">
        <v>8</v>
      </c>
      <c r="E412" s="6">
        <v>110</v>
      </c>
      <c r="F412" s="6">
        <v>6</v>
      </c>
      <c r="G412" s="6">
        <v>10</v>
      </c>
      <c r="H412" s="590">
        <v>4744</v>
      </c>
      <c r="I412" s="591">
        <v>1467</v>
      </c>
      <c r="J412" s="98">
        <f>+I412/F412</f>
        <v>244.5</v>
      </c>
      <c r="K412" s="234">
        <f>+H412/I412</f>
        <v>3.2338104976141784</v>
      </c>
      <c r="L412" s="10">
        <v>5008119</v>
      </c>
      <c r="M412" s="11">
        <v>476107</v>
      </c>
      <c r="N412" s="302">
        <f>+L412/M412</f>
        <v>10.518893862094025</v>
      </c>
      <c r="O412" s="103">
        <v>402</v>
      </c>
    </row>
    <row r="413" spans="1:15" s="94" customFormat="1" ht="12" customHeight="1">
      <c r="A413" s="95">
        <v>403</v>
      </c>
      <c r="B413" s="226" t="s">
        <v>348</v>
      </c>
      <c r="C413" s="2">
        <v>40522</v>
      </c>
      <c r="D413" s="20" t="s">
        <v>8</v>
      </c>
      <c r="E413" s="5">
        <v>110</v>
      </c>
      <c r="F413" s="5">
        <v>6</v>
      </c>
      <c r="G413" s="5">
        <v>9</v>
      </c>
      <c r="H413" s="638">
        <v>4075</v>
      </c>
      <c r="I413" s="637">
        <v>848</v>
      </c>
      <c r="J413" s="98">
        <f>+I413/F413</f>
        <v>141.33333333333334</v>
      </c>
      <c r="K413" s="234">
        <f>+H413/I413</f>
        <v>4.805424528301887</v>
      </c>
      <c r="L413" s="7">
        <v>5003375</v>
      </c>
      <c r="M413" s="8">
        <v>474640</v>
      </c>
      <c r="N413" s="232">
        <f>+L413/M413</f>
        <v>10.541410332041126</v>
      </c>
      <c r="O413" s="103">
        <v>403</v>
      </c>
    </row>
    <row r="414" spans="1:15" s="94" customFormat="1" ht="12" customHeight="1">
      <c r="A414" s="95">
        <v>404</v>
      </c>
      <c r="B414" s="557" t="s">
        <v>348</v>
      </c>
      <c r="C414" s="536">
        <v>40522</v>
      </c>
      <c r="D414" s="562" t="s">
        <v>8</v>
      </c>
      <c r="E414" s="6">
        <v>110</v>
      </c>
      <c r="F414" s="6">
        <v>7</v>
      </c>
      <c r="G414" s="6">
        <v>8</v>
      </c>
      <c r="H414" s="590">
        <v>3338</v>
      </c>
      <c r="I414" s="591">
        <v>492</v>
      </c>
      <c r="J414" s="98">
        <f>+I414/F414</f>
        <v>70.28571428571429</v>
      </c>
      <c r="K414" s="234">
        <f>+H414/I414</f>
        <v>6.784552845528455</v>
      </c>
      <c r="L414" s="10">
        <v>4999300</v>
      </c>
      <c r="M414" s="11">
        <v>473792</v>
      </c>
      <c r="N414" s="301">
        <f>+L414/M414</f>
        <v>10.551676685127651</v>
      </c>
      <c r="O414" s="103">
        <v>404</v>
      </c>
    </row>
    <row r="415" spans="1:15" s="94" customFormat="1" ht="12" customHeight="1">
      <c r="A415" s="95">
        <v>405</v>
      </c>
      <c r="B415" s="559" t="s">
        <v>348</v>
      </c>
      <c r="C415" s="536">
        <v>40522</v>
      </c>
      <c r="D415" s="562" t="s">
        <v>8</v>
      </c>
      <c r="E415" s="6">
        <v>110</v>
      </c>
      <c r="F415" s="6">
        <v>32</v>
      </c>
      <c r="G415" s="6">
        <v>7</v>
      </c>
      <c r="H415" s="590">
        <v>51075</v>
      </c>
      <c r="I415" s="591">
        <v>6840</v>
      </c>
      <c r="J415" s="110">
        <f>(I415/F415)</f>
        <v>213.75</v>
      </c>
      <c r="K415" s="218">
        <f>H415/I415</f>
        <v>7.467105263157895</v>
      </c>
      <c r="L415" s="10">
        <v>4995963</v>
      </c>
      <c r="M415" s="11">
        <v>473300</v>
      </c>
      <c r="N415" s="219">
        <f>L415/M415</f>
        <v>10.55559476019438</v>
      </c>
      <c r="O415" s="103">
        <v>405</v>
      </c>
    </row>
    <row r="416" spans="1:15" s="94" customFormat="1" ht="12" customHeight="1">
      <c r="A416" s="95">
        <v>406</v>
      </c>
      <c r="B416" s="557" t="s">
        <v>348</v>
      </c>
      <c r="C416" s="2">
        <v>40522</v>
      </c>
      <c r="D416" s="20" t="s">
        <v>8</v>
      </c>
      <c r="E416" s="6">
        <v>110</v>
      </c>
      <c r="F416" s="6">
        <v>66</v>
      </c>
      <c r="G416" s="6">
        <v>6</v>
      </c>
      <c r="H416" s="638">
        <v>118638</v>
      </c>
      <c r="I416" s="637">
        <v>12477</v>
      </c>
      <c r="J416" s="98">
        <f>+I416/F416</f>
        <v>189.04545454545453</v>
      </c>
      <c r="K416" s="234">
        <f>+H416/I416</f>
        <v>9.508535705698485</v>
      </c>
      <c r="L416" s="7">
        <v>4944888</v>
      </c>
      <c r="M416" s="8">
        <v>466460</v>
      </c>
      <c r="N416" s="302">
        <f>+L416/M416</f>
        <v>10.600883248295673</v>
      </c>
      <c r="O416" s="103">
        <v>406</v>
      </c>
    </row>
    <row r="417" spans="1:15" s="94" customFormat="1" ht="12" customHeight="1">
      <c r="A417" s="95">
        <v>407</v>
      </c>
      <c r="B417" s="557" t="s">
        <v>348</v>
      </c>
      <c r="C417" s="536">
        <v>40522</v>
      </c>
      <c r="D417" s="560" t="s">
        <v>8</v>
      </c>
      <c r="E417" s="6">
        <v>110</v>
      </c>
      <c r="F417" s="5">
        <v>71</v>
      </c>
      <c r="G417" s="5">
        <v>5</v>
      </c>
      <c r="H417" s="590">
        <v>224162</v>
      </c>
      <c r="I417" s="591">
        <v>19224</v>
      </c>
      <c r="J417" s="98">
        <f>+I417/F417</f>
        <v>270.76056338028167</v>
      </c>
      <c r="K417" s="234">
        <f>+H417/I417</f>
        <v>11.660528506034124</v>
      </c>
      <c r="L417" s="10">
        <v>4826250</v>
      </c>
      <c r="M417" s="11">
        <v>453983</v>
      </c>
      <c r="N417" s="302">
        <f>+L417/M417</f>
        <v>10.63090468145283</v>
      </c>
      <c r="O417" s="103">
        <v>407</v>
      </c>
    </row>
    <row r="418" spans="1:15" s="94" customFormat="1" ht="12" customHeight="1">
      <c r="A418" s="95">
        <v>408</v>
      </c>
      <c r="B418" s="559" t="s">
        <v>348</v>
      </c>
      <c r="C418" s="536">
        <v>40522</v>
      </c>
      <c r="D418" s="560" t="s">
        <v>8</v>
      </c>
      <c r="E418" s="6">
        <v>110</v>
      </c>
      <c r="F418" s="5">
        <v>110</v>
      </c>
      <c r="G418" s="5">
        <v>4</v>
      </c>
      <c r="H418" s="627">
        <v>694041</v>
      </c>
      <c r="I418" s="591">
        <v>64977</v>
      </c>
      <c r="J418" s="98">
        <f>+I418/F418</f>
        <v>590.7</v>
      </c>
      <c r="K418" s="233">
        <f>+H418/I418</f>
        <v>10.681333394893578</v>
      </c>
      <c r="L418" s="23">
        <v>4602088</v>
      </c>
      <c r="M418" s="11">
        <v>434759</v>
      </c>
      <c r="N418" s="302">
        <f>+L418/M418</f>
        <v>10.5853771859812</v>
      </c>
      <c r="O418" s="103">
        <v>408</v>
      </c>
    </row>
    <row r="419" spans="1:15" s="94" customFormat="1" ht="12" customHeight="1">
      <c r="A419" s="95">
        <v>409</v>
      </c>
      <c r="B419" s="226" t="s">
        <v>349</v>
      </c>
      <c r="C419" s="2">
        <v>40536</v>
      </c>
      <c r="D419" s="558" t="s">
        <v>10</v>
      </c>
      <c r="E419" s="5">
        <v>48</v>
      </c>
      <c r="F419" s="5">
        <v>2</v>
      </c>
      <c r="G419" s="5">
        <v>11</v>
      </c>
      <c r="H419" s="445">
        <v>2258</v>
      </c>
      <c r="I419" s="446">
        <v>388</v>
      </c>
      <c r="J419" s="538">
        <f>I419/F419</f>
        <v>194</v>
      </c>
      <c r="K419" s="571">
        <f>H419/I419</f>
        <v>5.819587628865979</v>
      </c>
      <c r="L419" s="44">
        <v>706152</v>
      </c>
      <c r="M419" s="46">
        <v>63570</v>
      </c>
      <c r="N419" s="301">
        <f>+L419/M419</f>
        <v>11.10825861255309</v>
      </c>
      <c r="O419" s="103">
        <v>409</v>
      </c>
    </row>
    <row r="420" spans="1:15" s="94" customFormat="1" ht="12" customHeight="1">
      <c r="A420" s="95">
        <v>410</v>
      </c>
      <c r="B420" s="221" t="s">
        <v>349</v>
      </c>
      <c r="C420" s="2">
        <v>40536</v>
      </c>
      <c r="D420" s="537" t="s">
        <v>10</v>
      </c>
      <c r="E420" s="3">
        <v>48</v>
      </c>
      <c r="F420" s="3">
        <v>1</v>
      </c>
      <c r="G420" s="3">
        <v>10</v>
      </c>
      <c r="H420" s="445">
        <v>1190</v>
      </c>
      <c r="I420" s="446">
        <v>396</v>
      </c>
      <c r="J420" s="538">
        <f>I420/F420</f>
        <v>396</v>
      </c>
      <c r="K420" s="229">
        <f>H420/I420</f>
        <v>3.005050505050505</v>
      </c>
      <c r="L420" s="44">
        <v>703894</v>
      </c>
      <c r="M420" s="46">
        <v>63182</v>
      </c>
      <c r="N420" s="301">
        <f>+L420/M420</f>
        <v>11.140736285650977</v>
      </c>
      <c r="O420" s="103">
        <v>410</v>
      </c>
    </row>
    <row r="421" spans="1:15" s="94" customFormat="1" ht="12" customHeight="1">
      <c r="A421" s="95">
        <v>411</v>
      </c>
      <c r="B421" s="226" t="s">
        <v>349</v>
      </c>
      <c r="C421" s="2">
        <v>40536</v>
      </c>
      <c r="D421" s="558" t="s">
        <v>10</v>
      </c>
      <c r="E421" s="5">
        <v>48</v>
      </c>
      <c r="F421" s="5">
        <v>4</v>
      </c>
      <c r="G421" s="5">
        <v>9</v>
      </c>
      <c r="H421" s="445">
        <v>3417</v>
      </c>
      <c r="I421" s="446">
        <v>493</v>
      </c>
      <c r="J421" s="538">
        <f>I421/F421</f>
        <v>123.25</v>
      </c>
      <c r="K421" s="229">
        <f>H421/I421</f>
        <v>6.931034482758621</v>
      </c>
      <c r="L421" s="44">
        <v>702704</v>
      </c>
      <c r="M421" s="46">
        <v>62786</v>
      </c>
      <c r="N421" s="301">
        <f>+L421/M421</f>
        <v>11.192049182938872</v>
      </c>
      <c r="O421" s="103">
        <v>411</v>
      </c>
    </row>
    <row r="422" spans="1:15" s="94" customFormat="1" ht="12" customHeight="1">
      <c r="A422" s="95">
        <v>412</v>
      </c>
      <c r="B422" s="569" t="s">
        <v>349</v>
      </c>
      <c r="C422" s="536">
        <v>40536</v>
      </c>
      <c r="D422" s="537" t="s">
        <v>10</v>
      </c>
      <c r="E422" s="4">
        <v>48</v>
      </c>
      <c r="F422" s="3">
        <v>5</v>
      </c>
      <c r="G422" s="3">
        <v>8</v>
      </c>
      <c r="H422" s="445">
        <v>2592</v>
      </c>
      <c r="I422" s="446">
        <v>363</v>
      </c>
      <c r="J422" s="538">
        <f>I422/F422</f>
        <v>72.6</v>
      </c>
      <c r="K422" s="229">
        <f>H422/I422</f>
        <v>7.140495867768595</v>
      </c>
      <c r="L422" s="44">
        <v>699287</v>
      </c>
      <c r="M422" s="46">
        <v>62293</v>
      </c>
      <c r="N422" s="301">
        <f>+L422/M422</f>
        <v>11.225771756056057</v>
      </c>
      <c r="O422" s="103">
        <v>412</v>
      </c>
    </row>
    <row r="423" spans="1:15" s="94" customFormat="1" ht="12" customHeight="1">
      <c r="A423" s="95">
        <v>413</v>
      </c>
      <c r="B423" s="557" t="s">
        <v>349</v>
      </c>
      <c r="C423" s="2">
        <v>40536</v>
      </c>
      <c r="D423" s="20" t="s">
        <v>10</v>
      </c>
      <c r="E423" s="6">
        <v>48</v>
      </c>
      <c r="F423" s="5">
        <v>2</v>
      </c>
      <c r="G423" s="5">
        <v>7</v>
      </c>
      <c r="H423" s="445">
        <v>2498</v>
      </c>
      <c r="I423" s="446">
        <v>822</v>
      </c>
      <c r="J423" s="538">
        <f>I423/F423</f>
        <v>411</v>
      </c>
      <c r="K423" s="229">
        <f>H423/I423</f>
        <v>3.0389294403892944</v>
      </c>
      <c r="L423" s="44">
        <v>696695</v>
      </c>
      <c r="M423" s="46">
        <v>61930</v>
      </c>
      <c r="N423" s="301">
        <f>+L423/M423</f>
        <v>11.249717422896818</v>
      </c>
      <c r="O423" s="103">
        <v>413</v>
      </c>
    </row>
    <row r="424" spans="1:15" s="94" customFormat="1" ht="12" customHeight="1">
      <c r="A424" s="95">
        <v>414</v>
      </c>
      <c r="B424" s="569" t="s">
        <v>349</v>
      </c>
      <c r="C424" s="536">
        <v>40536</v>
      </c>
      <c r="D424" s="537" t="s">
        <v>10</v>
      </c>
      <c r="E424" s="4">
        <v>48</v>
      </c>
      <c r="F424" s="3">
        <v>3</v>
      </c>
      <c r="G424" s="3">
        <v>6</v>
      </c>
      <c r="H424" s="445">
        <v>2270</v>
      </c>
      <c r="I424" s="446">
        <v>656</v>
      </c>
      <c r="J424" s="538">
        <f>I424/F424</f>
        <v>218.66666666666666</v>
      </c>
      <c r="K424" s="229">
        <f>H424/I424</f>
        <v>3.4603658536585367</v>
      </c>
      <c r="L424" s="44">
        <v>694197</v>
      </c>
      <c r="M424" s="46">
        <v>61108</v>
      </c>
      <c r="N424" s="301">
        <f>+L424/M424</f>
        <v>11.360165608430975</v>
      </c>
      <c r="O424" s="103">
        <v>414</v>
      </c>
    </row>
    <row r="425" spans="1:15" s="94" customFormat="1" ht="12" customHeight="1">
      <c r="A425" s="95">
        <v>415</v>
      </c>
      <c r="B425" s="535" t="s">
        <v>349</v>
      </c>
      <c r="C425" s="536">
        <v>40536</v>
      </c>
      <c r="D425" s="537" t="s">
        <v>10</v>
      </c>
      <c r="E425" s="4">
        <v>48</v>
      </c>
      <c r="F425" s="3">
        <v>10</v>
      </c>
      <c r="G425" s="3">
        <v>5</v>
      </c>
      <c r="H425" s="445">
        <v>11003</v>
      </c>
      <c r="I425" s="446">
        <v>1816</v>
      </c>
      <c r="J425" s="538">
        <f>I425/F425</f>
        <v>181.6</v>
      </c>
      <c r="K425" s="229">
        <f>H425/I425</f>
        <v>6.058920704845815</v>
      </c>
      <c r="L425" s="44">
        <v>691927</v>
      </c>
      <c r="M425" s="46">
        <v>60452</v>
      </c>
      <c r="N425" s="301">
        <f>+L425/M425</f>
        <v>11.445890954807119</v>
      </c>
      <c r="O425" s="103">
        <v>415</v>
      </c>
    </row>
    <row r="426" spans="1:15" s="94" customFormat="1" ht="12" customHeight="1">
      <c r="A426" s="95">
        <v>416</v>
      </c>
      <c r="B426" s="557" t="s">
        <v>349</v>
      </c>
      <c r="C426" s="536">
        <v>40536</v>
      </c>
      <c r="D426" s="558" t="s">
        <v>10</v>
      </c>
      <c r="E426" s="6">
        <v>48</v>
      </c>
      <c r="F426" s="5">
        <v>7</v>
      </c>
      <c r="G426" s="5">
        <v>4</v>
      </c>
      <c r="H426" s="445">
        <v>8376</v>
      </c>
      <c r="I426" s="446">
        <v>1059</v>
      </c>
      <c r="J426" s="538">
        <f>I426/F426</f>
        <v>151.28571428571428</v>
      </c>
      <c r="K426" s="229">
        <f>H426/I426</f>
        <v>7.909348441926346</v>
      </c>
      <c r="L426" s="44">
        <v>680924</v>
      </c>
      <c r="M426" s="46">
        <v>58636</v>
      </c>
      <c r="N426" s="301">
        <f>+L426/M426</f>
        <v>11.612729381267481</v>
      </c>
      <c r="O426" s="103">
        <v>416</v>
      </c>
    </row>
    <row r="427" spans="1:15" s="94" customFormat="1" ht="12" customHeight="1">
      <c r="A427" s="95">
        <v>417</v>
      </c>
      <c r="B427" s="569" t="s">
        <v>349</v>
      </c>
      <c r="C427" s="536">
        <v>40536</v>
      </c>
      <c r="D427" s="664" t="s">
        <v>10</v>
      </c>
      <c r="E427" s="4">
        <v>48</v>
      </c>
      <c r="F427" s="3">
        <v>36</v>
      </c>
      <c r="G427" s="3">
        <v>3</v>
      </c>
      <c r="H427" s="445">
        <v>66790</v>
      </c>
      <c r="I427" s="446">
        <v>5435</v>
      </c>
      <c r="J427" s="538">
        <f>I427/F427</f>
        <v>150.97222222222223</v>
      </c>
      <c r="K427" s="229">
        <f>H427/I427</f>
        <v>12.288868445262189</v>
      </c>
      <c r="L427" s="44">
        <v>672548</v>
      </c>
      <c r="M427" s="46">
        <v>57577</v>
      </c>
      <c r="N427" s="301">
        <f>+L427/M427</f>
        <v>11.6808447817705</v>
      </c>
      <c r="O427" s="103">
        <v>417</v>
      </c>
    </row>
    <row r="428" spans="1:15" s="94" customFormat="1" ht="12" customHeight="1">
      <c r="A428" s="95">
        <v>418</v>
      </c>
      <c r="B428" s="223" t="s">
        <v>349</v>
      </c>
      <c r="C428" s="2">
        <v>40536</v>
      </c>
      <c r="D428" s="664" t="s">
        <v>10</v>
      </c>
      <c r="E428" s="3">
        <v>48</v>
      </c>
      <c r="F428" s="3">
        <v>48</v>
      </c>
      <c r="G428" s="3">
        <v>2</v>
      </c>
      <c r="H428" s="612">
        <v>281047</v>
      </c>
      <c r="I428" s="446">
        <v>23436</v>
      </c>
      <c r="J428" s="538">
        <f>I428/F428</f>
        <v>488.25</v>
      </c>
      <c r="K428" s="570">
        <f>+H428/I428</f>
        <v>11.992106161461</v>
      </c>
      <c r="L428" s="225">
        <v>605758</v>
      </c>
      <c r="M428" s="46">
        <v>52142</v>
      </c>
      <c r="N428" s="301">
        <f>+L428/M428</f>
        <v>11.61746768440029</v>
      </c>
      <c r="O428" s="103">
        <v>418</v>
      </c>
    </row>
    <row r="429" spans="1:15" s="94" customFormat="1" ht="12" customHeight="1">
      <c r="A429" s="95">
        <v>419</v>
      </c>
      <c r="B429" s="557" t="s">
        <v>350</v>
      </c>
      <c r="C429" s="536">
        <v>39577</v>
      </c>
      <c r="D429" s="558" t="s">
        <v>82</v>
      </c>
      <c r="E429" s="6">
        <v>26</v>
      </c>
      <c r="F429" s="5">
        <v>1</v>
      </c>
      <c r="G429" s="5">
        <v>16</v>
      </c>
      <c r="H429" s="627">
        <v>1188</v>
      </c>
      <c r="I429" s="628">
        <v>198</v>
      </c>
      <c r="J429" s="572">
        <f>I429/F429</f>
        <v>198</v>
      </c>
      <c r="K429" s="573">
        <f>H429/I429</f>
        <v>6</v>
      </c>
      <c r="L429" s="23">
        <v>117962.42</v>
      </c>
      <c r="M429" s="503">
        <v>13895</v>
      </c>
      <c r="N429" s="574">
        <f>+L429/M429</f>
        <v>8.48955883411299</v>
      </c>
      <c r="O429" s="103">
        <v>419</v>
      </c>
    </row>
    <row r="430" spans="1:15" s="94" customFormat="1" ht="12" customHeight="1">
      <c r="A430" s="95">
        <v>420</v>
      </c>
      <c r="B430" s="502" t="s">
        <v>402</v>
      </c>
      <c r="C430" s="117">
        <v>40522</v>
      </c>
      <c r="D430" s="565" t="s">
        <v>8</v>
      </c>
      <c r="E430" s="5">
        <v>110</v>
      </c>
      <c r="F430" s="5">
        <v>1</v>
      </c>
      <c r="G430" s="5">
        <v>15</v>
      </c>
      <c r="H430" s="590">
        <v>800</v>
      </c>
      <c r="I430" s="591">
        <v>80</v>
      </c>
      <c r="J430" s="98">
        <f>I430/F430</f>
        <v>80</v>
      </c>
      <c r="K430" s="99">
        <f>H430/I430</f>
        <v>10</v>
      </c>
      <c r="L430" s="10">
        <v>5015911</v>
      </c>
      <c r="M430" s="11">
        <v>477409</v>
      </c>
      <c r="N430" s="102">
        <f>+L430/M430</f>
        <v>10.506527945639903</v>
      </c>
      <c r="O430" s="103">
        <v>420</v>
      </c>
    </row>
    <row r="431" spans="1:15" s="94" customFormat="1" ht="12" customHeight="1">
      <c r="A431" s="95">
        <v>421</v>
      </c>
      <c r="B431" s="675" t="s">
        <v>394</v>
      </c>
      <c r="C431" s="564">
        <v>40361</v>
      </c>
      <c r="D431" s="556" t="s">
        <v>23</v>
      </c>
      <c r="E431" s="667">
        <v>161</v>
      </c>
      <c r="F431" s="119">
        <v>1</v>
      </c>
      <c r="G431" s="119">
        <v>57</v>
      </c>
      <c r="H431" s="447">
        <v>1204</v>
      </c>
      <c r="I431" s="448">
        <v>350</v>
      </c>
      <c r="J431" s="307">
        <f>I431/F431</f>
        <v>350</v>
      </c>
      <c r="K431" s="359">
        <f>H431/I431</f>
        <v>3.44</v>
      </c>
      <c r="L431" s="264">
        <v>3668921</v>
      </c>
      <c r="M431" s="263">
        <v>336549</v>
      </c>
      <c r="N431" s="105">
        <f>+L431/M431</f>
        <v>10.901595310044005</v>
      </c>
      <c r="O431" s="103">
        <v>421</v>
      </c>
    </row>
    <row r="432" spans="1:15" s="94" customFormat="1" ht="12" customHeight="1">
      <c r="A432" s="95">
        <v>422</v>
      </c>
      <c r="B432" s="754" t="s">
        <v>394</v>
      </c>
      <c r="C432" s="907">
        <v>40361</v>
      </c>
      <c r="D432" s="713" t="s">
        <v>23</v>
      </c>
      <c r="E432" s="645">
        <v>161</v>
      </c>
      <c r="F432" s="31">
        <v>1</v>
      </c>
      <c r="G432" s="31">
        <v>57</v>
      </c>
      <c r="H432" s="625">
        <v>1204</v>
      </c>
      <c r="I432" s="631">
        <v>350</v>
      </c>
      <c r="J432" s="307">
        <f>I432/F432</f>
        <v>350</v>
      </c>
      <c r="K432" s="359">
        <f>H432/I432</f>
        <v>3.44</v>
      </c>
      <c r="L432" s="28">
        <v>3670125</v>
      </c>
      <c r="M432" s="29">
        <v>336899</v>
      </c>
      <c r="N432" s="361">
        <f>+L432/M432</f>
        <v>10.893843555486956</v>
      </c>
      <c r="O432" s="103">
        <v>422</v>
      </c>
    </row>
    <row r="433" spans="1:15" s="94" customFormat="1" ht="12" customHeight="1">
      <c r="A433" s="95">
        <v>423</v>
      </c>
      <c r="B433" s="647" t="s">
        <v>351</v>
      </c>
      <c r="C433" s="759">
        <v>40137</v>
      </c>
      <c r="D433" s="286" t="s">
        <v>32</v>
      </c>
      <c r="E433" s="653">
        <v>147</v>
      </c>
      <c r="F433" s="509">
        <v>1</v>
      </c>
      <c r="G433" s="509">
        <v>31</v>
      </c>
      <c r="H433" s="392">
        <v>138</v>
      </c>
      <c r="I433" s="393">
        <v>23</v>
      </c>
      <c r="J433" s="110">
        <v>22</v>
      </c>
      <c r="K433" s="218">
        <v>10</v>
      </c>
      <c r="L433" s="12">
        <f>10813638+1782+94+1782+138</f>
        <v>10817434</v>
      </c>
      <c r="M433" s="13">
        <f>1242823+446+17+445+23</f>
        <v>1243754</v>
      </c>
      <c r="N433" s="219">
        <v>8.700867299687888</v>
      </c>
      <c r="O433" s="103">
        <v>423</v>
      </c>
    </row>
    <row r="434" spans="1:15" s="94" customFormat="1" ht="12" customHeight="1">
      <c r="A434" s="95">
        <v>424</v>
      </c>
      <c r="B434" s="287" t="s">
        <v>170</v>
      </c>
      <c r="C434" s="272">
        <v>40508</v>
      </c>
      <c r="D434" s="216" t="s">
        <v>32</v>
      </c>
      <c r="E434" s="33">
        <v>44</v>
      </c>
      <c r="F434" s="33">
        <v>2</v>
      </c>
      <c r="G434" s="33">
        <v>6</v>
      </c>
      <c r="H434" s="608">
        <v>1171.5</v>
      </c>
      <c r="I434" s="393">
        <v>282</v>
      </c>
      <c r="J434" s="110">
        <f>(I434/F434)</f>
        <v>141</v>
      </c>
      <c r="K434" s="288">
        <f>H434/I434</f>
        <v>4.154255319148936</v>
      </c>
      <c r="L434" s="26">
        <f>49086+11854+1926+2212.5+1180+1171.5</f>
        <v>67430</v>
      </c>
      <c r="M434" s="13">
        <f>5689+1635+274+420+165+282</f>
        <v>8465</v>
      </c>
      <c r="N434" s="219">
        <f>L434/M434</f>
        <v>7.96574128765505</v>
      </c>
      <c r="O434" s="103">
        <v>424</v>
      </c>
    </row>
    <row r="435" spans="1:15" s="94" customFormat="1" ht="12" customHeight="1">
      <c r="A435" s="95">
        <v>425</v>
      </c>
      <c r="B435" s="752" t="s">
        <v>352</v>
      </c>
      <c r="C435" s="589">
        <v>40473</v>
      </c>
      <c r="D435" s="286" t="s">
        <v>32</v>
      </c>
      <c r="E435" s="489">
        <v>2</v>
      </c>
      <c r="F435" s="489">
        <v>1</v>
      </c>
      <c r="G435" s="489">
        <v>9</v>
      </c>
      <c r="H435" s="392">
        <v>1307</v>
      </c>
      <c r="I435" s="393">
        <v>327</v>
      </c>
      <c r="J435" s="110">
        <f>(I435/F435)</f>
        <v>327</v>
      </c>
      <c r="K435" s="218">
        <f>H435/I435</f>
        <v>3.996941896024465</v>
      </c>
      <c r="L435" s="12">
        <f>6832+2665+3612+1330+1973+129+396+2138.5+1307</f>
        <v>20382.5</v>
      </c>
      <c r="M435" s="13">
        <f>659+312+817+151+365+14+89+534+327</f>
        <v>3268</v>
      </c>
      <c r="N435" s="219">
        <f>L435/M435</f>
        <v>6.236995104039168</v>
      </c>
      <c r="O435" s="103">
        <v>425</v>
      </c>
    </row>
    <row r="436" spans="1:15" s="94" customFormat="1" ht="12" customHeight="1">
      <c r="A436" s="95">
        <v>426</v>
      </c>
      <c r="B436" s="648" t="s">
        <v>352</v>
      </c>
      <c r="C436" s="589">
        <v>40473</v>
      </c>
      <c r="D436" s="216" t="s">
        <v>32</v>
      </c>
      <c r="E436" s="484">
        <v>2</v>
      </c>
      <c r="F436" s="484">
        <v>1</v>
      </c>
      <c r="G436" s="484">
        <v>8</v>
      </c>
      <c r="H436" s="608">
        <v>2138.5</v>
      </c>
      <c r="I436" s="622">
        <v>534</v>
      </c>
      <c r="J436" s="461">
        <f>(I436/F436)</f>
        <v>534</v>
      </c>
      <c r="K436" s="288">
        <f>H436/I436</f>
        <v>4.004681647940075</v>
      </c>
      <c r="L436" s="26">
        <f>6832+2665+3612+1330+1973+129+396+2138.5</f>
        <v>19075.5</v>
      </c>
      <c r="M436" s="27">
        <f>659+312+817+151+365+14+89+534</f>
        <v>2941</v>
      </c>
      <c r="N436" s="219">
        <f>L436/M436</f>
        <v>6.486059163549813</v>
      </c>
      <c r="O436" s="103">
        <v>426</v>
      </c>
    </row>
    <row r="437" spans="1:15" s="94" customFormat="1" ht="12" customHeight="1">
      <c r="A437" s="95">
        <v>427</v>
      </c>
      <c r="B437" s="752" t="s">
        <v>352</v>
      </c>
      <c r="C437" s="589">
        <v>40473</v>
      </c>
      <c r="D437" s="216" t="s">
        <v>32</v>
      </c>
      <c r="E437" s="489">
        <v>2</v>
      </c>
      <c r="F437" s="489">
        <v>1</v>
      </c>
      <c r="G437" s="489">
        <v>7</v>
      </c>
      <c r="H437" s="392">
        <v>396</v>
      </c>
      <c r="I437" s="393">
        <v>89</v>
      </c>
      <c r="J437" s="110">
        <f>(I437/F437)</f>
        <v>89</v>
      </c>
      <c r="K437" s="218">
        <f>H437/I437</f>
        <v>4.449438202247191</v>
      </c>
      <c r="L437" s="12">
        <f>6832+2665+3612+1330+1973+129+396</f>
        <v>16937</v>
      </c>
      <c r="M437" s="13">
        <f>659+312+817+151+365+14+89</f>
        <v>2407</v>
      </c>
      <c r="N437" s="219">
        <f>L437/M437</f>
        <v>7.036560033236394</v>
      </c>
      <c r="O437" s="103">
        <v>427</v>
      </c>
    </row>
    <row r="438" spans="1:15" s="94" customFormat="1" ht="12" customHeight="1">
      <c r="A438" s="95">
        <v>428</v>
      </c>
      <c r="B438" s="937" t="s">
        <v>352</v>
      </c>
      <c r="C438" s="589">
        <v>40473</v>
      </c>
      <c r="D438" s="216" t="s">
        <v>32</v>
      </c>
      <c r="E438" s="489">
        <v>2</v>
      </c>
      <c r="F438" s="489">
        <v>1</v>
      </c>
      <c r="G438" s="489">
        <v>6</v>
      </c>
      <c r="H438" s="608">
        <v>129</v>
      </c>
      <c r="I438" s="393">
        <v>14</v>
      </c>
      <c r="J438" s="110">
        <f>(I438/F438)</f>
        <v>14</v>
      </c>
      <c r="K438" s="288">
        <f>H438/I438</f>
        <v>9.214285714285714</v>
      </c>
      <c r="L438" s="26">
        <f>6832+2665+3612+1330+1973+129</f>
        <v>16541</v>
      </c>
      <c r="M438" s="13">
        <f>659+312+817+151+365+14</f>
        <v>2318</v>
      </c>
      <c r="N438" s="219">
        <f>L438/M438</f>
        <v>7.135893011216566</v>
      </c>
      <c r="O438" s="103">
        <v>428</v>
      </c>
    </row>
    <row r="439" spans="1:15" s="94" customFormat="1" ht="12" customHeight="1">
      <c r="A439" s="95">
        <v>429</v>
      </c>
      <c r="B439" s="310" t="s">
        <v>353</v>
      </c>
      <c r="C439" s="117">
        <v>40494</v>
      </c>
      <c r="D439" s="556" t="s">
        <v>32</v>
      </c>
      <c r="E439" s="119">
        <v>80</v>
      </c>
      <c r="F439" s="119">
        <v>1</v>
      </c>
      <c r="G439" s="119">
        <v>12</v>
      </c>
      <c r="H439" s="528">
        <v>90</v>
      </c>
      <c r="I439" s="529">
        <v>15</v>
      </c>
      <c r="J439" s="98">
        <f>I439/F439</f>
        <v>15</v>
      </c>
      <c r="K439" s="99">
        <f>H439/I439</f>
        <v>6</v>
      </c>
      <c r="L439" s="111">
        <f>400584.5+260220.5+91588.5+26738.5+6598.5+10112.5+8832+11751.5+1782+1570.5+3564+90</f>
        <v>823433</v>
      </c>
      <c r="M439" s="112">
        <f>34427+24318+9929+5066+1310+1866+1322+2055+445+470+891+15</f>
        <v>82114</v>
      </c>
      <c r="N439" s="102">
        <f>+L439/M439</f>
        <v>10.0279245926395</v>
      </c>
      <c r="O439" s="103">
        <v>429</v>
      </c>
    </row>
    <row r="440" spans="1:15" s="94" customFormat="1" ht="12" customHeight="1">
      <c r="A440" s="95">
        <v>430</v>
      </c>
      <c r="B440" s="673" t="s">
        <v>353</v>
      </c>
      <c r="C440" s="564">
        <v>40494</v>
      </c>
      <c r="D440" s="556" t="s">
        <v>32</v>
      </c>
      <c r="E440" s="667">
        <v>80</v>
      </c>
      <c r="F440" s="119">
        <v>1</v>
      </c>
      <c r="G440" s="119">
        <v>12</v>
      </c>
      <c r="H440" s="528">
        <v>90</v>
      </c>
      <c r="I440" s="529">
        <v>15</v>
      </c>
      <c r="J440" s="98">
        <f>I440/F440</f>
        <v>15</v>
      </c>
      <c r="K440" s="99">
        <f>H440/I440</f>
        <v>6</v>
      </c>
      <c r="L440" s="111">
        <f>400584.5+260220.5+91588.5+26738.5+6598.5+10112.5+8832+11751.5+1782+1570.5+3564+90</f>
        <v>823433</v>
      </c>
      <c r="M440" s="112">
        <f>34427+24318+9929+5066+1310+1866+1322+2055+445+470+891+15</f>
        <v>82114</v>
      </c>
      <c r="N440" s="102">
        <f>+L440/M440</f>
        <v>10.0279245926395</v>
      </c>
      <c r="O440" s="103">
        <v>430</v>
      </c>
    </row>
    <row r="441" spans="1:15" s="94" customFormat="1" ht="12" customHeight="1">
      <c r="A441" s="95">
        <v>431</v>
      </c>
      <c r="B441" s="287" t="s">
        <v>353</v>
      </c>
      <c r="C441" s="32">
        <v>40494</v>
      </c>
      <c r="D441" s="199" t="s">
        <v>32</v>
      </c>
      <c r="E441" s="230">
        <v>80</v>
      </c>
      <c r="F441" s="33">
        <v>1</v>
      </c>
      <c r="G441" s="33">
        <v>11</v>
      </c>
      <c r="H441" s="392">
        <v>3564</v>
      </c>
      <c r="I441" s="393">
        <v>891</v>
      </c>
      <c r="J441" s="110">
        <f>(I441/F441)</f>
        <v>891</v>
      </c>
      <c r="K441" s="218">
        <f>H441/I441</f>
        <v>4</v>
      </c>
      <c r="L441" s="12">
        <f>400584.5+260220.5+91588.5+26738.5+6598.5+10112.5+8832+11751.5+1782+1570.5+3564</f>
        <v>823343</v>
      </c>
      <c r="M441" s="13">
        <f>34427+24318+9929+5066+1310+1866+1322+2055+445+470+891</f>
        <v>82099</v>
      </c>
      <c r="N441" s="219">
        <f>L441/M441</f>
        <v>10.02866051961656</v>
      </c>
      <c r="O441" s="103">
        <v>431</v>
      </c>
    </row>
    <row r="442" spans="1:15" s="94" customFormat="1" ht="12" customHeight="1">
      <c r="A442" s="95">
        <v>432</v>
      </c>
      <c r="B442" s="504" t="s">
        <v>353</v>
      </c>
      <c r="C442" s="505">
        <v>40494</v>
      </c>
      <c r="D442" s="216" t="s">
        <v>32</v>
      </c>
      <c r="E442" s="220">
        <v>80</v>
      </c>
      <c r="F442" s="207">
        <v>2</v>
      </c>
      <c r="G442" s="207">
        <v>10</v>
      </c>
      <c r="H442" s="603">
        <v>1570.5</v>
      </c>
      <c r="I442" s="611">
        <v>470</v>
      </c>
      <c r="J442" s="506">
        <f>(I442/F442)</f>
        <v>235</v>
      </c>
      <c r="K442" s="507">
        <f>H442/I442</f>
        <v>3.3414893617021275</v>
      </c>
      <c r="L442" s="210">
        <f>400584.5+260220.5+91588.5+26738.5+6598.5+10112.5+8832+11751.5+1782+1570.5</f>
        <v>819779</v>
      </c>
      <c r="M442" s="211">
        <f>34427+24318+9929+5066+1310+1866+1322+2055+445+470</f>
        <v>81208</v>
      </c>
      <c r="N442" s="575">
        <f>L442/M442</f>
        <v>10.094805930450201</v>
      </c>
      <c r="O442" s="103">
        <v>432</v>
      </c>
    </row>
    <row r="443" spans="1:15" s="94" customFormat="1" ht="12" customHeight="1">
      <c r="A443" s="95">
        <v>433</v>
      </c>
      <c r="B443" s="201" t="s">
        <v>353</v>
      </c>
      <c r="C443" s="32">
        <v>40494</v>
      </c>
      <c r="D443" s="216" t="s">
        <v>32</v>
      </c>
      <c r="E443" s="33">
        <v>80</v>
      </c>
      <c r="F443" s="33">
        <v>1</v>
      </c>
      <c r="G443" s="33">
        <v>9</v>
      </c>
      <c r="H443" s="392">
        <v>1782</v>
      </c>
      <c r="I443" s="393">
        <v>445</v>
      </c>
      <c r="J443" s="110">
        <f>(I443/F443)</f>
        <v>445</v>
      </c>
      <c r="K443" s="218">
        <f>H443/I443</f>
        <v>4.004494382022472</v>
      </c>
      <c r="L443" s="12">
        <f>400584.5+260220.5+91588.5+26738.5+6598.5+10112.5+8832+11751.5+1782</f>
        <v>818208.5</v>
      </c>
      <c r="M443" s="13">
        <f>34427+24318+9929+5066+1310+1866+1322+2055+445</f>
        <v>80738</v>
      </c>
      <c r="N443" s="219">
        <f>L443/M443</f>
        <v>10.134119002204661</v>
      </c>
      <c r="O443" s="103">
        <v>433</v>
      </c>
    </row>
    <row r="444" spans="1:15" s="94" customFormat="1" ht="12" customHeight="1">
      <c r="A444" s="95">
        <v>434</v>
      </c>
      <c r="B444" s="287" t="s">
        <v>353</v>
      </c>
      <c r="C444" s="272">
        <v>40494</v>
      </c>
      <c r="D444" s="216" t="s">
        <v>32</v>
      </c>
      <c r="E444" s="230">
        <v>80</v>
      </c>
      <c r="F444" s="33">
        <v>13</v>
      </c>
      <c r="G444" s="33">
        <v>8</v>
      </c>
      <c r="H444" s="608">
        <v>11751.5</v>
      </c>
      <c r="I444" s="393">
        <v>2055</v>
      </c>
      <c r="J444" s="110">
        <f>(I444/F444)</f>
        <v>158.07692307692307</v>
      </c>
      <c r="K444" s="288">
        <f>H444/I444</f>
        <v>5.718491484184915</v>
      </c>
      <c r="L444" s="26">
        <f>400584.5+260220.5+91588.5+26738.5+6598.5+10112.5+8832+11751.5</f>
        <v>816426.5</v>
      </c>
      <c r="M444" s="13">
        <f>34427+24318+9929+5066+1310+1866+1322+2055</f>
        <v>80293</v>
      </c>
      <c r="N444" s="219">
        <f>L444/M444</f>
        <v>10.168090618111167</v>
      </c>
      <c r="O444" s="103">
        <v>434</v>
      </c>
    </row>
    <row r="445" spans="1:15" s="94" customFormat="1" ht="12" customHeight="1">
      <c r="A445" s="95">
        <v>435</v>
      </c>
      <c r="B445" s="215" t="s">
        <v>171</v>
      </c>
      <c r="C445" s="32">
        <v>40445</v>
      </c>
      <c r="D445" s="199" t="s">
        <v>32</v>
      </c>
      <c r="E445" s="217">
        <v>99</v>
      </c>
      <c r="F445" s="202">
        <v>1</v>
      </c>
      <c r="G445" s="202">
        <v>14</v>
      </c>
      <c r="H445" s="392">
        <v>678</v>
      </c>
      <c r="I445" s="393">
        <v>102</v>
      </c>
      <c r="J445" s="110">
        <f>(I445/F445)</f>
        <v>102</v>
      </c>
      <c r="K445" s="218">
        <f>H445/I445</f>
        <v>6.647058823529412</v>
      </c>
      <c r="L445" s="12">
        <f>321502+248658+168337.5+120626.5+93787.5+82596.5+8900+14133+4789+1421+2440+594+966+678</f>
        <v>1069429</v>
      </c>
      <c r="M445" s="13">
        <f>37510+29635+22309+17930+15012+11746+1292+2243+804+260+600+115+317+102</f>
        <v>139875</v>
      </c>
      <c r="N445" s="219">
        <f>L445/M445</f>
        <v>7.645605004468275</v>
      </c>
      <c r="O445" s="103">
        <v>435</v>
      </c>
    </row>
    <row r="446" spans="1:15" s="94" customFormat="1" ht="12" customHeight="1">
      <c r="A446" s="95">
        <v>436</v>
      </c>
      <c r="B446" s="285" t="s">
        <v>171</v>
      </c>
      <c r="C446" s="272">
        <v>40445</v>
      </c>
      <c r="D446" s="216" t="s">
        <v>32</v>
      </c>
      <c r="E446" s="230">
        <v>99</v>
      </c>
      <c r="F446" s="33">
        <v>1</v>
      </c>
      <c r="G446" s="33">
        <v>13</v>
      </c>
      <c r="H446" s="392">
        <v>966</v>
      </c>
      <c r="I446" s="393">
        <v>317</v>
      </c>
      <c r="J446" s="110">
        <f>(I446/F446)</f>
        <v>317</v>
      </c>
      <c r="K446" s="218">
        <f>H446/I446</f>
        <v>3.047318611987382</v>
      </c>
      <c r="L446" s="12">
        <f>321502+248658+168337.5+120626.5+93787.5+82596.5+8900+14133+4789+1421+2440+594+966</f>
        <v>1068751</v>
      </c>
      <c r="M446" s="13">
        <f>37510+29635+22309+17930+15012+11746+1292+2243+804+260+600+115+317</f>
        <v>139773</v>
      </c>
      <c r="N446" s="219">
        <f>L446/M446</f>
        <v>7.64633369821067</v>
      </c>
      <c r="O446" s="103">
        <v>436</v>
      </c>
    </row>
    <row r="447" spans="1:15" s="94" customFormat="1" ht="12" customHeight="1">
      <c r="A447" s="95">
        <v>437</v>
      </c>
      <c r="B447" s="285" t="s">
        <v>171</v>
      </c>
      <c r="C447" s="32">
        <v>40445</v>
      </c>
      <c r="D447" s="216" t="s">
        <v>32</v>
      </c>
      <c r="E447" s="33">
        <v>99</v>
      </c>
      <c r="F447" s="33">
        <v>1</v>
      </c>
      <c r="G447" s="33">
        <v>12</v>
      </c>
      <c r="H447" s="392">
        <v>594</v>
      </c>
      <c r="I447" s="393">
        <v>115</v>
      </c>
      <c r="J447" s="110">
        <f>(I447/F447)</f>
        <v>115</v>
      </c>
      <c r="K447" s="218">
        <f>H447/I447</f>
        <v>5.165217391304348</v>
      </c>
      <c r="L447" s="12">
        <f>321502+248658+168337.5+120626.5+93787.5+82596.5+8900+14133+4789+1421+2440+594</f>
        <v>1067785</v>
      </c>
      <c r="M447" s="13">
        <f>37510+29635+22309+17930+15012+11746+1292+2243+804+260+600+115</f>
        <v>139456</v>
      </c>
      <c r="N447" s="219">
        <f>L447/M447</f>
        <v>7.65678780403855</v>
      </c>
      <c r="O447" s="103">
        <v>437</v>
      </c>
    </row>
    <row r="448" spans="1:15" s="94" customFormat="1" ht="12" customHeight="1">
      <c r="A448" s="95">
        <v>438</v>
      </c>
      <c r="B448" s="504" t="s">
        <v>354</v>
      </c>
      <c r="C448" s="505">
        <v>40508</v>
      </c>
      <c r="D448" s="586" t="s">
        <v>32</v>
      </c>
      <c r="E448" s="207">
        <v>34</v>
      </c>
      <c r="F448" s="207">
        <v>1</v>
      </c>
      <c r="G448" s="207">
        <v>13</v>
      </c>
      <c r="H448" s="392">
        <v>462</v>
      </c>
      <c r="I448" s="393">
        <v>77</v>
      </c>
      <c r="J448" s="110">
        <f>(I448/F448)</f>
        <v>77</v>
      </c>
      <c r="K448" s="218">
        <f>H448/I448</f>
        <v>6</v>
      </c>
      <c r="L448" s="12">
        <f>122173+87330+23120+25637+29159.5+14630.5+403+1246+229+767+1632.5+402+462</f>
        <v>307191.5</v>
      </c>
      <c r="M448" s="13">
        <f>10588+8153+2702+3877+4807+2283+58+199+33+115+203+67+77</f>
        <v>33162</v>
      </c>
      <c r="N448" s="219">
        <f>L448/M448</f>
        <v>9.263358663530546</v>
      </c>
      <c r="O448" s="103">
        <v>438</v>
      </c>
    </row>
    <row r="449" spans="1:15" s="94" customFormat="1" ht="12" customHeight="1">
      <c r="A449" s="95">
        <v>439</v>
      </c>
      <c r="B449" s="215" t="s">
        <v>354</v>
      </c>
      <c r="C449" s="272">
        <v>40508</v>
      </c>
      <c r="D449" s="216" t="s">
        <v>138</v>
      </c>
      <c r="E449" s="217">
        <v>34</v>
      </c>
      <c r="F449" s="202">
        <v>1</v>
      </c>
      <c r="G449" s="202">
        <v>12</v>
      </c>
      <c r="H449" s="392">
        <v>402</v>
      </c>
      <c r="I449" s="393">
        <v>67</v>
      </c>
      <c r="J449" s="110">
        <f>(I449/F449)</f>
        <v>67</v>
      </c>
      <c r="K449" s="576">
        <f>H449/I449</f>
        <v>6</v>
      </c>
      <c r="L449" s="12">
        <f>122173+87330+23120+25637+29159.5+14630.5+403+1246+229+767+1632.5+402</f>
        <v>306729.5</v>
      </c>
      <c r="M449" s="13">
        <f>10588+8153+2702+3877+4807+2283+58+199+33+115+203+67</f>
        <v>33085</v>
      </c>
      <c r="N449" s="219">
        <f>L449/M449</f>
        <v>9.270953604352426</v>
      </c>
      <c r="O449" s="103">
        <v>439</v>
      </c>
    </row>
    <row r="450" spans="1:15" s="94" customFormat="1" ht="12" customHeight="1">
      <c r="A450" s="95">
        <v>440</v>
      </c>
      <c r="B450" s="285" t="s">
        <v>354</v>
      </c>
      <c r="C450" s="272">
        <v>40508</v>
      </c>
      <c r="D450" s="286" t="s">
        <v>32</v>
      </c>
      <c r="E450" s="230">
        <v>34</v>
      </c>
      <c r="F450" s="33">
        <v>1</v>
      </c>
      <c r="G450" s="33">
        <v>11</v>
      </c>
      <c r="H450" s="392">
        <v>1632.5</v>
      </c>
      <c r="I450" s="393">
        <v>203</v>
      </c>
      <c r="J450" s="110">
        <f>(I450/F450)</f>
        <v>203</v>
      </c>
      <c r="K450" s="218">
        <f>H450/I450</f>
        <v>8.041871921182265</v>
      </c>
      <c r="L450" s="12">
        <f>122173+87330+23120+25637+29159.5+14630.5+403+1246+229+767+1632.5</f>
        <v>306327.5</v>
      </c>
      <c r="M450" s="13">
        <f>10588+8153+2702+3877+4807+2283+58+199+33+115+203</f>
        <v>33018</v>
      </c>
      <c r="N450" s="219">
        <f>L450/M450</f>
        <v>9.277591010963716</v>
      </c>
      <c r="O450" s="103">
        <v>440</v>
      </c>
    </row>
    <row r="451" spans="1:15" s="94" customFormat="1" ht="12" customHeight="1">
      <c r="A451" s="95">
        <v>441</v>
      </c>
      <c r="B451" s="285" t="s">
        <v>354</v>
      </c>
      <c r="C451" s="32">
        <v>40508</v>
      </c>
      <c r="D451" s="30" t="s">
        <v>32</v>
      </c>
      <c r="E451" s="230">
        <v>34</v>
      </c>
      <c r="F451" s="33">
        <v>1</v>
      </c>
      <c r="G451" s="33">
        <v>10</v>
      </c>
      <c r="H451" s="392">
        <v>767</v>
      </c>
      <c r="I451" s="393">
        <v>115</v>
      </c>
      <c r="J451" s="110">
        <f>(I451/F451)</f>
        <v>115</v>
      </c>
      <c r="K451" s="218">
        <f>H451/I451</f>
        <v>6.6695652173913045</v>
      </c>
      <c r="L451" s="12">
        <f>122173+87330+23120+25637+29159.5+14630.5+403+1246+229+767</f>
        <v>304695</v>
      </c>
      <c r="M451" s="13">
        <f>10588+8153+2702+3877+4807+2283+58+199+33+115</f>
        <v>32815</v>
      </c>
      <c r="N451" s="219">
        <f>L451/M451</f>
        <v>9.28523541063538</v>
      </c>
      <c r="O451" s="103">
        <v>441</v>
      </c>
    </row>
    <row r="452" spans="1:15" s="94" customFormat="1" ht="12" customHeight="1">
      <c r="A452" s="95">
        <v>442</v>
      </c>
      <c r="B452" s="215" t="s">
        <v>354</v>
      </c>
      <c r="C452" s="272">
        <v>40508</v>
      </c>
      <c r="D452" s="216" t="s">
        <v>32</v>
      </c>
      <c r="E452" s="217">
        <v>34</v>
      </c>
      <c r="F452" s="202">
        <v>1</v>
      </c>
      <c r="G452" s="202">
        <v>9</v>
      </c>
      <c r="H452" s="608">
        <v>229</v>
      </c>
      <c r="I452" s="622">
        <v>33</v>
      </c>
      <c r="J452" s="461">
        <f>(I452/F452)</f>
        <v>33</v>
      </c>
      <c r="K452" s="288">
        <f>H452/I452</f>
        <v>6.9393939393939394</v>
      </c>
      <c r="L452" s="26">
        <f>122173+87330+23120+25637+29159.5+14630.5+403+1246+229</f>
        <v>303928</v>
      </c>
      <c r="M452" s="27">
        <f>10588+8153+2702+3877+4807+2283+58+199+33</f>
        <v>32700</v>
      </c>
      <c r="N452" s="219">
        <f>L452/M452</f>
        <v>9.294434250764526</v>
      </c>
      <c r="O452" s="103">
        <v>442</v>
      </c>
    </row>
    <row r="453" spans="1:15" s="94" customFormat="1" ht="12" customHeight="1">
      <c r="A453" s="95">
        <v>443</v>
      </c>
      <c r="B453" s="287" t="s">
        <v>354</v>
      </c>
      <c r="C453" s="272">
        <v>40508</v>
      </c>
      <c r="D453" s="216" t="s">
        <v>32</v>
      </c>
      <c r="E453" s="33">
        <v>34</v>
      </c>
      <c r="F453" s="33">
        <v>2</v>
      </c>
      <c r="G453" s="33">
        <v>8</v>
      </c>
      <c r="H453" s="392">
        <v>1246</v>
      </c>
      <c r="I453" s="393">
        <v>199</v>
      </c>
      <c r="J453" s="110">
        <f>(I453/F453)</f>
        <v>99.5</v>
      </c>
      <c r="K453" s="218">
        <f>H453/I453</f>
        <v>6.261306532663316</v>
      </c>
      <c r="L453" s="12">
        <f>122173+87330+23120+25637+29159.5+14630.5+403+1246</f>
        <v>303699</v>
      </c>
      <c r="M453" s="13">
        <f>10588+8153+2702+3877+4807+2283+58+199</f>
        <v>32667</v>
      </c>
      <c r="N453" s="219">
        <f>L453/M453</f>
        <v>9.296813297823492</v>
      </c>
      <c r="O453" s="103">
        <v>443</v>
      </c>
    </row>
    <row r="454" spans="1:15" s="94" customFormat="1" ht="12" customHeight="1">
      <c r="A454" s="95">
        <v>444</v>
      </c>
      <c r="B454" s="285" t="s">
        <v>354</v>
      </c>
      <c r="C454" s="272">
        <v>40508</v>
      </c>
      <c r="D454" s="216" t="s">
        <v>32</v>
      </c>
      <c r="E454" s="33">
        <v>34</v>
      </c>
      <c r="F454" s="33">
        <v>1</v>
      </c>
      <c r="G454" s="33">
        <v>7</v>
      </c>
      <c r="H454" s="392">
        <v>403</v>
      </c>
      <c r="I454" s="393">
        <v>58</v>
      </c>
      <c r="J454" s="110">
        <f>(I454/F454)</f>
        <v>58</v>
      </c>
      <c r="K454" s="218">
        <f>H454/I454</f>
        <v>6.948275862068965</v>
      </c>
      <c r="L454" s="12">
        <f>122173+87330+23120+25637+29159.5+14630.5+403</f>
        <v>302453</v>
      </c>
      <c r="M454" s="13">
        <f>10588+8153+2702+3877+4807+2283+58</f>
        <v>32468</v>
      </c>
      <c r="N454" s="219">
        <f>L454/M454</f>
        <v>9.315418257977084</v>
      </c>
      <c r="O454" s="103">
        <v>444</v>
      </c>
    </row>
    <row r="455" spans="1:15" s="94" customFormat="1" ht="12" customHeight="1">
      <c r="A455" s="95">
        <v>445</v>
      </c>
      <c r="B455" s="287" t="s">
        <v>354</v>
      </c>
      <c r="C455" s="272">
        <v>40508</v>
      </c>
      <c r="D455" s="216" t="s">
        <v>32</v>
      </c>
      <c r="E455" s="33">
        <v>34</v>
      </c>
      <c r="F455" s="33">
        <v>17</v>
      </c>
      <c r="G455" s="33">
        <v>6</v>
      </c>
      <c r="H455" s="608">
        <v>14630.5</v>
      </c>
      <c r="I455" s="393">
        <v>2283</v>
      </c>
      <c r="J455" s="110">
        <f>(I455/F455)</f>
        <v>134.2941176470588</v>
      </c>
      <c r="K455" s="288">
        <f>H455/I455</f>
        <v>6.408453788874288</v>
      </c>
      <c r="L455" s="26">
        <f>122173+87330+23120+25637+29159.5+14630.5</f>
        <v>302050</v>
      </c>
      <c r="M455" s="13">
        <f>10588+8153+2702+3877+4807+2283</f>
        <v>32410</v>
      </c>
      <c r="N455" s="219">
        <f>L455/M455</f>
        <v>9.319654427645789</v>
      </c>
      <c r="O455" s="103">
        <v>445</v>
      </c>
    </row>
    <row r="456" spans="1:15" s="94" customFormat="1" ht="12" customHeight="1">
      <c r="A456" s="95">
        <v>446</v>
      </c>
      <c r="B456" s="215" t="s">
        <v>144</v>
      </c>
      <c r="C456" s="272">
        <v>40487</v>
      </c>
      <c r="D456" s="216" t="s">
        <v>29</v>
      </c>
      <c r="E456" s="202">
        <v>162</v>
      </c>
      <c r="F456" s="202">
        <v>2</v>
      </c>
      <c r="G456" s="202">
        <v>10</v>
      </c>
      <c r="H456" s="595">
        <v>1340</v>
      </c>
      <c r="I456" s="596">
        <v>198</v>
      </c>
      <c r="J456" s="98">
        <f>IF(H456&lt;&gt;0,I456/F456,"")</f>
        <v>99</v>
      </c>
      <c r="K456" s="234">
        <f>IF(H456&lt;&gt;0,H456/I456,"")</f>
        <v>6.767676767676767</v>
      </c>
      <c r="L456" s="36">
        <f>525983.5+915356-20+520720.5+229861+37809.5+41066.5+9062.5+5020+8527+1340</f>
        <v>2294726.5</v>
      </c>
      <c r="M456" s="38">
        <f>56225+93965-2+58841+28041+5233+5910+1474+785+1182+198</f>
        <v>251852</v>
      </c>
      <c r="N456" s="302">
        <f>IF(L456&lt;&gt;0,L456/M456,"")</f>
        <v>9.111408684465479</v>
      </c>
      <c r="O456" s="103">
        <v>446</v>
      </c>
    </row>
    <row r="457" spans="1:15" s="94" customFormat="1" ht="12" customHeight="1">
      <c r="A457" s="95">
        <v>447</v>
      </c>
      <c r="B457" s="285" t="s">
        <v>172</v>
      </c>
      <c r="C457" s="272">
        <v>40487</v>
      </c>
      <c r="D457" s="286" t="s">
        <v>29</v>
      </c>
      <c r="E457" s="33">
        <v>162</v>
      </c>
      <c r="F457" s="33">
        <v>1</v>
      </c>
      <c r="G457" s="33">
        <v>16</v>
      </c>
      <c r="H457" s="595">
        <v>1503</v>
      </c>
      <c r="I457" s="596">
        <v>288</v>
      </c>
      <c r="J457" s="127">
        <v>19.8181818181821</v>
      </c>
      <c r="K457" s="303">
        <v>6.92102754237288</v>
      </c>
      <c r="L457" s="36">
        <f>525983.5+915356-20+520720.5+229861+37809.5+41066.5+9062.5+5020+8527+1340+1644+1941+1056+313+102+1503</f>
        <v>2301285.5</v>
      </c>
      <c r="M457" s="38">
        <f>56225+93965-2+58841+28041+5233+5910+1474+785+1182+198+319+388+171+52+17+288</f>
        <v>253087</v>
      </c>
      <c r="N457" s="304">
        <v>2.1488509451776</v>
      </c>
      <c r="O457" s="103">
        <v>447</v>
      </c>
    </row>
    <row r="458" spans="1:15" s="94" customFormat="1" ht="12" customHeight="1">
      <c r="A458" s="95">
        <v>448</v>
      </c>
      <c r="B458" s="213" t="s">
        <v>172</v>
      </c>
      <c r="C458" s="32">
        <v>40487</v>
      </c>
      <c r="D458" s="199" t="s">
        <v>29</v>
      </c>
      <c r="E458" s="202">
        <v>162</v>
      </c>
      <c r="F458" s="202">
        <v>1</v>
      </c>
      <c r="G458" s="202">
        <v>15</v>
      </c>
      <c r="H458" s="625">
        <v>102</v>
      </c>
      <c r="I458" s="631">
        <v>17</v>
      </c>
      <c r="J458" s="307">
        <f>+I458/F458</f>
        <v>17</v>
      </c>
      <c r="K458" s="233">
        <f>+H458/I458</f>
        <v>6</v>
      </c>
      <c r="L458" s="28">
        <f>525983.5+915356-20+520720.5+229861+37809.5+41066.5+9062.5+5020+8527+1340+1644+1941+1056+313+102</f>
        <v>2299782.5</v>
      </c>
      <c r="M458" s="29">
        <f>56225+93965-2+58841+28041+5233+5910+1474+785+1182+198+319+388+171+52+17</f>
        <v>252799</v>
      </c>
      <c r="N458" s="302">
        <f>+L458/M458</f>
        <v>9.097276887962373</v>
      </c>
      <c r="O458" s="103">
        <v>448</v>
      </c>
    </row>
    <row r="459" spans="1:15" s="94" customFormat="1" ht="12" customHeight="1">
      <c r="A459" s="95">
        <v>449</v>
      </c>
      <c r="B459" s="215" t="s">
        <v>172</v>
      </c>
      <c r="C459" s="272">
        <v>40487</v>
      </c>
      <c r="D459" s="216" t="s">
        <v>29</v>
      </c>
      <c r="E459" s="217">
        <v>162</v>
      </c>
      <c r="F459" s="202">
        <v>1</v>
      </c>
      <c r="G459" s="202">
        <v>14</v>
      </c>
      <c r="H459" s="595">
        <v>313</v>
      </c>
      <c r="I459" s="596">
        <v>52</v>
      </c>
      <c r="J459" s="98">
        <f>+I459/F459</f>
        <v>52</v>
      </c>
      <c r="K459" s="234">
        <f>+H459/I459</f>
        <v>6.019230769230769</v>
      </c>
      <c r="L459" s="36">
        <f>525983.5+915356-20+520720.5+229861+37809.5+41066.5+9062.5+5020+8527+1340+1644+1941+1056+313</f>
        <v>2299680.5</v>
      </c>
      <c r="M459" s="38">
        <f>56225+93965-2+58841+28041+5233+5910+1474+785+1182+198+319+388+171+52</f>
        <v>252782</v>
      </c>
      <c r="N459" s="302">
        <f>+L459/M459</f>
        <v>9.097485184862846</v>
      </c>
      <c r="O459" s="103">
        <v>449</v>
      </c>
    </row>
    <row r="460" spans="1:15" s="94" customFormat="1" ht="12" customHeight="1">
      <c r="A460" s="95">
        <v>450</v>
      </c>
      <c r="B460" s="958" t="s">
        <v>172</v>
      </c>
      <c r="C460" s="375">
        <v>40487</v>
      </c>
      <c r="D460" s="374" t="s">
        <v>29</v>
      </c>
      <c r="E460" s="947">
        <v>162</v>
      </c>
      <c r="F460" s="262">
        <v>1</v>
      </c>
      <c r="G460" s="262">
        <v>13</v>
      </c>
      <c r="H460" s="592">
        <v>1056</v>
      </c>
      <c r="I460" s="448">
        <v>171</v>
      </c>
      <c r="J460" s="271">
        <f>I460/F460</f>
        <v>171</v>
      </c>
      <c r="K460" s="305">
        <f>H460/I460</f>
        <v>6.175438596491228</v>
      </c>
      <c r="L460" s="358">
        <f>525983.5+915356-20+520720.5+229861+37809.5+41066.5+9062.5+5020+8527+1340+1644+1941+1056</f>
        <v>2299367.5</v>
      </c>
      <c r="M460" s="263">
        <f>56225+93965-2+58841+28041+5233+5910+1474+785+1182+198+319+388+171</f>
        <v>252730</v>
      </c>
      <c r="N460" s="306">
        <f>L460/M460</f>
        <v>9.098118545483322</v>
      </c>
      <c r="O460" s="103">
        <v>450</v>
      </c>
    </row>
    <row r="461" spans="1:15" s="94" customFormat="1" ht="12" customHeight="1">
      <c r="A461" s="95">
        <v>451</v>
      </c>
      <c r="B461" s="285" t="s">
        <v>172</v>
      </c>
      <c r="C461" s="32">
        <v>40487</v>
      </c>
      <c r="D461" s="30" t="s">
        <v>29</v>
      </c>
      <c r="E461" s="230">
        <v>162</v>
      </c>
      <c r="F461" s="230">
        <v>1</v>
      </c>
      <c r="G461" s="230">
        <v>12</v>
      </c>
      <c r="H461" s="595">
        <v>1941</v>
      </c>
      <c r="I461" s="596">
        <v>388</v>
      </c>
      <c r="J461" s="40">
        <f>I461/F461</f>
        <v>388</v>
      </c>
      <c r="K461" s="274">
        <f>+H461/I461</f>
        <v>5.002577319587629</v>
      </c>
      <c r="L461" s="36">
        <f>525983.5+915356-20+520720.5+229861+37809.5+41066.5+9062.5+5020+8527+1340+1644+1941</f>
        <v>2298311.5</v>
      </c>
      <c r="M461" s="38">
        <f>56225+93965-2+58841+28041+5233+5910+1474+785+1182+198+319+388</f>
        <v>252559</v>
      </c>
      <c r="N461" s="301">
        <f>+L461/M461</f>
        <v>9.100097402983065</v>
      </c>
      <c r="O461" s="103">
        <v>451</v>
      </c>
    </row>
    <row r="462" spans="1:15" s="94" customFormat="1" ht="12" customHeight="1">
      <c r="A462" s="95">
        <v>452</v>
      </c>
      <c r="B462" s="287" t="s">
        <v>172</v>
      </c>
      <c r="C462" s="272">
        <v>40487</v>
      </c>
      <c r="D462" s="286" t="s">
        <v>29</v>
      </c>
      <c r="E462" s="230">
        <v>162</v>
      </c>
      <c r="F462" s="230">
        <v>3</v>
      </c>
      <c r="G462" s="230">
        <v>11</v>
      </c>
      <c r="H462" s="595">
        <v>1644</v>
      </c>
      <c r="I462" s="596">
        <v>319</v>
      </c>
      <c r="J462" s="110">
        <f>(I462/F462)</f>
        <v>106.33333333333333</v>
      </c>
      <c r="K462" s="218">
        <f>H462/I462</f>
        <v>5.153605015673981</v>
      </c>
      <c r="L462" s="36">
        <f>525983.5+915356-20+520720.5+229861+37809.5+41066.5+9062.5+5020+8527+1340+1644</f>
        <v>2296370.5</v>
      </c>
      <c r="M462" s="38">
        <f>56225+93965-2+58841+28041+5233+5910+1474+785+1182+198+319</f>
        <v>252171</v>
      </c>
      <c r="N462" s="219">
        <f>L462/M462</f>
        <v>9.106402004988679</v>
      </c>
      <c r="O462" s="103">
        <v>452</v>
      </c>
    </row>
    <row r="463" spans="1:15" s="94" customFormat="1" ht="12" customHeight="1">
      <c r="A463" s="95">
        <v>453</v>
      </c>
      <c r="B463" s="287" t="s">
        <v>172</v>
      </c>
      <c r="C463" s="272">
        <v>40487</v>
      </c>
      <c r="D463" s="645" t="s">
        <v>29</v>
      </c>
      <c r="E463" s="33">
        <v>162</v>
      </c>
      <c r="F463" s="230">
        <v>8</v>
      </c>
      <c r="G463" s="230">
        <v>9</v>
      </c>
      <c r="H463" s="625">
        <v>8527</v>
      </c>
      <c r="I463" s="596">
        <v>1182</v>
      </c>
      <c r="J463" s="98">
        <f>IF(H463&lt;&gt;0,I463/F463,"")</f>
        <v>147.75</v>
      </c>
      <c r="K463" s="233">
        <f>IF(H463&lt;&gt;0,H463/I463,"")</f>
        <v>7.214043993231811</v>
      </c>
      <c r="L463" s="28">
        <f>525983.5+915356-20+520720.5+229861+37809.5+41066.5+9062.5+5020+8527</f>
        <v>2293386.5</v>
      </c>
      <c r="M463" s="38">
        <f>56225+93965-2+58841+28041+5233+5910+1474+785+1182</f>
        <v>251654</v>
      </c>
      <c r="N463" s="302">
        <f>IF(L463&lt;&gt;0,L463/M463,"")</f>
        <v>9.11325272000445</v>
      </c>
      <c r="O463" s="103">
        <v>453</v>
      </c>
    </row>
    <row r="464" spans="1:15" s="94" customFormat="1" ht="12" customHeight="1">
      <c r="A464" s="95">
        <v>454</v>
      </c>
      <c r="B464" s="285" t="s">
        <v>173</v>
      </c>
      <c r="C464" s="272">
        <v>40235</v>
      </c>
      <c r="D464" s="216" t="s">
        <v>32</v>
      </c>
      <c r="E464" s="33">
        <v>227</v>
      </c>
      <c r="F464" s="33">
        <v>1</v>
      </c>
      <c r="G464" s="33">
        <v>30</v>
      </c>
      <c r="H464" s="392">
        <v>950.5</v>
      </c>
      <c r="I464" s="393">
        <v>238</v>
      </c>
      <c r="J464" s="110">
        <f>(I464/F464)</f>
        <v>238</v>
      </c>
      <c r="K464" s="218">
        <f>H464/I464</f>
        <v>3.9936974789915967</v>
      </c>
      <c r="L464" s="12">
        <f>8240207.5+202+255+7892+2376+1782+1782+2376+950.5</f>
        <v>8257823</v>
      </c>
      <c r="M464" s="13">
        <f>1023896+40+51+1967+594+445+445+594+238</f>
        <v>1028270</v>
      </c>
      <c r="N464" s="219">
        <f>L464/M464</f>
        <v>8.030792496134284</v>
      </c>
      <c r="O464" s="103">
        <v>454</v>
      </c>
    </row>
    <row r="465" spans="1:15" s="94" customFormat="1" ht="12" customHeight="1">
      <c r="A465" s="95">
        <v>455</v>
      </c>
      <c r="B465" s="755" t="s">
        <v>355</v>
      </c>
      <c r="C465" s="650">
        <v>40480</v>
      </c>
      <c r="D465" s="556" t="s">
        <v>32</v>
      </c>
      <c r="E465" s="499">
        <v>100</v>
      </c>
      <c r="F465" s="207">
        <v>1</v>
      </c>
      <c r="G465" s="499">
        <v>18</v>
      </c>
      <c r="H465" s="392">
        <v>4457</v>
      </c>
      <c r="I465" s="393">
        <v>857</v>
      </c>
      <c r="J465" s="98">
        <f>I465/F465</f>
        <v>857</v>
      </c>
      <c r="K465" s="99">
        <f>H465/I465</f>
        <v>5.200700116686114</v>
      </c>
      <c r="L465" s="12">
        <f>1221166+429124.5+378100+240009.5+108018.5+26890.5+15319+16968+7345.5+4160+1262+1510+3920.5+2732.5+8910+571+670+102+4457</f>
        <v>2471236.5</v>
      </c>
      <c r="M465" s="13">
        <f>114702+40612+35598+23284+12543+4168+3055+2661+1161+850+210+377+981+684+2228+92+109+26+857</f>
        <v>244198</v>
      </c>
      <c r="N465" s="102">
        <f>+L465/M465</f>
        <v>10.119806468521446</v>
      </c>
      <c r="O465" s="103">
        <v>455</v>
      </c>
    </row>
    <row r="466" spans="1:15" s="94" customFormat="1" ht="12" customHeight="1">
      <c r="A466" s="95">
        <v>456</v>
      </c>
      <c r="B466" s="285" t="s">
        <v>355</v>
      </c>
      <c r="C466" s="272">
        <v>40480</v>
      </c>
      <c r="D466" s="286" t="s">
        <v>32</v>
      </c>
      <c r="E466" s="33">
        <v>100</v>
      </c>
      <c r="F466" s="33">
        <v>1</v>
      </c>
      <c r="G466" s="33">
        <v>17</v>
      </c>
      <c r="H466" s="392">
        <v>670</v>
      </c>
      <c r="I466" s="393">
        <v>109</v>
      </c>
      <c r="J466" s="110">
        <f>(I466/F466)</f>
        <v>109</v>
      </c>
      <c r="K466" s="218">
        <f>H466/I466</f>
        <v>6.146788990825688</v>
      </c>
      <c r="L466" s="12">
        <f>1221166+429124.5+378100+240009.5+108018.5+26890.5+15319+16968+7345.5+4160+1262+1510+3920.5+2732.5+8910+571+670</f>
        <v>2466677.5</v>
      </c>
      <c r="M466" s="13">
        <f>114702+40612+35598+23284+12543+4168+3055+2661+1161+850+210+377+981+684+2228+92+109</f>
        <v>243315</v>
      </c>
      <c r="N466" s="219">
        <f>L466/M466</f>
        <v>10.13779462836241</v>
      </c>
      <c r="O466" s="103">
        <v>456</v>
      </c>
    </row>
    <row r="467" spans="1:15" s="94" customFormat="1" ht="12" customHeight="1">
      <c r="A467" s="95">
        <v>457</v>
      </c>
      <c r="B467" s="285" t="s">
        <v>355</v>
      </c>
      <c r="C467" s="272">
        <v>40480</v>
      </c>
      <c r="D467" s="286" t="s">
        <v>32</v>
      </c>
      <c r="E467" s="33">
        <v>100</v>
      </c>
      <c r="F467" s="33">
        <v>1</v>
      </c>
      <c r="G467" s="33">
        <v>16</v>
      </c>
      <c r="H467" s="392">
        <v>571</v>
      </c>
      <c r="I467" s="393">
        <v>92</v>
      </c>
      <c r="J467" s="110">
        <f>(I467/F467)</f>
        <v>92</v>
      </c>
      <c r="K467" s="218">
        <f>H467/I467</f>
        <v>6.206521739130435</v>
      </c>
      <c r="L467" s="12">
        <f>1221166+429124.5+378100+240009.5+108018.5+26890.5+15319+16968+7345.5+4160+1262+1510+3920.5+2732.5+8910+571</f>
        <v>2466007.5</v>
      </c>
      <c r="M467" s="13">
        <f>114702+40612+35598+23284+12543+4168+3055+2661+1161+850+210+377+981+684+2228+92</f>
        <v>243206</v>
      </c>
      <c r="N467" s="219">
        <f>L467/M467</f>
        <v>10.139583316201081</v>
      </c>
      <c r="O467" s="103">
        <v>457</v>
      </c>
    </row>
    <row r="468" spans="1:15" s="94" customFormat="1" ht="12" customHeight="1">
      <c r="A468" s="95">
        <v>459</v>
      </c>
      <c r="B468" s="504" t="s">
        <v>355</v>
      </c>
      <c r="C468" s="206">
        <v>40480</v>
      </c>
      <c r="D468" s="199" t="s">
        <v>32</v>
      </c>
      <c r="E468" s="220">
        <v>100</v>
      </c>
      <c r="F468" s="220">
        <v>4</v>
      </c>
      <c r="G468" s="220">
        <v>15</v>
      </c>
      <c r="H468" s="603">
        <v>8910</v>
      </c>
      <c r="I468" s="611">
        <v>2228</v>
      </c>
      <c r="J468" s="506">
        <f>(I468/F468)</f>
        <v>557</v>
      </c>
      <c r="K468" s="507">
        <f>H468/I468</f>
        <v>3.9991023339317775</v>
      </c>
      <c r="L468" s="210">
        <f>1221166+429124.5+378100+240009.5+108018.5+26890.5+15319+16968+7345.5+4160+1262+1510+3920.5+2732.5+8910</f>
        <v>2465436.5</v>
      </c>
      <c r="M468" s="211">
        <f>114702+40612+35598+23284+12543+4168+3055+2661+1161+850+210+377+981+684+2228</f>
        <v>243114</v>
      </c>
      <c r="N468" s="575">
        <f>L468/M468</f>
        <v>10.141071678307297</v>
      </c>
      <c r="O468" s="103">
        <v>459</v>
      </c>
    </row>
    <row r="469" spans="1:15" s="94" customFormat="1" ht="12" customHeight="1">
      <c r="A469" s="95">
        <v>460</v>
      </c>
      <c r="B469" s="215" t="s">
        <v>355</v>
      </c>
      <c r="C469" s="272">
        <v>40480</v>
      </c>
      <c r="D469" s="216" t="s">
        <v>32</v>
      </c>
      <c r="E469" s="217">
        <v>100</v>
      </c>
      <c r="F469" s="202">
        <v>2</v>
      </c>
      <c r="G469" s="202">
        <v>14</v>
      </c>
      <c r="H469" s="392">
        <v>2732.5</v>
      </c>
      <c r="I469" s="393">
        <v>684</v>
      </c>
      <c r="J469" s="110">
        <f>(I469/F469)</f>
        <v>342</v>
      </c>
      <c r="K469" s="218">
        <f>H469/I469</f>
        <v>3.9948830409356724</v>
      </c>
      <c r="L469" s="12">
        <f>1221166+429124.5+378100+240009.5+108018.5+26890.5+15319+16968+7345.5+4160+1262+1510+3920.5+2732.5</f>
        <v>2456526.5</v>
      </c>
      <c r="M469" s="13">
        <f>114702+40612+35598+23284+12543+4168+3055+2661+1161+850+210+377+981+684</f>
        <v>240886</v>
      </c>
      <c r="N469" s="219">
        <f>L469/M469</f>
        <v>10.197879909998921</v>
      </c>
      <c r="O469" s="103">
        <v>460</v>
      </c>
    </row>
    <row r="470" spans="1:15" s="94" customFormat="1" ht="12" customHeight="1">
      <c r="A470" s="95">
        <v>461</v>
      </c>
      <c r="B470" s="201" t="s">
        <v>355</v>
      </c>
      <c r="C470" s="32">
        <v>40480</v>
      </c>
      <c r="D470" s="199" t="s">
        <v>32</v>
      </c>
      <c r="E470" s="33">
        <v>100</v>
      </c>
      <c r="F470" s="33">
        <v>2</v>
      </c>
      <c r="G470" s="33">
        <v>13</v>
      </c>
      <c r="H470" s="600">
        <v>3920.5</v>
      </c>
      <c r="I470" s="597">
        <v>982</v>
      </c>
      <c r="J470" s="110">
        <f>(I470/F470)</f>
        <v>491</v>
      </c>
      <c r="K470" s="288">
        <f>H470/I470</f>
        <v>3.9923625254582484</v>
      </c>
      <c r="L470" s="43">
        <f>1221166+429124.5+378100+240009.5+108018.5+26890.5+15319+16968+7345.5+4160+1262+1510+3920.5</f>
        <v>2453794</v>
      </c>
      <c r="M470" s="9">
        <f>114702+40612+35598+23284+12543+4168+3055+2661+1161+850+210+377+982</f>
        <v>240203</v>
      </c>
      <c r="N470" s="197">
        <f>L470/M470</f>
        <v>10.215501055357343</v>
      </c>
      <c r="O470" s="103">
        <v>461</v>
      </c>
    </row>
    <row r="471" spans="1:15" s="94" customFormat="1" ht="12" customHeight="1">
      <c r="A471" s="95">
        <v>462</v>
      </c>
      <c r="B471" s="205" t="s">
        <v>355</v>
      </c>
      <c r="C471" s="206">
        <v>40480</v>
      </c>
      <c r="D471" s="199" t="s">
        <v>32</v>
      </c>
      <c r="E471" s="207">
        <v>100</v>
      </c>
      <c r="F471" s="207">
        <v>1</v>
      </c>
      <c r="G471" s="207">
        <v>12</v>
      </c>
      <c r="H471" s="601">
        <v>1510</v>
      </c>
      <c r="I471" s="602">
        <v>377</v>
      </c>
      <c r="J471" s="506">
        <f>(I471/F471)</f>
        <v>377</v>
      </c>
      <c r="K471" s="507">
        <f>H471/I471</f>
        <v>4.005305039787799</v>
      </c>
      <c r="L471" s="459">
        <f>1221166+429124.5+378100+240009.5+108018.5+26890.5+15319+16968+7345.5+4160+1262+1510</f>
        <v>2449873.5</v>
      </c>
      <c r="M471" s="457">
        <f>114702+40612+35598+23284+12543+4168+3055+2661+1161+850+210+377</f>
        <v>239221</v>
      </c>
      <c r="N471" s="212">
        <f>L471/M471</f>
        <v>10.24104698166131</v>
      </c>
      <c r="O471" s="103">
        <v>462</v>
      </c>
    </row>
    <row r="472" spans="1:15" s="94" customFormat="1" ht="12" customHeight="1">
      <c r="A472" s="95">
        <v>463</v>
      </c>
      <c r="B472" s="285" t="s">
        <v>355</v>
      </c>
      <c r="C472" s="272">
        <v>40480</v>
      </c>
      <c r="D472" s="216" t="s">
        <v>32</v>
      </c>
      <c r="E472" s="230">
        <v>100</v>
      </c>
      <c r="F472" s="33">
        <v>2</v>
      </c>
      <c r="G472" s="33">
        <v>11</v>
      </c>
      <c r="H472" s="392">
        <v>1262</v>
      </c>
      <c r="I472" s="393">
        <v>210</v>
      </c>
      <c r="J472" s="110">
        <f>(I472/F472)</f>
        <v>105</v>
      </c>
      <c r="K472" s="218">
        <f>H472/I472</f>
        <v>6.0095238095238095</v>
      </c>
      <c r="L472" s="12">
        <f>1221166+429124.5+378100+240009.5+108018.5+26890.5+15319+16968+7345.5+4160+1262</f>
        <v>2448363.5</v>
      </c>
      <c r="M472" s="13">
        <f>114702+40612+35598+23284+12543+4168+3055+2661+1161+850+210</f>
        <v>238844</v>
      </c>
      <c r="N472" s="219">
        <f>L472/M472</f>
        <v>10.250889702064946</v>
      </c>
      <c r="O472" s="103">
        <v>463</v>
      </c>
    </row>
    <row r="473" spans="1:15" s="94" customFormat="1" ht="12" customHeight="1">
      <c r="A473" s="95">
        <v>464</v>
      </c>
      <c r="B473" s="287" t="s">
        <v>355</v>
      </c>
      <c r="C473" s="272">
        <v>40480</v>
      </c>
      <c r="D473" s="216" t="s">
        <v>32</v>
      </c>
      <c r="E473" s="230">
        <v>100</v>
      </c>
      <c r="F473" s="33">
        <v>11</v>
      </c>
      <c r="G473" s="33">
        <v>10</v>
      </c>
      <c r="H473" s="608">
        <v>4160</v>
      </c>
      <c r="I473" s="393">
        <v>850</v>
      </c>
      <c r="J473" s="110">
        <f>(I473/F473)</f>
        <v>77.27272727272727</v>
      </c>
      <c r="K473" s="288">
        <f>H473/I473</f>
        <v>4.894117647058824</v>
      </c>
      <c r="L473" s="26">
        <f>1221166+429124.5+378100+240009.5+108018.5+26890.5+15319+16968+7345.5+4160</f>
        <v>2447101.5</v>
      </c>
      <c r="M473" s="13">
        <f>114702+40612+35598+23284+12543+4168+3055+2661+1161+850</f>
        <v>238634</v>
      </c>
      <c r="N473" s="219">
        <f>L473/M473</f>
        <v>10.254622141019302</v>
      </c>
      <c r="O473" s="103">
        <v>464</v>
      </c>
    </row>
    <row r="474" spans="1:15" s="94" customFormat="1" ht="12" customHeight="1">
      <c r="A474" s="95">
        <v>465</v>
      </c>
      <c r="B474" s="236" t="s">
        <v>356</v>
      </c>
      <c r="C474" s="907">
        <v>40508</v>
      </c>
      <c r="D474" s="713" t="s">
        <v>23</v>
      </c>
      <c r="E474" s="31">
        <v>11</v>
      </c>
      <c r="F474" s="31">
        <v>1</v>
      </c>
      <c r="G474" s="31">
        <v>37</v>
      </c>
      <c r="H474" s="629">
        <v>1750</v>
      </c>
      <c r="I474" s="953">
        <v>525</v>
      </c>
      <c r="J474" s="307">
        <f>I474/F474</f>
        <v>525</v>
      </c>
      <c r="K474" s="359">
        <f>H474/I474</f>
        <v>3.3333333333333335</v>
      </c>
      <c r="L474" s="577">
        <v>110667</v>
      </c>
      <c r="M474" s="732">
        <v>9527</v>
      </c>
      <c r="N474" s="501">
        <f>+L474/M474</f>
        <v>11.616143591896714</v>
      </c>
      <c r="O474" s="103">
        <v>465</v>
      </c>
    </row>
    <row r="475" spans="1:15" s="94" customFormat="1" ht="12" customHeight="1">
      <c r="A475" s="95">
        <v>466</v>
      </c>
      <c r="B475" s="475" t="s">
        <v>356</v>
      </c>
      <c r="C475" s="478">
        <v>40508</v>
      </c>
      <c r="D475" s="479" t="s">
        <v>23</v>
      </c>
      <c r="E475" s="262">
        <v>11</v>
      </c>
      <c r="F475" s="262">
        <v>1</v>
      </c>
      <c r="G475" s="262">
        <v>9</v>
      </c>
      <c r="H475" s="640">
        <v>1240</v>
      </c>
      <c r="I475" s="599">
        <v>164</v>
      </c>
      <c r="J475" s="458">
        <f>I475/F475</f>
        <v>164</v>
      </c>
      <c r="K475" s="522">
        <f>+H475/I475</f>
        <v>7.560975609756097</v>
      </c>
      <c r="L475" s="270">
        <v>108917</v>
      </c>
      <c r="M475" s="271">
        <v>9002</v>
      </c>
      <c r="N475" s="481">
        <f>+L475/M475</f>
        <v>12.09920017773828</v>
      </c>
      <c r="O475" s="103">
        <v>466</v>
      </c>
    </row>
    <row r="476" spans="1:15" s="94" customFormat="1" ht="12" customHeight="1">
      <c r="A476" s="95">
        <v>467</v>
      </c>
      <c r="B476" s="236" t="s">
        <v>356</v>
      </c>
      <c r="C476" s="32">
        <v>40508</v>
      </c>
      <c r="D476" s="261" t="s">
        <v>23</v>
      </c>
      <c r="E476" s="33">
        <v>11</v>
      </c>
      <c r="F476" s="33">
        <v>3</v>
      </c>
      <c r="G476" s="33">
        <v>6</v>
      </c>
      <c r="H476" s="629">
        <v>3343</v>
      </c>
      <c r="I476" s="630">
        <v>754</v>
      </c>
      <c r="J476" s="40">
        <f>I476/F476</f>
        <v>251.33333333333334</v>
      </c>
      <c r="K476" s="570">
        <f>+H476/I476</f>
        <v>4.43368700265252</v>
      </c>
      <c r="L476" s="577">
        <v>107677</v>
      </c>
      <c r="M476" s="41">
        <v>8838</v>
      </c>
      <c r="N476" s="259">
        <f>+L476/M476</f>
        <v>12.183412536773025</v>
      </c>
      <c r="O476" s="103">
        <v>467</v>
      </c>
    </row>
    <row r="477" spans="1:15" s="94" customFormat="1" ht="12" customHeight="1" thickBot="1">
      <c r="A477" s="95">
        <v>468</v>
      </c>
      <c r="B477" s="578" t="s">
        <v>357</v>
      </c>
      <c r="C477" s="579">
        <v>40284</v>
      </c>
      <c r="D477" s="580" t="s">
        <v>8</v>
      </c>
      <c r="E477" s="581">
        <v>1</v>
      </c>
      <c r="F477" s="581">
        <v>1</v>
      </c>
      <c r="G477" s="581">
        <v>22</v>
      </c>
      <c r="H477" s="641">
        <v>336</v>
      </c>
      <c r="I477" s="642">
        <v>48</v>
      </c>
      <c r="J477" s="138">
        <f>+I477/F477</f>
        <v>48</v>
      </c>
      <c r="K477" s="582">
        <f>+H477/I477</f>
        <v>7</v>
      </c>
      <c r="L477" s="583">
        <v>47577</v>
      </c>
      <c r="M477" s="584">
        <v>4083</v>
      </c>
      <c r="N477" s="585">
        <f>+L477/M477</f>
        <v>11.652461425422484</v>
      </c>
      <c r="O477" s="103">
        <v>468</v>
      </c>
    </row>
    <row r="478" spans="1:14" s="94" customFormat="1" ht="15.75" thickBot="1">
      <c r="A478" s="146"/>
      <c r="C478" s="148"/>
      <c r="E478" s="147"/>
      <c r="F478" s="147"/>
      <c r="G478" s="147"/>
      <c r="H478" s="354"/>
      <c r="I478" s="342"/>
      <c r="J478" s="156"/>
      <c r="K478" s="157"/>
      <c r="L478" s="149"/>
      <c r="M478" s="158"/>
      <c r="N478" s="153"/>
    </row>
    <row r="479" spans="1:15" s="159" customFormat="1" ht="12.75">
      <c r="A479" s="798" t="s">
        <v>87</v>
      </c>
      <c r="B479" s="799"/>
      <c r="C479" s="799"/>
      <c r="D479" s="799"/>
      <c r="E479" s="799"/>
      <c r="F479" s="799"/>
      <c r="G479" s="799"/>
      <c r="H479" s="799"/>
      <c r="I479" s="799"/>
      <c r="J479" s="799"/>
      <c r="K479" s="799"/>
      <c r="L479" s="799"/>
      <c r="M479" s="799"/>
      <c r="N479" s="799"/>
      <c r="O479" s="800"/>
    </row>
    <row r="480" spans="1:15" s="159" customFormat="1" ht="12.75">
      <c r="A480" s="801"/>
      <c r="B480" s="802"/>
      <c r="C480" s="802"/>
      <c r="D480" s="802"/>
      <c r="E480" s="802"/>
      <c r="F480" s="802"/>
      <c r="G480" s="802"/>
      <c r="H480" s="802"/>
      <c r="I480" s="802"/>
      <c r="J480" s="802"/>
      <c r="K480" s="802"/>
      <c r="L480" s="802"/>
      <c r="M480" s="802"/>
      <c r="N480" s="802"/>
      <c r="O480" s="803"/>
    </row>
    <row r="481" spans="1:15" s="159" customFormat="1" ht="12.75">
      <c r="A481" s="801"/>
      <c r="B481" s="802"/>
      <c r="C481" s="802"/>
      <c r="D481" s="802"/>
      <c r="E481" s="802"/>
      <c r="F481" s="802"/>
      <c r="G481" s="802"/>
      <c r="H481" s="802"/>
      <c r="I481" s="802"/>
      <c r="J481" s="802"/>
      <c r="K481" s="802"/>
      <c r="L481" s="802"/>
      <c r="M481" s="802"/>
      <c r="N481" s="802"/>
      <c r="O481" s="803"/>
    </row>
    <row r="482" spans="1:15" s="159" customFormat="1" ht="12.75">
      <c r="A482" s="801"/>
      <c r="B482" s="802"/>
      <c r="C482" s="802"/>
      <c r="D482" s="802"/>
      <c r="E482" s="802"/>
      <c r="F482" s="802"/>
      <c r="G482" s="802"/>
      <c r="H482" s="802"/>
      <c r="I482" s="802"/>
      <c r="J482" s="802"/>
      <c r="K482" s="802"/>
      <c r="L482" s="802"/>
      <c r="M482" s="802"/>
      <c r="N482" s="802"/>
      <c r="O482" s="803"/>
    </row>
    <row r="483" spans="1:15" s="159" customFormat="1" ht="12.75">
      <c r="A483" s="801"/>
      <c r="B483" s="802"/>
      <c r="C483" s="802"/>
      <c r="D483" s="802"/>
      <c r="E483" s="802"/>
      <c r="F483" s="802"/>
      <c r="G483" s="802"/>
      <c r="H483" s="802"/>
      <c r="I483" s="802"/>
      <c r="J483" s="802"/>
      <c r="K483" s="802"/>
      <c r="L483" s="802"/>
      <c r="M483" s="802"/>
      <c r="N483" s="802"/>
      <c r="O483" s="803"/>
    </row>
    <row r="484" spans="1:15" s="159" customFormat="1" ht="13.5" thickBot="1">
      <c r="A484" s="804"/>
      <c r="B484" s="805"/>
      <c r="C484" s="805"/>
      <c r="D484" s="805"/>
      <c r="E484" s="805"/>
      <c r="F484" s="805"/>
      <c r="G484" s="805"/>
      <c r="H484" s="805"/>
      <c r="I484" s="805"/>
      <c r="J484" s="805"/>
      <c r="K484" s="805"/>
      <c r="L484" s="805"/>
      <c r="M484" s="805"/>
      <c r="N484" s="805"/>
      <c r="O484" s="806"/>
    </row>
    <row r="485" spans="8:9" ht="18">
      <c r="H485" s="355"/>
      <c r="I485" s="343"/>
    </row>
    <row r="486" spans="8:9" ht="18">
      <c r="H486" s="355"/>
      <c r="I486" s="343"/>
    </row>
  </sheetData>
  <mergeCells count="19">
    <mergeCell ref="A479:O484"/>
    <mergeCell ref="J9:K9"/>
    <mergeCell ref="H1:J1"/>
    <mergeCell ref="K1:O1"/>
    <mergeCell ref="H4:J4"/>
    <mergeCell ref="H5:O5"/>
    <mergeCell ref="A1:G1"/>
    <mergeCell ref="A2:G2"/>
    <mergeCell ref="A3:G3"/>
    <mergeCell ref="A4:C4"/>
    <mergeCell ref="A5:C5"/>
    <mergeCell ref="B6:E6"/>
    <mergeCell ref="F6:G6"/>
    <mergeCell ref="H6:I6"/>
    <mergeCell ref="J6:K6"/>
    <mergeCell ref="L6:O6"/>
    <mergeCell ref="H7:I7"/>
    <mergeCell ref="J7:K7"/>
    <mergeCell ref="L7:M7"/>
  </mergeCells>
  <hyperlinks>
    <hyperlink ref="A3" r:id="rId1" display="http://www.antraktsinema.com"/>
  </hyperlinks>
  <printOptions/>
  <pageMargins left="0.75" right="0.75" top="1" bottom="1" header="0.5" footer="0.5"/>
  <pageSetup horizontalDpi="200" verticalDpi="200" orientation="portrait" paperSize="9" r:id="rId3"/>
  <drawing r:id="rId2"/>
</worksheet>
</file>

<file path=xl/worksheets/sheet4.xml><?xml version="1.0" encoding="utf-8"?>
<worksheet xmlns="http://schemas.openxmlformats.org/spreadsheetml/2006/main" xmlns:r="http://schemas.openxmlformats.org/officeDocument/2006/relationships">
  <dimension ref="A1:AG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160" bestFit="1" customWidth="1"/>
    <col min="2" max="2" width="4.28125" style="161" hidden="1" customWidth="1"/>
    <col min="3" max="3" width="6.421875" style="162" hidden="1" customWidth="1"/>
    <col min="4" max="4" width="41.28125" style="163" bestFit="1" customWidth="1"/>
    <col min="5" max="5" width="7.8515625" style="164" hidden="1" customWidth="1"/>
    <col min="6" max="6" width="24.421875" style="164" bestFit="1" customWidth="1"/>
    <col min="7" max="7" width="5.8515625" style="164" bestFit="1" customWidth="1"/>
    <col min="8" max="8" width="8.57421875" style="165" customWidth="1"/>
    <col min="9" max="9" width="8.57421875" style="166" customWidth="1"/>
    <col min="10" max="10" width="9.8515625" style="165" hidden="1" customWidth="1"/>
    <col min="11" max="11" width="6.421875" style="166" hidden="1" customWidth="1"/>
    <col min="12" max="12" width="11.28125" style="165" hidden="1" customWidth="1"/>
    <col min="13" max="13" width="6.421875" style="166" hidden="1" customWidth="1"/>
    <col min="14" max="14" width="9.8515625" style="167" hidden="1" customWidth="1"/>
    <col min="15" max="15" width="6.421875" style="168" hidden="1" customWidth="1"/>
    <col min="16" max="16" width="11.28125" style="169" hidden="1" customWidth="1"/>
    <col min="17" max="17" width="7.421875" style="170" hidden="1" customWidth="1"/>
    <col min="18" max="18" width="10.421875" style="171" hidden="1" customWidth="1"/>
    <col min="19" max="19" width="7.57421875" style="172" hidden="1" customWidth="1"/>
    <col min="20" max="20" width="9.8515625" style="171" hidden="1" customWidth="1"/>
    <col min="21" max="21" width="7.28125" style="169" hidden="1" customWidth="1"/>
    <col min="22" max="22" width="11.28125" style="170" hidden="1" customWidth="1"/>
    <col min="23" max="23" width="7.421875" style="173" hidden="1" customWidth="1"/>
    <col min="24" max="24" width="11.28125" style="174" bestFit="1" customWidth="1"/>
    <col min="25" max="25" width="7.421875" style="174" bestFit="1" customWidth="1"/>
    <col min="26" max="27" width="7.57421875" style="163" customWidth="1"/>
    <col min="28" max="28" width="10.421875" style="175" customWidth="1"/>
    <col min="29" max="29" width="10.421875" style="176" customWidth="1"/>
    <col min="30" max="30" width="12.28125" style="163" bestFit="1" customWidth="1"/>
    <col min="31" max="31" width="8.8515625" style="163" bestFit="1" customWidth="1"/>
    <col min="32" max="32" width="9.140625" style="163" bestFit="1" customWidth="1"/>
    <col min="33" max="33" width="3.28125" style="163" bestFit="1" customWidth="1"/>
    <col min="34" max="16384" width="4.421875" style="163" customWidth="1"/>
  </cols>
  <sheetData>
    <row r="1" spans="1:33" s="55" customFormat="1" ht="35.25" thickBot="1">
      <c r="A1" s="845" t="s">
        <v>395</v>
      </c>
      <c r="B1" s="837"/>
      <c r="C1" s="837"/>
      <c r="D1" s="837"/>
      <c r="E1" s="837"/>
      <c r="F1" s="837"/>
      <c r="G1" s="837"/>
      <c r="H1" s="837"/>
      <c r="I1" s="837"/>
      <c r="J1" s="54"/>
      <c r="K1" s="54"/>
      <c r="L1" s="54"/>
      <c r="M1" s="54"/>
      <c r="N1" s="54"/>
      <c r="O1" s="54"/>
      <c r="P1" s="54"/>
      <c r="Q1" s="54"/>
      <c r="R1" s="54"/>
      <c r="S1" s="54"/>
      <c r="T1" s="54"/>
      <c r="U1" s="54"/>
      <c r="V1" s="54"/>
      <c r="W1" s="54"/>
      <c r="X1" s="832"/>
      <c r="Y1" s="832"/>
      <c r="Z1" s="832"/>
      <c r="AA1" s="832"/>
      <c r="AB1" s="832"/>
      <c r="AC1" s="847" t="s">
        <v>179</v>
      </c>
      <c r="AD1" s="847"/>
      <c r="AE1" s="847"/>
      <c r="AF1" s="847"/>
      <c r="AG1" s="847"/>
    </row>
    <row r="2" spans="1:33" s="55" customFormat="1" ht="24" customHeight="1">
      <c r="A2" s="846" t="s">
        <v>175</v>
      </c>
      <c r="B2" s="828"/>
      <c r="C2" s="828"/>
      <c r="D2" s="828"/>
      <c r="E2" s="828"/>
      <c r="F2" s="828"/>
      <c r="G2" s="828"/>
      <c r="H2" s="828"/>
      <c r="I2" s="828"/>
      <c r="J2" s="56"/>
      <c r="K2" s="56"/>
      <c r="L2" s="56"/>
      <c r="M2" s="56"/>
      <c r="N2" s="56"/>
      <c r="O2" s="56"/>
      <c r="P2" s="56"/>
      <c r="Q2" s="56"/>
      <c r="R2" s="56"/>
      <c r="S2" s="56"/>
      <c r="T2" s="56"/>
      <c r="U2" s="56"/>
      <c r="V2" s="56"/>
      <c r="W2" s="56"/>
      <c r="X2" s="178"/>
      <c r="Y2" s="178"/>
      <c r="Z2" s="178"/>
      <c r="AA2" s="178"/>
      <c r="AB2" s="178"/>
      <c r="AC2" s="178"/>
      <c r="AD2" s="178"/>
      <c r="AE2" s="178"/>
      <c r="AF2" s="178"/>
      <c r="AG2" s="178"/>
    </row>
    <row r="3" spans="1:33" s="55" customFormat="1" ht="22.5" customHeight="1" thickBot="1">
      <c r="A3" s="790" t="s">
        <v>136</v>
      </c>
      <c r="B3" s="787"/>
      <c r="C3" s="787"/>
      <c r="D3" s="787"/>
      <c r="E3" s="787"/>
      <c r="F3" s="787"/>
      <c r="G3" s="787"/>
      <c r="H3" s="787"/>
      <c r="I3" s="787"/>
      <c r="J3" s="58"/>
      <c r="K3" s="58"/>
      <c r="L3" s="58"/>
      <c r="M3" s="58"/>
      <c r="N3" s="58"/>
      <c r="O3" s="58"/>
      <c r="P3" s="58"/>
      <c r="Q3" s="58"/>
      <c r="R3" s="58"/>
      <c r="S3" s="58"/>
      <c r="T3" s="58"/>
      <c r="U3" s="58"/>
      <c r="V3" s="58"/>
      <c r="W3" s="58"/>
      <c r="X3" s="179"/>
      <c r="Y3" s="180"/>
      <c r="Z3" s="181"/>
      <c r="AA3" s="182"/>
      <c r="AB3" s="183"/>
      <c r="AC3" s="179"/>
      <c r="AD3" s="180"/>
      <c r="AE3" s="181"/>
      <c r="AF3" s="182"/>
      <c r="AG3" s="183"/>
    </row>
    <row r="4" spans="1:33" s="55" customFormat="1" ht="32.25">
      <c r="A4" s="848" t="s">
        <v>407</v>
      </c>
      <c r="B4" s="849"/>
      <c r="C4" s="849"/>
      <c r="D4" s="849"/>
      <c r="E4" s="849"/>
      <c r="F4" s="59"/>
      <c r="G4" s="59"/>
      <c r="H4" s="59"/>
      <c r="I4" s="59"/>
      <c r="J4" s="59"/>
      <c r="K4" s="59"/>
      <c r="L4" s="59"/>
      <c r="M4" s="59"/>
      <c r="N4" s="59"/>
      <c r="O4" s="59"/>
      <c r="P4" s="59"/>
      <c r="Q4" s="59"/>
      <c r="R4" s="59"/>
      <c r="S4" s="59"/>
      <c r="T4" s="59"/>
      <c r="U4" s="59"/>
      <c r="V4" s="59"/>
      <c r="W4" s="59"/>
      <c r="X4" s="184"/>
      <c r="Y4" s="185"/>
      <c r="Z4" s="185"/>
      <c r="AA4" s="185"/>
      <c r="AB4" s="185"/>
      <c r="AC4" s="186"/>
      <c r="AD4" s="186"/>
      <c r="AE4" s="187"/>
      <c r="AF4" s="186"/>
      <c r="AG4" s="186"/>
    </row>
    <row r="5" spans="1:33" s="55" customFormat="1" ht="33" thickBot="1">
      <c r="A5" s="850" t="s">
        <v>408</v>
      </c>
      <c r="B5" s="851"/>
      <c r="C5" s="851"/>
      <c r="D5" s="851"/>
      <c r="E5" s="851"/>
      <c r="F5" s="61"/>
      <c r="G5" s="61"/>
      <c r="H5" s="61"/>
      <c r="I5" s="61"/>
      <c r="J5" s="61"/>
      <c r="K5" s="61"/>
      <c r="L5" s="61"/>
      <c r="M5" s="61"/>
      <c r="N5" s="61"/>
      <c r="O5" s="61"/>
      <c r="P5" s="61"/>
      <c r="Q5" s="61"/>
      <c r="R5" s="61"/>
      <c r="S5" s="61"/>
      <c r="T5" s="61"/>
      <c r="U5" s="61"/>
      <c r="V5" s="61"/>
      <c r="W5" s="61"/>
      <c r="X5" s="835"/>
      <c r="Y5" s="823"/>
      <c r="Z5" s="823"/>
      <c r="AA5" s="823"/>
      <c r="AB5" s="823"/>
      <c r="AC5" s="823"/>
      <c r="AD5" s="823"/>
      <c r="AE5" s="823"/>
      <c r="AF5" s="823"/>
      <c r="AG5" s="823"/>
    </row>
    <row r="6" spans="1:33" s="64" customFormat="1" ht="15.75" thickBot="1">
      <c r="A6" s="62"/>
      <c r="B6" s="63"/>
      <c r="C6" s="63"/>
      <c r="D6" s="817" t="s">
        <v>119</v>
      </c>
      <c r="E6" s="817"/>
      <c r="F6" s="817"/>
      <c r="G6" s="817"/>
      <c r="H6" s="817" t="s">
        <v>118</v>
      </c>
      <c r="I6" s="817"/>
      <c r="J6" s="817" t="s">
        <v>115</v>
      </c>
      <c r="K6" s="817"/>
      <c r="L6" s="817"/>
      <c r="M6" s="817"/>
      <c r="N6" s="817"/>
      <c r="O6" s="817"/>
      <c r="P6" s="817"/>
      <c r="Q6" s="817"/>
      <c r="R6" s="817"/>
      <c r="S6" s="817"/>
      <c r="T6" s="817"/>
      <c r="U6" s="817"/>
      <c r="V6" s="817" t="s">
        <v>116</v>
      </c>
      <c r="W6" s="817"/>
      <c r="X6" s="817" t="s">
        <v>121</v>
      </c>
      <c r="Y6" s="817"/>
      <c r="Z6" s="817" t="s">
        <v>120</v>
      </c>
      <c r="AA6" s="817"/>
      <c r="AB6" s="817" t="s">
        <v>125</v>
      </c>
      <c r="AC6" s="817"/>
      <c r="AD6" s="817" t="s">
        <v>117</v>
      </c>
      <c r="AE6" s="817"/>
      <c r="AF6" s="817"/>
      <c r="AG6" s="817"/>
    </row>
    <row r="7" spans="1:33" s="68" customFormat="1" ht="12.75">
      <c r="A7" s="65"/>
      <c r="B7" s="66"/>
      <c r="C7" s="66"/>
      <c r="D7" s="1"/>
      <c r="E7" s="67" t="s">
        <v>88</v>
      </c>
      <c r="F7" s="1"/>
      <c r="G7" s="1" t="s">
        <v>91</v>
      </c>
      <c r="H7" s="1" t="s">
        <v>91</v>
      </c>
      <c r="I7" s="1" t="s">
        <v>93</v>
      </c>
      <c r="J7" s="841" t="s">
        <v>2</v>
      </c>
      <c r="K7" s="842"/>
      <c r="L7" s="841" t="s">
        <v>3</v>
      </c>
      <c r="M7" s="842"/>
      <c r="N7" s="841" t="s">
        <v>4</v>
      </c>
      <c r="O7" s="842"/>
      <c r="P7" s="818" t="s">
        <v>11</v>
      </c>
      <c r="Q7" s="818"/>
      <c r="R7" s="818" t="s">
        <v>103</v>
      </c>
      <c r="S7" s="818"/>
      <c r="T7" s="818" t="s">
        <v>0</v>
      </c>
      <c r="U7" s="818"/>
      <c r="V7" s="818"/>
      <c r="W7" s="818"/>
      <c r="X7" s="830"/>
      <c r="Y7" s="830"/>
      <c r="Z7" s="818" t="s">
        <v>114</v>
      </c>
      <c r="AA7" s="818"/>
      <c r="AB7" s="818" t="s">
        <v>126</v>
      </c>
      <c r="AC7" s="818"/>
      <c r="AD7" s="818"/>
      <c r="AE7" s="818"/>
      <c r="AF7" s="66" t="s">
        <v>103</v>
      </c>
      <c r="AG7" s="66"/>
    </row>
    <row r="8" spans="1:33" s="68" customFormat="1" ht="13.5" thickBot="1">
      <c r="A8" s="69"/>
      <c r="B8" s="70"/>
      <c r="C8" s="70"/>
      <c r="D8" s="71" t="s">
        <v>9</v>
      </c>
      <c r="E8" s="72" t="s">
        <v>89</v>
      </c>
      <c r="F8" s="73" t="s">
        <v>1</v>
      </c>
      <c r="G8" s="73" t="s">
        <v>90</v>
      </c>
      <c r="H8" s="73" t="s">
        <v>92</v>
      </c>
      <c r="I8" s="73" t="s">
        <v>88</v>
      </c>
      <c r="J8" s="70" t="s">
        <v>7</v>
      </c>
      <c r="K8" s="70" t="s">
        <v>6</v>
      </c>
      <c r="L8" s="70" t="s">
        <v>7</v>
      </c>
      <c r="M8" s="70" t="s">
        <v>6</v>
      </c>
      <c r="N8" s="70" t="s">
        <v>7</v>
      </c>
      <c r="O8" s="70" t="s">
        <v>6</v>
      </c>
      <c r="P8" s="70" t="s">
        <v>7</v>
      </c>
      <c r="Q8" s="70" t="s">
        <v>6</v>
      </c>
      <c r="R8" s="70" t="s">
        <v>122</v>
      </c>
      <c r="S8" s="70" t="s">
        <v>104</v>
      </c>
      <c r="T8" s="70" t="s">
        <v>7</v>
      </c>
      <c r="U8" s="70" t="s">
        <v>5</v>
      </c>
      <c r="V8" s="70" t="s">
        <v>7</v>
      </c>
      <c r="W8" s="70" t="s">
        <v>6</v>
      </c>
      <c r="X8" s="74" t="s">
        <v>7</v>
      </c>
      <c r="Y8" s="74" t="s">
        <v>6</v>
      </c>
      <c r="Z8" s="70" t="s">
        <v>6</v>
      </c>
      <c r="AA8" s="70" t="s">
        <v>6</v>
      </c>
      <c r="AB8" s="75" t="s">
        <v>6</v>
      </c>
      <c r="AC8" s="76" t="s">
        <v>104</v>
      </c>
      <c r="AD8" s="70" t="s">
        <v>7</v>
      </c>
      <c r="AE8" s="70" t="s">
        <v>6</v>
      </c>
      <c r="AF8" s="70" t="s">
        <v>104</v>
      </c>
      <c r="AG8" s="70"/>
    </row>
    <row r="9" spans="1:33" s="82" customFormat="1" ht="12.75">
      <c r="A9" s="77"/>
      <c r="B9" s="77"/>
      <c r="C9" s="77"/>
      <c r="D9" s="77"/>
      <c r="E9" s="78" t="s">
        <v>95</v>
      </c>
      <c r="F9" s="77"/>
      <c r="G9" s="77" t="s">
        <v>98</v>
      </c>
      <c r="H9" s="77" t="s">
        <v>100</v>
      </c>
      <c r="I9" s="77" t="s">
        <v>101</v>
      </c>
      <c r="J9" s="843" t="s">
        <v>105</v>
      </c>
      <c r="K9" s="844"/>
      <c r="L9" s="843" t="s">
        <v>106</v>
      </c>
      <c r="M9" s="844"/>
      <c r="N9" s="843" t="s">
        <v>107</v>
      </c>
      <c r="O9" s="844"/>
      <c r="P9" s="831" t="s">
        <v>123</v>
      </c>
      <c r="Q9" s="831"/>
      <c r="R9" s="831" t="s">
        <v>109</v>
      </c>
      <c r="S9" s="831"/>
      <c r="T9" s="831" t="s">
        <v>124</v>
      </c>
      <c r="U9" s="831"/>
      <c r="V9" s="77"/>
      <c r="W9" s="77"/>
      <c r="X9" s="80"/>
      <c r="Y9" s="80"/>
      <c r="Z9" s="831" t="s">
        <v>113</v>
      </c>
      <c r="AA9" s="831"/>
      <c r="AB9" s="831" t="s">
        <v>127</v>
      </c>
      <c r="AC9" s="831"/>
      <c r="AD9" s="81"/>
      <c r="AE9" s="81"/>
      <c r="AF9" s="79" t="s">
        <v>109</v>
      </c>
      <c r="AG9" s="79"/>
    </row>
    <row r="10" spans="1:33" s="82" customFormat="1" ht="13.5" thickBot="1">
      <c r="A10" s="83"/>
      <c r="B10" s="84"/>
      <c r="C10" s="83"/>
      <c r="D10" s="84" t="s">
        <v>94</v>
      </c>
      <c r="E10" s="85" t="s">
        <v>96</v>
      </c>
      <c r="F10" s="83" t="s">
        <v>97</v>
      </c>
      <c r="G10" s="83" t="s">
        <v>99</v>
      </c>
      <c r="H10" s="83" t="s">
        <v>99</v>
      </c>
      <c r="I10" s="83" t="s">
        <v>102</v>
      </c>
      <c r="J10" s="86" t="s">
        <v>111</v>
      </c>
      <c r="K10" s="86" t="s">
        <v>108</v>
      </c>
      <c r="L10" s="86" t="s">
        <v>111</v>
      </c>
      <c r="M10" s="86" t="s">
        <v>108</v>
      </c>
      <c r="N10" s="86" t="s">
        <v>111</v>
      </c>
      <c r="O10" s="86" t="s">
        <v>108</v>
      </c>
      <c r="P10" s="86" t="s">
        <v>111</v>
      </c>
      <c r="Q10" s="86" t="s">
        <v>108</v>
      </c>
      <c r="R10" s="86" t="s">
        <v>108</v>
      </c>
      <c r="S10" s="86" t="s">
        <v>110</v>
      </c>
      <c r="T10" s="86" t="s">
        <v>111</v>
      </c>
      <c r="U10" s="86" t="s">
        <v>112</v>
      </c>
      <c r="V10" s="86" t="s">
        <v>111</v>
      </c>
      <c r="W10" s="86" t="s">
        <v>108</v>
      </c>
      <c r="X10" s="87" t="s">
        <v>111</v>
      </c>
      <c r="Y10" s="87" t="s">
        <v>108</v>
      </c>
      <c r="Z10" s="86" t="s">
        <v>108</v>
      </c>
      <c r="AA10" s="86" t="s">
        <v>108</v>
      </c>
      <c r="AB10" s="88" t="s">
        <v>108</v>
      </c>
      <c r="AC10" s="89" t="s">
        <v>110</v>
      </c>
      <c r="AD10" s="86" t="s">
        <v>108</v>
      </c>
      <c r="AE10" s="86" t="s">
        <v>110</v>
      </c>
      <c r="AF10" s="86" t="s">
        <v>110</v>
      </c>
      <c r="AG10" s="83"/>
    </row>
    <row r="11" spans="1:33" s="94" customFormat="1" ht="14.25" customHeight="1">
      <c r="A11" s="90">
        <v>1</v>
      </c>
      <c r="B11" s="91" t="s">
        <v>86</v>
      </c>
      <c r="C11" s="92"/>
      <c r="D11" s="700" t="s">
        <v>387</v>
      </c>
      <c r="E11" s="751">
        <v>40739</v>
      </c>
      <c r="F11" s="700" t="s">
        <v>10</v>
      </c>
      <c r="G11" s="701">
        <v>277</v>
      </c>
      <c r="H11" s="702">
        <v>385</v>
      </c>
      <c r="I11" s="702">
        <v>3</v>
      </c>
      <c r="J11" s="703">
        <v>143001</v>
      </c>
      <c r="K11" s="704">
        <v>13242</v>
      </c>
      <c r="L11" s="703">
        <v>199436</v>
      </c>
      <c r="M11" s="704">
        <v>17960</v>
      </c>
      <c r="N11" s="703">
        <v>222871</v>
      </c>
      <c r="O11" s="704">
        <v>20148</v>
      </c>
      <c r="P11" s="707">
        <f>SUM(J11+L11+N11)</f>
        <v>565308</v>
      </c>
      <c r="Q11" s="898">
        <f>SUM(K11+M11+O11)</f>
        <v>51350</v>
      </c>
      <c r="R11" s="705">
        <f>IF(P11&lt;&gt;0,Q11/H11,"")</f>
        <v>133.37662337662337</v>
      </c>
      <c r="S11" s="706">
        <f>+P11/Q11</f>
        <v>11.008919182083739</v>
      </c>
      <c r="T11" s="707">
        <v>802016</v>
      </c>
      <c r="U11" s="708">
        <f>IF(T11&lt;&gt;0,-(T11-P11)/T11,"")</f>
        <v>-0.2951412440649563</v>
      </c>
      <c r="V11" s="899">
        <f>X11-P11</f>
        <v>398573</v>
      </c>
      <c r="W11" s="900">
        <f>Y11-Q11</f>
        <v>41423</v>
      </c>
      <c r="X11" s="908">
        <v>963881</v>
      </c>
      <c r="Y11" s="909">
        <v>92773</v>
      </c>
      <c r="Z11" s="708">
        <f>Q11*1/Y11</f>
        <v>0.5535015575652399</v>
      </c>
      <c r="AA11" s="708">
        <f>W11*1/Y11</f>
        <v>0.4464984424347601</v>
      </c>
      <c r="AB11" s="705">
        <f>Y11/H11</f>
        <v>240.96883116883117</v>
      </c>
      <c r="AC11" s="706">
        <f>X11/Y11</f>
        <v>10.389671563924848</v>
      </c>
      <c r="AD11" s="901">
        <v>6732748</v>
      </c>
      <c r="AE11" s="902">
        <v>662534</v>
      </c>
      <c r="AF11" s="903">
        <f>+AD11/AE11</f>
        <v>10.162116963053972</v>
      </c>
      <c r="AG11" s="93">
        <v>1</v>
      </c>
    </row>
    <row r="12" spans="1:33" s="94" customFormat="1" ht="14.25" customHeight="1">
      <c r="A12" s="95">
        <v>2</v>
      </c>
      <c r="B12" s="96"/>
      <c r="C12" s="97"/>
      <c r="D12" s="709" t="s">
        <v>262</v>
      </c>
      <c r="E12" s="564">
        <v>40723</v>
      </c>
      <c r="F12" s="709" t="s">
        <v>23</v>
      </c>
      <c r="G12" s="645">
        <v>323</v>
      </c>
      <c r="H12" s="31">
        <v>210</v>
      </c>
      <c r="I12" s="31">
        <v>5</v>
      </c>
      <c r="J12" s="710">
        <v>57231</v>
      </c>
      <c r="K12" s="711">
        <v>5519</v>
      </c>
      <c r="L12" s="710">
        <v>92821</v>
      </c>
      <c r="M12" s="711">
        <v>8262</v>
      </c>
      <c r="N12" s="710">
        <v>119535</v>
      </c>
      <c r="O12" s="711">
        <v>10658</v>
      </c>
      <c r="P12" s="34">
        <f>SUM(J12+L12+N12)</f>
        <v>269587</v>
      </c>
      <c r="Q12" s="866">
        <f>SUM(K12+M12+O12)</f>
        <v>24439</v>
      </c>
      <c r="R12" s="307">
        <f>IF(P12&lt;&gt;0,Q12/H12,"")</f>
        <v>116.37619047619047</v>
      </c>
      <c r="S12" s="359">
        <f>+P12/Q12</f>
        <v>11.031015999017963</v>
      </c>
      <c r="T12" s="34">
        <v>279922</v>
      </c>
      <c r="U12" s="368">
        <f>IF(T12&lt;&gt;0,-(T12-P12)/T12,"")</f>
        <v>-0.03692099942126735</v>
      </c>
      <c r="V12" s="360">
        <f>X12-P12</f>
        <v>166823</v>
      </c>
      <c r="W12" s="267">
        <f>Y12-Q12</f>
        <v>17030</v>
      </c>
      <c r="X12" s="910">
        <v>436410</v>
      </c>
      <c r="Y12" s="911">
        <v>41469</v>
      </c>
      <c r="Z12" s="368">
        <f>Q12*1/Y12</f>
        <v>0.589331790011816</v>
      </c>
      <c r="AA12" s="368">
        <f>W12*1/Y12</f>
        <v>0.41066820998818393</v>
      </c>
      <c r="AB12" s="307">
        <f>Y12/H12</f>
        <v>197.47142857142856</v>
      </c>
      <c r="AC12" s="359">
        <f>X12/Y12</f>
        <v>10.523764739926209</v>
      </c>
      <c r="AD12" s="28">
        <v>6380278</v>
      </c>
      <c r="AE12" s="521">
        <v>586913</v>
      </c>
      <c r="AF12" s="361">
        <f>AD12/AE12</f>
        <v>10.870909317053805</v>
      </c>
      <c r="AG12" s="103">
        <v>2</v>
      </c>
    </row>
    <row r="13" spans="1:33" s="94" customFormat="1" ht="14.25" customHeight="1">
      <c r="A13" s="95">
        <v>3</v>
      </c>
      <c r="B13" s="104"/>
      <c r="C13" s="97"/>
      <c r="D13" s="712" t="s">
        <v>359</v>
      </c>
      <c r="E13" s="32">
        <v>40732</v>
      </c>
      <c r="F13" s="713" t="s">
        <v>23</v>
      </c>
      <c r="G13" s="645">
        <v>81</v>
      </c>
      <c r="H13" s="645">
        <v>81</v>
      </c>
      <c r="I13" s="645">
        <v>4</v>
      </c>
      <c r="J13" s="740">
        <v>26846</v>
      </c>
      <c r="K13" s="737">
        <v>2398</v>
      </c>
      <c r="L13" s="740">
        <v>41607</v>
      </c>
      <c r="M13" s="737">
        <v>3541</v>
      </c>
      <c r="N13" s="740">
        <v>46071</v>
      </c>
      <c r="O13" s="737">
        <v>4019</v>
      </c>
      <c r="P13" s="714">
        <f>SUM(J13+L13+N13)</f>
        <v>114524</v>
      </c>
      <c r="Q13" s="572">
        <f>SUM(K13+M13+O13)</f>
        <v>9958</v>
      </c>
      <c r="R13" s="307">
        <f>IF(P13&lt;&gt;0,Q13/H13,"")</f>
        <v>122.93827160493827</v>
      </c>
      <c r="S13" s="359">
        <f>+P13/Q13</f>
        <v>11.500702952400081</v>
      </c>
      <c r="T13" s="714">
        <v>121104</v>
      </c>
      <c r="U13" s="368">
        <f>IF(T13&lt;&gt;0,-(T13-P13)/T13,"")</f>
        <v>-0.05433346545118246</v>
      </c>
      <c r="V13" s="360">
        <f>X13-P13</f>
        <v>74078</v>
      </c>
      <c r="W13" s="267">
        <f>Y13-Q13</f>
        <v>7814</v>
      </c>
      <c r="X13" s="910">
        <v>188602</v>
      </c>
      <c r="Y13" s="911">
        <v>17772</v>
      </c>
      <c r="Z13" s="368">
        <f>Q13*1/Y13</f>
        <v>0.5603196038712581</v>
      </c>
      <c r="AA13" s="368">
        <f>W13*1/Y13</f>
        <v>0.4396803961287418</v>
      </c>
      <c r="AB13" s="307">
        <f>Y13/H13</f>
        <v>219.40740740740742</v>
      </c>
      <c r="AC13" s="359">
        <f>X13/Y13</f>
        <v>10.612311501237903</v>
      </c>
      <c r="AD13" s="28">
        <v>1085060</v>
      </c>
      <c r="AE13" s="521">
        <v>100230</v>
      </c>
      <c r="AF13" s="904">
        <f>+AD13/AE13</f>
        <v>10.825700887957698</v>
      </c>
      <c r="AG13" s="103">
        <v>3</v>
      </c>
    </row>
    <row r="14" spans="1:33" s="94" customFormat="1" ht="14.25" customHeight="1">
      <c r="A14" s="95">
        <v>4</v>
      </c>
      <c r="B14" s="106" t="s">
        <v>86</v>
      </c>
      <c r="C14" s="107" t="s">
        <v>85</v>
      </c>
      <c r="D14" s="718" t="s">
        <v>409</v>
      </c>
      <c r="E14" s="564">
        <v>40753</v>
      </c>
      <c r="F14" s="709" t="s">
        <v>32</v>
      </c>
      <c r="G14" s="744">
        <v>58</v>
      </c>
      <c r="H14" s="744">
        <v>62</v>
      </c>
      <c r="I14" s="744">
        <v>1</v>
      </c>
      <c r="J14" s="852">
        <v>20683</v>
      </c>
      <c r="K14" s="745">
        <v>2093</v>
      </c>
      <c r="L14" s="852">
        <v>34191</v>
      </c>
      <c r="M14" s="745">
        <v>3182</v>
      </c>
      <c r="N14" s="852">
        <v>42297.5</v>
      </c>
      <c r="O14" s="745">
        <v>4006</v>
      </c>
      <c r="P14" s="735">
        <f>SUM(J14+L14+N14)</f>
        <v>97171.5</v>
      </c>
      <c r="Q14" s="732">
        <f>SUM(K14+M14+O14)</f>
        <v>9281</v>
      </c>
      <c r="R14" s="732">
        <f>Q14/H14</f>
        <v>149.69354838709677</v>
      </c>
      <c r="S14" s="359">
        <f>IF(P14&lt;&gt;0,P14/Q14,"")</f>
        <v>10.469938584204288</v>
      </c>
      <c r="T14" s="735"/>
      <c r="U14" s="368">
        <f>IF(T14&lt;&gt;0,-(T14-P14)/T14,"")</f>
      </c>
      <c r="V14" s="360">
        <f>X14-P14</f>
        <v>62654.5</v>
      </c>
      <c r="W14" s="267">
        <f>Y14-Q14</f>
        <v>7253</v>
      </c>
      <c r="X14" s="912">
        <v>159826</v>
      </c>
      <c r="Y14" s="913">
        <v>16534</v>
      </c>
      <c r="Z14" s="368">
        <f>Q14*1/Y14</f>
        <v>0.5613281722511189</v>
      </c>
      <c r="AA14" s="368">
        <f>W14*1/Y14</f>
        <v>0.4386718277488811</v>
      </c>
      <c r="AB14" s="307">
        <f>Y14/H14</f>
        <v>266.6774193548387</v>
      </c>
      <c r="AC14" s="359">
        <f>X14/Y14</f>
        <v>9.666505382847467</v>
      </c>
      <c r="AD14" s="26">
        <f>159826</f>
        <v>159826</v>
      </c>
      <c r="AE14" s="27">
        <f>16534</f>
        <v>16534</v>
      </c>
      <c r="AF14" s="905">
        <f>+AD14/AE14</f>
        <v>9.666505382847467</v>
      </c>
      <c r="AG14" s="103">
        <v>4</v>
      </c>
    </row>
    <row r="15" spans="1:33" s="94" customFormat="1" ht="14.25" customHeight="1">
      <c r="A15" s="95">
        <v>5</v>
      </c>
      <c r="B15" s="108"/>
      <c r="C15" s="97"/>
      <c r="D15" s="715" t="s">
        <v>397</v>
      </c>
      <c r="E15" s="684">
        <v>40746</v>
      </c>
      <c r="F15" s="716" t="s">
        <v>8</v>
      </c>
      <c r="G15" s="24">
        <v>26</v>
      </c>
      <c r="H15" s="717">
        <v>26</v>
      </c>
      <c r="I15" s="717">
        <v>2</v>
      </c>
      <c r="J15" s="561">
        <v>15724</v>
      </c>
      <c r="K15" s="568">
        <v>1182</v>
      </c>
      <c r="L15" s="561">
        <v>25393</v>
      </c>
      <c r="M15" s="568">
        <v>1841</v>
      </c>
      <c r="N15" s="561">
        <v>27695</v>
      </c>
      <c r="O15" s="568">
        <v>2014</v>
      </c>
      <c r="P15" s="714">
        <f>+J15+L15+N15</f>
        <v>68812</v>
      </c>
      <c r="Q15" s="572">
        <f>+K15+M15+O15</f>
        <v>5037</v>
      </c>
      <c r="R15" s="307">
        <f>IF(P15&lt;&gt;0,Q15/H15,"")</f>
        <v>193.73076923076923</v>
      </c>
      <c r="S15" s="359">
        <f>IF(P15&lt;&gt;0,P15/Q15,"")</f>
        <v>13.661306333134803</v>
      </c>
      <c r="T15" s="34">
        <v>67405</v>
      </c>
      <c r="U15" s="368">
        <f>IF(T15&lt;&gt;0,-(T15-P15)/T15,"")</f>
        <v>0.020873822416734664</v>
      </c>
      <c r="V15" s="360">
        <f>X15-P15</f>
        <v>51164</v>
      </c>
      <c r="W15" s="267">
        <f>Y15-Q15</f>
        <v>4718</v>
      </c>
      <c r="X15" s="914">
        <v>119976</v>
      </c>
      <c r="Y15" s="915">
        <v>9755</v>
      </c>
      <c r="Z15" s="368">
        <f>Q15*1/Y15</f>
        <v>0.5163505894413122</v>
      </c>
      <c r="AA15" s="368">
        <f>W15*1/Y15</f>
        <v>0.4836494105586879</v>
      </c>
      <c r="AB15" s="307">
        <f>Y15/H15</f>
        <v>375.1923076923077</v>
      </c>
      <c r="AC15" s="359">
        <f>X15/Y15</f>
        <v>12.298923628908252</v>
      </c>
      <c r="AD15" s="23">
        <v>258288</v>
      </c>
      <c r="AE15" s="503">
        <v>21163</v>
      </c>
      <c r="AF15" s="361">
        <f>AD15/AE15</f>
        <v>12.204696876624297</v>
      </c>
      <c r="AG15" s="103">
        <v>5</v>
      </c>
    </row>
    <row r="16" spans="1:33" s="94" customFormat="1" ht="14.25" customHeight="1">
      <c r="A16" s="95">
        <v>6</v>
      </c>
      <c r="B16" s="106" t="s">
        <v>86</v>
      </c>
      <c r="C16" s="107" t="s">
        <v>85</v>
      </c>
      <c r="D16" s="723" t="s">
        <v>233</v>
      </c>
      <c r="E16" s="564">
        <v>40704</v>
      </c>
      <c r="F16" s="709" t="s">
        <v>23</v>
      </c>
      <c r="G16" s="31">
        <v>144</v>
      </c>
      <c r="H16" s="31">
        <v>50</v>
      </c>
      <c r="I16" s="31">
        <v>8</v>
      </c>
      <c r="J16" s="710">
        <v>15297</v>
      </c>
      <c r="K16" s="711">
        <v>1582</v>
      </c>
      <c r="L16" s="710">
        <v>20719</v>
      </c>
      <c r="M16" s="711">
        <v>1863</v>
      </c>
      <c r="N16" s="710">
        <v>24203</v>
      </c>
      <c r="O16" s="711">
        <v>2182</v>
      </c>
      <c r="P16" s="34">
        <f>SUM(J16+L16+N16)</f>
        <v>60219</v>
      </c>
      <c r="Q16" s="866">
        <f>SUM(K16+M16+O16)</f>
        <v>5627</v>
      </c>
      <c r="R16" s="267">
        <f>IF(P16&lt;&gt;0,Q16/H16,"")</f>
        <v>112.54</v>
      </c>
      <c r="S16" s="360">
        <f>+P16/Q16</f>
        <v>10.701794917362715</v>
      </c>
      <c r="T16" s="34">
        <v>37852</v>
      </c>
      <c r="U16" s="368">
        <f>IF(T16&lt;&gt;0,-(T16-P16)/T16,"")</f>
        <v>0.5909066892106097</v>
      </c>
      <c r="V16" s="360">
        <f>X16-P16</f>
        <v>40077</v>
      </c>
      <c r="W16" s="267">
        <f>Y16-Q16</f>
        <v>4278</v>
      </c>
      <c r="X16" s="910">
        <v>100296</v>
      </c>
      <c r="Y16" s="911">
        <v>9905</v>
      </c>
      <c r="Z16" s="368">
        <f>Q16*1/Y16</f>
        <v>0.5680969207470974</v>
      </c>
      <c r="AA16" s="368">
        <f>W16*1/Y16</f>
        <v>0.43190307925290256</v>
      </c>
      <c r="AB16" s="307">
        <f>Y16/H16</f>
        <v>198.1</v>
      </c>
      <c r="AC16" s="359">
        <f>X16/Y16</f>
        <v>10.125795053003534</v>
      </c>
      <c r="AD16" s="28">
        <v>3604017</v>
      </c>
      <c r="AE16" s="521">
        <v>323413</v>
      </c>
      <c r="AF16" s="905">
        <f>+AD16/AE16</f>
        <v>11.143698614465096</v>
      </c>
      <c r="AG16" s="103">
        <v>6</v>
      </c>
    </row>
    <row r="17" spans="1:33" s="94" customFormat="1" ht="14.25" customHeight="1">
      <c r="A17" s="95">
        <v>7</v>
      </c>
      <c r="B17" s="113"/>
      <c r="C17" s="97"/>
      <c r="D17" s="718" t="s">
        <v>13</v>
      </c>
      <c r="E17" s="564">
        <v>40585</v>
      </c>
      <c r="F17" s="709" t="s">
        <v>32</v>
      </c>
      <c r="G17" s="719">
        <v>58</v>
      </c>
      <c r="H17" s="719">
        <v>57</v>
      </c>
      <c r="I17" s="719">
        <v>25</v>
      </c>
      <c r="J17" s="853">
        <v>13933.5</v>
      </c>
      <c r="K17" s="720">
        <v>1626</v>
      </c>
      <c r="L17" s="853">
        <v>14741</v>
      </c>
      <c r="M17" s="720">
        <v>1989</v>
      </c>
      <c r="N17" s="853">
        <v>21511</v>
      </c>
      <c r="O17" s="720">
        <v>2858</v>
      </c>
      <c r="P17" s="34">
        <f>+J17+L17+N17</f>
        <v>50185.5</v>
      </c>
      <c r="Q17" s="866">
        <f>+K17+M17+O17</f>
        <v>6473</v>
      </c>
      <c r="R17" s="711">
        <f>+Q17/H17</f>
        <v>113.56140350877193</v>
      </c>
      <c r="S17" s="710">
        <f>+P17/Q17</f>
        <v>7.753051135485864</v>
      </c>
      <c r="T17" s="34">
        <v>43659</v>
      </c>
      <c r="U17" s="368">
        <f>IF(T17&lt;&gt;0,-(T17-P17)/T17,"")</f>
        <v>0.14948807805950662</v>
      </c>
      <c r="V17" s="360">
        <f>X17-P17</f>
        <v>27181</v>
      </c>
      <c r="W17" s="267">
        <f>Y17-Q17</f>
        <v>4017</v>
      </c>
      <c r="X17" s="912">
        <v>77366.5</v>
      </c>
      <c r="Y17" s="913">
        <v>10490</v>
      </c>
      <c r="Z17" s="368">
        <f>Q17*1/Y17</f>
        <v>0.6170638703527169</v>
      </c>
      <c r="AA17" s="368">
        <f>W17*1/Y17</f>
        <v>0.38293612964728313</v>
      </c>
      <c r="AB17" s="307">
        <f>Y17/H17</f>
        <v>184.03508771929825</v>
      </c>
      <c r="AC17" s="359">
        <f>X17/Y17</f>
        <v>7.375262154432793</v>
      </c>
      <c r="AD17" s="26">
        <f>236018+209847.25+105622+138051.5+64189.5+34454+20202.5+27754+16946+8179.5+9672.5+8494+21812+25095+12109+8066+3824+4092+15394+226700+172575.5+127465+93972+96529+77366.5</f>
        <v>1764430.75</v>
      </c>
      <c r="AE17" s="27">
        <f>25731+24506+13184+19079+9581+4996+3067+4392+3122+1175+1530+1410+3175+3587+1436+923+420+447+1629+25969+20073+15455+11876+13635+10490</f>
        <v>220888</v>
      </c>
      <c r="AF17" s="905">
        <f>+AD17/AE17</f>
        <v>7.98789771286806</v>
      </c>
      <c r="AG17" s="103">
        <v>7</v>
      </c>
    </row>
    <row r="18" spans="1:33" s="94" customFormat="1" ht="14.25" customHeight="1">
      <c r="A18" s="95">
        <v>8</v>
      </c>
      <c r="B18" s="114" t="s">
        <v>86</v>
      </c>
      <c r="C18" s="97"/>
      <c r="D18" s="718" t="s">
        <v>245</v>
      </c>
      <c r="E18" s="564">
        <v>40718</v>
      </c>
      <c r="F18" s="709" t="s">
        <v>32</v>
      </c>
      <c r="G18" s="719">
        <v>42</v>
      </c>
      <c r="H18" s="719">
        <v>42</v>
      </c>
      <c r="I18" s="719">
        <v>6</v>
      </c>
      <c r="J18" s="853">
        <v>6292</v>
      </c>
      <c r="K18" s="720">
        <v>887</v>
      </c>
      <c r="L18" s="853">
        <v>8909</v>
      </c>
      <c r="M18" s="720">
        <v>1176</v>
      </c>
      <c r="N18" s="853">
        <v>12750</v>
      </c>
      <c r="O18" s="720">
        <v>1711</v>
      </c>
      <c r="P18" s="34">
        <f>SUM(J18+L18+N18)</f>
        <v>27951</v>
      </c>
      <c r="Q18" s="866">
        <f>SUM(K18+M18+O18)</f>
        <v>3774</v>
      </c>
      <c r="R18" s="711">
        <f>+Q18/H18</f>
        <v>89.85714285714286</v>
      </c>
      <c r="S18" s="710">
        <f>+P18/Q18</f>
        <v>7.406200317965024</v>
      </c>
      <c r="T18" s="34">
        <v>23948</v>
      </c>
      <c r="U18" s="368">
        <f>IF(T18&lt;&gt;0,-(T18-P18)/T18,"")</f>
        <v>0.16715383330549524</v>
      </c>
      <c r="V18" s="360">
        <f>X18-P18</f>
        <v>21575</v>
      </c>
      <c r="W18" s="267">
        <f>Y18-Q18</f>
        <v>3177</v>
      </c>
      <c r="X18" s="912">
        <v>49526</v>
      </c>
      <c r="Y18" s="913">
        <v>6951</v>
      </c>
      <c r="Z18" s="368">
        <f>Q18*1/Y18</f>
        <v>0.5429434613724644</v>
      </c>
      <c r="AA18" s="368">
        <f>W18*1/Y18</f>
        <v>0.4570565386275356</v>
      </c>
      <c r="AB18" s="307">
        <f>Y18/H18</f>
        <v>165.5</v>
      </c>
      <c r="AC18" s="359">
        <f>X18/Y18</f>
        <v>7.1250179830240254</v>
      </c>
      <c r="AD18" s="26">
        <f>206744+133125+83915.5+50898.5+53053.5+49526</f>
        <v>577262.5</v>
      </c>
      <c r="AE18" s="27">
        <f>19325+12664+8208+6197+7341+6951</f>
        <v>60686</v>
      </c>
      <c r="AF18" s="905">
        <f>+AD18/AE18</f>
        <v>9.512284546682926</v>
      </c>
      <c r="AG18" s="103">
        <v>8</v>
      </c>
    </row>
    <row r="19" spans="1:33" s="94" customFormat="1" ht="14.25" customHeight="1">
      <c r="A19" s="95">
        <v>9</v>
      </c>
      <c r="B19" s="96"/>
      <c r="C19" s="97"/>
      <c r="D19" s="721">
        <v>40</v>
      </c>
      <c r="E19" s="684">
        <v>40739</v>
      </c>
      <c r="F19" s="709" t="s">
        <v>32</v>
      </c>
      <c r="G19" s="719">
        <v>17</v>
      </c>
      <c r="H19" s="719">
        <v>46</v>
      </c>
      <c r="I19" s="719">
        <v>3</v>
      </c>
      <c r="J19" s="853">
        <v>4763.5</v>
      </c>
      <c r="K19" s="720">
        <v>562</v>
      </c>
      <c r="L19" s="853">
        <v>8055.5</v>
      </c>
      <c r="M19" s="720">
        <v>886</v>
      </c>
      <c r="N19" s="853">
        <v>11426.5</v>
      </c>
      <c r="O19" s="720">
        <v>1208</v>
      </c>
      <c r="P19" s="671">
        <f>SUM(J19+L19+N19)</f>
        <v>24245.5</v>
      </c>
      <c r="Q19" s="521">
        <f>SUM(K19+M19+O19)</f>
        <v>2656</v>
      </c>
      <c r="R19" s="722">
        <f>IF(P19&lt;&gt;0,Q19/H19,"")</f>
        <v>57.73913043478261</v>
      </c>
      <c r="S19" s="360">
        <f>IF(P19&lt;&gt;0,P19/Q19,"")</f>
        <v>9.128576807228916</v>
      </c>
      <c r="T19" s="671">
        <v>42082.5</v>
      </c>
      <c r="U19" s="368">
        <f>IF(T19&lt;&gt;0,-(T19-P19)/T19,"")</f>
        <v>-0.4238578981762015</v>
      </c>
      <c r="V19" s="360">
        <f>X19-P19</f>
        <v>14953</v>
      </c>
      <c r="W19" s="267">
        <f>Y19-Q19</f>
        <v>1897</v>
      </c>
      <c r="X19" s="912">
        <v>39198.5</v>
      </c>
      <c r="Y19" s="913">
        <v>4553</v>
      </c>
      <c r="Z19" s="368">
        <f>Q19*1/Y19</f>
        <v>0.583351636283769</v>
      </c>
      <c r="AA19" s="368">
        <f>W19*1/Y19</f>
        <v>0.41664836371623104</v>
      </c>
      <c r="AB19" s="307">
        <f>Y19/H19</f>
        <v>98.97826086956522</v>
      </c>
      <c r="AC19" s="359">
        <f>X19/Y19</f>
        <v>8.609378431803206</v>
      </c>
      <c r="AD19" s="26">
        <f>100961+78170+39198.5</f>
        <v>218329.5</v>
      </c>
      <c r="AE19" s="27">
        <f>10897+8433+4553</f>
        <v>23883</v>
      </c>
      <c r="AF19" s="361">
        <f>AD19/AE19</f>
        <v>9.141627936188922</v>
      </c>
      <c r="AG19" s="103">
        <v>9</v>
      </c>
    </row>
    <row r="20" spans="1:33" s="94" customFormat="1" ht="14.25" customHeight="1">
      <c r="A20" s="95">
        <v>10</v>
      </c>
      <c r="B20" s="113"/>
      <c r="C20" s="97"/>
      <c r="D20" s="744" t="s">
        <v>410</v>
      </c>
      <c r="E20" s="505">
        <v>40753</v>
      </c>
      <c r="F20" s="709" t="s">
        <v>32</v>
      </c>
      <c r="G20" s="719">
        <v>13</v>
      </c>
      <c r="H20" s="719">
        <v>15</v>
      </c>
      <c r="I20" s="719">
        <v>1</v>
      </c>
      <c r="J20" s="853">
        <v>9700</v>
      </c>
      <c r="K20" s="720">
        <v>676</v>
      </c>
      <c r="L20" s="853">
        <v>7680</v>
      </c>
      <c r="M20" s="720">
        <v>627</v>
      </c>
      <c r="N20" s="853">
        <v>7197.5</v>
      </c>
      <c r="O20" s="720">
        <v>606</v>
      </c>
      <c r="P20" s="671">
        <f>SUM(J20+L20+N20)</f>
        <v>24577.5</v>
      </c>
      <c r="Q20" s="521">
        <f>SUM(K20+M20+O20)</f>
        <v>1909</v>
      </c>
      <c r="R20" s="722">
        <f>IF(P20&lt;&gt;0,Q20/H20,"")</f>
        <v>127.26666666666667</v>
      </c>
      <c r="S20" s="360">
        <f>IF(P20&lt;&gt;0,P20/Q20,"")</f>
        <v>12.87454164484023</v>
      </c>
      <c r="T20" s="671"/>
      <c r="U20" s="368">
        <f>IF(T20&lt;&gt;0,-(T20-P20)/T20,"")</f>
      </c>
      <c r="V20" s="360">
        <f>X20-P20</f>
        <v>12777.5</v>
      </c>
      <c r="W20" s="267">
        <f>Y20-Q20</f>
        <v>1203</v>
      </c>
      <c r="X20" s="912">
        <v>37355</v>
      </c>
      <c r="Y20" s="913">
        <v>3112</v>
      </c>
      <c r="Z20" s="368">
        <f>Q20*1/Y20</f>
        <v>0.6134318766066839</v>
      </c>
      <c r="AA20" s="368">
        <f>W20*1/Y20</f>
        <v>0.3865681233933162</v>
      </c>
      <c r="AB20" s="307">
        <f>Y20/H20</f>
        <v>207.46666666666667</v>
      </c>
      <c r="AC20" s="359">
        <f>X20/Y20</f>
        <v>12.00353470437018</v>
      </c>
      <c r="AD20" s="26">
        <f>37355</f>
        <v>37355</v>
      </c>
      <c r="AE20" s="27">
        <f>3112</f>
        <v>3112</v>
      </c>
      <c r="AF20" s="905">
        <f>+AD20/AE20</f>
        <v>12.00353470437018</v>
      </c>
      <c r="AG20" s="103">
        <v>10</v>
      </c>
    </row>
    <row r="21" spans="1:33" s="94" customFormat="1" ht="14.25" customHeight="1">
      <c r="A21" s="95">
        <v>11</v>
      </c>
      <c r="B21" s="114" t="s">
        <v>86</v>
      </c>
      <c r="C21" s="107" t="s">
        <v>85</v>
      </c>
      <c r="D21" s="725" t="s">
        <v>246</v>
      </c>
      <c r="E21" s="117">
        <v>40718</v>
      </c>
      <c r="F21" s="713" t="s">
        <v>32</v>
      </c>
      <c r="G21" s="719">
        <v>25</v>
      </c>
      <c r="H21" s="719">
        <v>25</v>
      </c>
      <c r="I21" s="719">
        <v>6</v>
      </c>
      <c r="J21" s="853">
        <v>3592</v>
      </c>
      <c r="K21" s="720">
        <v>392</v>
      </c>
      <c r="L21" s="853">
        <v>7266</v>
      </c>
      <c r="M21" s="720">
        <v>762</v>
      </c>
      <c r="N21" s="853">
        <v>8802</v>
      </c>
      <c r="O21" s="720">
        <v>920</v>
      </c>
      <c r="P21" s="34">
        <f>+J21+L21+N21</f>
        <v>19660</v>
      </c>
      <c r="Q21" s="866">
        <f>+K21+M21+O21</f>
        <v>2074</v>
      </c>
      <c r="R21" s="711">
        <f>+Q21/H21</f>
        <v>82.96</v>
      </c>
      <c r="S21" s="360">
        <f>+P21/Q21</f>
        <v>9.479267116682738</v>
      </c>
      <c r="T21" s="34">
        <v>10068.5</v>
      </c>
      <c r="U21" s="368">
        <f>IF(T21&lt;&gt;0,-(T21-P21)/T21,"")</f>
        <v>0.9526245220241347</v>
      </c>
      <c r="V21" s="360">
        <f>X21-P21</f>
        <v>13498.5</v>
      </c>
      <c r="W21" s="267">
        <f>Y21-Q21</f>
        <v>1632</v>
      </c>
      <c r="X21" s="912">
        <v>33158.5</v>
      </c>
      <c r="Y21" s="913">
        <v>3706</v>
      </c>
      <c r="Z21" s="368">
        <f>Q21*1/Y21</f>
        <v>0.5596330275229358</v>
      </c>
      <c r="AA21" s="368">
        <f>W21*1/Y21</f>
        <v>0.44036697247706424</v>
      </c>
      <c r="AB21" s="307">
        <f>Y21/H21</f>
        <v>148.24</v>
      </c>
      <c r="AC21" s="359">
        <f>X21/Y21</f>
        <v>8.947247706422019</v>
      </c>
      <c r="AD21" s="26">
        <f>57373+29138.5+18608.5+18274+18081+33158.5</f>
        <v>174633.5</v>
      </c>
      <c r="AE21" s="27">
        <f>5353+2775+2460+2094+2184+3706</f>
        <v>18572</v>
      </c>
      <c r="AF21" s="906">
        <f>AD21/AE21</f>
        <v>9.40305298298514</v>
      </c>
      <c r="AG21" s="103">
        <v>11</v>
      </c>
    </row>
    <row r="22" spans="1:33" s="94" customFormat="1" ht="14.25" customHeight="1">
      <c r="A22" s="95">
        <v>12</v>
      </c>
      <c r="B22" s="116"/>
      <c r="C22" s="107" t="s">
        <v>85</v>
      </c>
      <c r="D22" s="727" t="s">
        <v>411</v>
      </c>
      <c r="E22" s="117">
        <v>40753</v>
      </c>
      <c r="F22" s="715" t="s">
        <v>75</v>
      </c>
      <c r="G22" s="727">
        <v>10</v>
      </c>
      <c r="H22" s="854">
        <v>10</v>
      </c>
      <c r="I22" s="854">
        <v>1</v>
      </c>
      <c r="J22" s="671">
        <v>4194</v>
      </c>
      <c r="K22" s="521">
        <v>449</v>
      </c>
      <c r="L22" s="671">
        <v>7631</v>
      </c>
      <c r="M22" s="521">
        <v>794</v>
      </c>
      <c r="N22" s="671">
        <v>9145</v>
      </c>
      <c r="O22" s="521">
        <v>1001</v>
      </c>
      <c r="P22" s="34">
        <f>+J22+L22+N22</f>
        <v>20970</v>
      </c>
      <c r="Q22" s="866">
        <f>+K22+M22+O22</f>
        <v>2244</v>
      </c>
      <c r="R22" s="267">
        <f>IF(P22&lt;&gt;0,Q22/H22,"")</f>
        <v>224.4</v>
      </c>
      <c r="S22" s="360">
        <f>IF(P22&lt;&gt;0,P22/Q22,"")</f>
        <v>9.344919786096257</v>
      </c>
      <c r="T22" s="34"/>
      <c r="U22" s="368">
        <f>IF(T22&lt;&gt;0,-(T22-P22)/T22,"")</f>
      </c>
      <c r="V22" s="360">
        <f>X22-P22</f>
        <v>10535</v>
      </c>
      <c r="W22" s="267">
        <f>Y22-Q22</f>
        <v>1249</v>
      </c>
      <c r="X22" s="910">
        <v>31505</v>
      </c>
      <c r="Y22" s="911">
        <v>3493</v>
      </c>
      <c r="Z22" s="368">
        <f>Q22*1/Y22</f>
        <v>0.6424277125679931</v>
      </c>
      <c r="AA22" s="368">
        <f>W22*1/Y22</f>
        <v>0.35757228743200686</v>
      </c>
      <c r="AB22" s="307">
        <f>Y22/H22</f>
        <v>349.3</v>
      </c>
      <c r="AC22" s="359">
        <f>X22/Y22</f>
        <v>9.019467506441455</v>
      </c>
      <c r="AD22" s="28">
        <v>31505</v>
      </c>
      <c r="AE22" s="29">
        <v>3493</v>
      </c>
      <c r="AF22" s="905">
        <f>+AD22/AE22</f>
        <v>9.019467506441455</v>
      </c>
      <c r="AG22" s="103">
        <v>12</v>
      </c>
    </row>
    <row r="23" spans="1:33" s="94" customFormat="1" ht="14.25" customHeight="1">
      <c r="A23" s="95">
        <v>13</v>
      </c>
      <c r="B23" s="114" t="s">
        <v>86</v>
      </c>
      <c r="C23" s="97"/>
      <c r="D23" s="724" t="s">
        <v>68</v>
      </c>
      <c r="E23" s="117">
        <v>40682</v>
      </c>
      <c r="F23" s="709" t="s">
        <v>23</v>
      </c>
      <c r="G23" s="31">
        <v>115</v>
      </c>
      <c r="H23" s="31">
        <v>22</v>
      </c>
      <c r="I23" s="31">
        <v>12</v>
      </c>
      <c r="J23" s="710">
        <v>3504</v>
      </c>
      <c r="K23" s="711">
        <v>548</v>
      </c>
      <c r="L23" s="710">
        <v>5125</v>
      </c>
      <c r="M23" s="711">
        <v>744</v>
      </c>
      <c r="N23" s="710">
        <v>6455</v>
      </c>
      <c r="O23" s="711">
        <v>904</v>
      </c>
      <c r="P23" s="34">
        <f>SUM(J23+L23+N23)</f>
        <v>15084</v>
      </c>
      <c r="Q23" s="866">
        <f>SUM(K23+M23+O23)</f>
        <v>2196</v>
      </c>
      <c r="R23" s="267">
        <f>IF(P23&lt;&gt;0,Q23/H23,"")</f>
        <v>99.81818181818181</v>
      </c>
      <c r="S23" s="360">
        <f>+P23/Q23</f>
        <v>6.868852459016393</v>
      </c>
      <c r="T23" s="34">
        <v>17202</v>
      </c>
      <c r="U23" s="368">
        <f>IF(T23&lt;&gt;0,-(T23-P23)/T23,"")</f>
        <v>-0.12312521799790722</v>
      </c>
      <c r="V23" s="360">
        <f>X23-P23</f>
        <v>14874</v>
      </c>
      <c r="W23" s="267">
        <f>Y23-Q23</f>
        <v>3031</v>
      </c>
      <c r="X23" s="910">
        <v>29958</v>
      </c>
      <c r="Y23" s="911">
        <v>5227</v>
      </c>
      <c r="Z23" s="368">
        <f>Q23*1/Y23</f>
        <v>0.42012626745743253</v>
      </c>
      <c r="AA23" s="368">
        <f>W23*1/Y23</f>
        <v>0.5798737325425675</v>
      </c>
      <c r="AB23" s="307">
        <f>Y23/H23</f>
        <v>237.5909090909091</v>
      </c>
      <c r="AC23" s="359">
        <f>X23/Y23</f>
        <v>5.731394681461642</v>
      </c>
      <c r="AD23" s="28">
        <v>13072161</v>
      </c>
      <c r="AE23" s="521">
        <v>1159734</v>
      </c>
      <c r="AF23" s="905">
        <f>+AD23/AE23</f>
        <v>11.271689025241995</v>
      </c>
      <c r="AG23" s="103">
        <v>13</v>
      </c>
    </row>
    <row r="24" spans="1:33" s="94" customFormat="1" ht="14.25" customHeight="1">
      <c r="A24" s="95">
        <v>14</v>
      </c>
      <c r="B24" s="120"/>
      <c r="C24" s="97"/>
      <c r="D24" s="725" t="s">
        <v>399</v>
      </c>
      <c r="E24" s="686">
        <v>40746</v>
      </c>
      <c r="F24" s="713" t="s">
        <v>32</v>
      </c>
      <c r="G24" s="719">
        <v>8</v>
      </c>
      <c r="H24" s="719">
        <v>8</v>
      </c>
      <c r="I24" s="719">
        <v>2</v>
      </c>
      <c r="J24" s="853">
        <v>3923</v>
      </c>
      <c r="K24" s="720">
        <v>260</v>
      </c>
      <c r="L24" s="853">
        <v>6346.5</v>
      </c>
      <c r="M24" s="720">
        <v>404</v>
      </c>
      <c r="N24" s="853">
        <v>6445.5</v>
      </c>
      <c r="O24" s="720">
        <v>422</v>
      </c>
      <c r="P24" s="671">
        <f>SUM(J24+L24+N24)</f>
        <v>16715</v>
      </c>
      <c r="Q24" s="521">
        <f>SUM(K24+M24+O24)</f>
        <v>1086</v>
      </c>
      <c r="R24" s="267">
        <f>IF(P24&lt;&gt;0,Q24/H24,"")</f>
        <v>135.75</v>
      </c>
      <c r="S24" s="360">
        <f>IF(P24&lt;&gt;0,P24/Q24,"")</f>
        <v>15.39134438305709</v>
      </c>
      <c r="T24" s="671">
        <v>20827</v>
      </c>
      <c r="U24" s="368">
        <f>IF(T24&lt;&gt;0,-(T24-P24)/T24,"")</f>
        <v>-0.19743602055024728</v>
      </c>
      <c r="V24" s="360">
        <f>X24-P24</f>
        <v>13052</v>
      </c>
      <c r="W24" s="267">
        <f>Y24-Q24</f>
        <v>1028</v>
      </c>
      <c r="X24" s="912">
        <v>29767</v>
      </c>
      <c r="Y24" s="913">
        <v>2114</v>
      </c>
      <c r="Z24" s="368">
        <f>Q24*1/Y24</f>
        <v>0.5137180700094608</v>
      </c>
      <c r="AA24" s="368">
        <f>W24*1/Y24</f>
        <v>0.48628192999053926</v>
      </c>
      <c r="AB24" s="307">
        <f>Y24/H24</f>
        <v>264.25</v>
      </c>
      <c r="AC24" s="359">
        <f>X24/Y24</f>
        <v>14.08088930936613</v>
      </c>
      <c r="AD24" s="26">
        <f>34995.5+29767</f>
        <v>64762.5</v>
      </c>
      <c r="AE24" s="27">
        <f>2476+2114</f>
        <v>4590</v>
      </c>
      <c r="AF24" s="904">
        <f>+AD24/AE24</f>
        <v>14.109477124183007</v>
      </c>
      <c r="AG24" s="103">
        <v>14</v>
      </c>
    </row>
    <row r="25" spans="1:33" s="94" customFormat="1" ht="14.25" customHeight="1">
      <c r="A25" s="95">
        <v>15</v>
      </c>
      <c r="B25" s="116"/>
      <c r="C25" s="97"/>
      <c r="D25" s="725" t="s">
        <v>388</v>
      </c>
      <c r="E25" s="686">
        <v>40739</v>
      </c>
      <c r="F25" s="713" t="s">
        <v>32</v>
      </c>
      <c r="G25" s="719">
        <v>156</v>
      </c>
      <c r="H25" s="719">
        <v>17</v>
      </c>
      <c r="I25" s="719">
        <v>3</v>
      </c>
      <c r="J25" s="853">
        <v>2566</v>
      </c>
      <c r="K25" s="720">
        <v>254</v>
      </c>
      <c r="L25" s="853">
        <v>5741</v>
      </c>
      <c r="M25" s="720">
        <v>503</v>
      </c>
      <c r="N25" s="853">
        <v>10169.5</v>
      </c>
      <c r="O25" s="720">
        <v>742</v>
      </c>
      <c r="P25" s="34">
        <f>SUM(J25+L25+N25)</f>
        <v>18476.5</v>
      </c>
      <c r="Q25" s="866">
        <f>SUM(K25+M25+O25)</f>
        <v>1499</v>
      </c>
      <c r="R25" s="267">
        <f>IF(P25&lt;&gt;0,Q25/H25,"")</f>
        <v>88.17647058823529</v>
      </c>
      <c r="S25" s="360">
        <f>+P25/Q25</f>
        <v>12.325883922615077</v>
      </c>
      <c r="T25" s="34">
        <v>14205</v>
      </c>
      <c r="U25" s="368">
        <f>IF(T25&lt;&gt;0,-(T25-P25)/T25,"")</f>
        <v>0.3007039774727209</v>
      </c>
      <c r="V25" s="360">
        <f>X25-P25</f>
        <v>10586.5</v>
      </c>
      <c r="W25" s="267">
        <f>Y25-Q25</f>
        <v>1143</v>
      </c>
      <c r="X25" s="912">
        <v>29063</v>
      </c>
      <c r="Y25" s="913">
        <v>2642</v>
      </c>
      <c r="Z25" s="368">
        <f>Q25*1/Y25</f>
        <v>0.5673732021196064</v>
      </c>
      <c r="AA25" s="368">
        <f>W25*1/Y25</f>
        <v>0.43262679788039365</v>
      </c>
      <c r="AB25" s="307">
        <f>Y25/H25</f>
        <v>155.41176470588235</v>
      </c>
      <c r="AC25" s="359">
        <f>X25/Y25</f>
        <v>11.000378501135504</v>
      </c>
      <c r="AD25" s="26">
        <f>42541+25929.5+29063</f>
        <v>97533.5</v>
      </c>
      <c r="AE25" s="27">
        <f>3864+2719+2642</f>
        <v>9225</v>
      </c>
      <c r="AF25" s="905">
        <f>+AD25/AE25</f>
        <v>10.572737127371274</v>
      </c>
      <c r="AG25" s="103">
        <v>15</v>
      </c>
    </row>
    <row r="26" spans="1:33" s="94" customFormat="1" ht="14.25" customHeight="1">
      <c r="A26" s="95">
        <v>16</v>
      </c>
      <c r="B26" s="114" t="s">
        <v>86</v>
      </c>
      <c r="C26" s="97"/>
      <c r="D26" s="713" t="s">
        <v>264</v>
      </c>
      <c r="E26" s="117">
        <v>40725</v>
      </c>
      <c r="F26" s="713" t="s">
        <v>65</v>
      </c>
      <c r="G26" s="728">
        <v>18</v>
      </c>
      <c r="H26" s="728">
        <v>18</v>
      </c>
      <c r="I26" s="728">
        <v>5</v>
      </c>
      <c r="J26" s="671">
        <v>2972.5</v>
      </c>
      <c r="K26" s="521">
        <v>356</v>
      </c>
      <c r="L26" s="671">
        <v>6382</v>
      </c>
      <c r="M26" s="521">
        <v>711</v>
      </c>
      <c r="N26" s="671">
        <v>8002.5</v>
      </c>
      <c r="O26" s="521">
        <v>902</v>
      </c>
      <c r="P26" s="34">
        <f>SUM(J26+L26+N26)</f>
        <v>17357</v>
      </c>
      <c r="Q26" s="866">
        <f>SUM(K26+M26+O26)</f>
        <v>1969</v>
      </c>
      <c r="R26" s="711">
        <f>+Q26/H26</f>
        <v>109.38888888888889</v>
      </c>
      <c r="S26" s="360">
        <f>IF(P26&lt;&gt;0,P26/Q26,"")</f>
        <v>8.815134586084307</v>
      </c>
      <c r="T26" s="34">
        <v>9956</v>
      </c>
      <c r="U26" s="368">
        <f>IF(T26&lt;&gt;0,-(T26-P26)/T26,"")</f>
        <v>0.743370831659301</v>
      </c>
      <c r="V26" s="360">
        <f>X26-P26</f>
        <v>10733.5</v>
      </c>
      <c r="W26" s="267">
        <f>Y26-Q26</f>
        <v>1391</v>
      </c>
      <c r="X26" s="916">
        <v>28090.5</v>
      </c>
      <c r="Y26" s="917">
        <v>3360</v>
      </c>
      <c r="Z26" s="368">
        <f>Q26*1/Y26</f>
        <v>0.5860119047619048</v>
      </c>
      <c r="AA26" s="368">
        <f>W26*1/Y26</f>
        <v>0.4139880952380952</v>
      </c>
      <c r="AB26" s="307">
        <f>Y26/H26</f>
        <v>186.66666666666666</v>
      </c>
      <c r="AC26" s="359">
        <f>X26/Y26</f>
        <v>8.360267857142857</v>
      </c>
      <c r="AD26" s="671">
        <v>156735</v>
      </c>
      <c r="AE26" s="521">
        <v>15128</v>
      </c>
      <c r="AF26" s="905">
        <f>+AD26/AE26</f>
        <v>10.360589635113696</v>
      </c>
      <c r="AG26" s="103">
        <v>16</v>
      </c>
    </row>
    <row r="27" spans="1:33" s="94" customFormat="1" ht="14.25" customHeight="1">
      <c r="A27" s="95">
        <v>17</v>
      </c>
      <c r="B27" s="124"/>
      <c r="C27" s="97"/>
      <c r="D27" s="713" t="s">
        <v>360</v>
      </c>
      <c r="E27" s="206">
        <v>40697</v>
      </c>
      <c r="F27" s="713" t="s">
        <v>10</v>
      </c>
      <c r="G27" s="22">
        <v>101</v>
      </c>
      <c r="H27" s="22">
        <v>20</v>
      </c>
      <c r="I27" s="22">
        <v>9</v>
      </c>
      <c r="J27" s="23">
        <v>3810</v>
      </c>
      <c r="K27" s="503">
        <v>320</v>
      </c>
      <c r="L27" s="23">
        <v>5727</v>
      </c>
      <c r="M27" s="503">
        <v>454</v>
      </c>
      <c r="N27" s="23">
        <v>6336</v>
      </c>
      <c r="O27" s="503">
        <v>513</v>
      </c>
      <c r="P27" s="34">
        <f>+J27+L27+N27</f>
        <v>15873</v>
      </c>
      <c r="Q27" s="866">
        <f>+K27+M27+O27</f>
        <v>1287</v>
      </c>
      <c r="R27" s="267">
        <f>IF(P27&lt;&gt;0,Q27/H27,"")</f>
        <v>64.35</v>
      </c>
      <c r="S27" s="360">
        <f>IF(P27&lt;&gt;0,P27/Q27,"")</f>
        <v>12.333333333333334</v>
      </c>
      <c r="T27" s="34">
        <v>18133</v>
      </c>
      <c r="U27" s="368">
        <f>IF(T27&lt;&gt;0,-(T27-P27)/T27,"")</f>
        <v>-0.12463464401919153</v>
      </c>
      <c r="V27" s="360">
        <f>X27-P27</f>
        <v>11468</v>
      </c>
      <c r="W27" s="267">
        <f>Y27-Q27</f>
        <v>1153</v>
      </c>
      <c r="X27" s="918">
        <v>27341</v>
      </c>
      <c r="Y27" s="919">
        <v>2440</v>
      </c>
      <c r="Z27" s="368">
        <f>Q27*1/Y27</f>
        <v>0.5274590163934426</v>
      </c>
      <c r="AA27" s="368">
        <f>W27*1/Y27</f>
        <v>0.4725409836065574</v>
      </c>
      <c r="AB27" s="307">
        <f>Y27/H27</f>
        <v>122</v>
      </c>
      <c r="AC27" s="359">
        <f>X27/Y27</f>
        <v>11.205327868852459</v>
      </c>
      <c r="AD27" s="225">
        <v>3326823</v>
      </c>
      <c r="AE27" s="362">
        <v>312867</v>
      </c>
      <c r="AF27" s="361">
        <f>AD27/AE27</f>
        <v>10.633345798694014</v>
      </c>
      <c r="AG27" s="103">
        <v>17</v>
      </c>
    </row>
    <row r="28" spans="1:33" s="94" customFormat="1" ht="14.25" customHeight="1">
      <c r="A28" s="95">
        <v>18</v>
      </c>
      <c r="B28" s="114" t="s">
        <v>86</v>
      </c>
      <c r="C28" s="97"/>
      <c r="D28" s="713" t="s">
        <v>398</v>
      </c>
      <c r="E28" s="684">
        <v>40746</v>
      </c>
      <c r="F28" s="713" t="s">
        <v>21</v>
      </c>
      <c r="G28" s="22">
        <v>23</v>
      </c>
      <c r="H28" s="22">
        <v>23</v>
      </c>
      <c r="I28" s="22">
        <v>2</v>
      </c>
      <c r="J28" s="23">
        <v>3575</v>
      </c>
      <c r="K28" s="503">
        <v>304</v>
      </c>
      <c r="L28" s="23">
        <v>5807</v>
      </c>
      <c r="M28" s="503">
        <v>483</v>
      </c>
      <c r="N28" s="23">
        <v>7185.5</v>
      </c>
      <c r="O28" s="503">
        <v>594</v>
      </c>
      <c r="P28" s="710">
        <f>J28+L28+N28</f>
        <v>16567.5</v>
      </c>
      <c r="Q28" s="711">
        <f>K28+M28+O28</f>
        <v>1381</v>
      </c>
      <c r="R28" s="267">
        <f>Q28/H28</f>
        <v>60.04347826086956</v>
      </c>
      <c r="S28" s="360">
        <f>P28/Q28</f>
        <v>11.9967414916727</v>
      </c>
      <c r="T28" s="710">
        <v>24792.5</v>
      </c>
      <c r="U28" s="368">
        <f>IF(T28&lt;&gt;0,-(T28-P28)/T28,"")</f>
        <v>-0.33175355450236965</v>
      </c>
      <c r="V28" s="360">
        <f>X28-P28</f>
        <v>10662</v>
      </c>
      <c r="W28" s="267">
        <f>Y28-Q28</f>
        <v>1038</v>
      </c>
      <c r="X28" s="920">
        <v>27229.5</v>
      </c>
      <c r="Y28" s="921">
        <v>2419</v>
      </c>
      <c r="Z28" s="368">
        <f>Q28*1/Y28</f>
        <v>0.5708970649028524</v>
      </c>
      <c r="AA28" s="368">
        <f>W28*1/Y28</f>
        <v>0.4291029350971476</v>
      </c>
      <c r="AB28" s="307">
        <f>Y28/H28</f>
        <v>105.17391304347827</v>
      </c>
      <c r="AC28" s="359">
        <f>X28/Y28</f>
        <v>11.256510954940058</v>
      </c>
      <c r="AD28" s="34">
        <f>47685+27229.5</f>
        <v>74914.5</v>
      </c>
      <c r="AE28" s="29">
        <f>4321+2419</f>
        <v>6740</v>
      </c>
      <c r="AF28" s="361">
        <f>AD28/AE28</f>
        <v>11.114910979228487</v>
      </c>
      <c r="AG28" s="103">
        <v>18</v>
      </c>
    </row>
    <row r="29" spans="1:33" s="94" customFormat="1" ht="14.25" customHeight="1">
      <c r="A29" s="95">
        <v>19</v>
      </c>
      <c r="B29" s="96"/>
      <c r="C29" s="97"/>
      <c r="D29" s="726" t="s">
        <v>230</v>
      </c>
      <c r="E29" s="206">
        <v>40704</v>
      </c>
      <c r="F29" s="713" t="s">
        <v>32</v>
      </c>
      <c r="G29" s="719">
        <v>25</v>
      </c>
      <c r="H29" s="719">
        <v>23</v>
      </c>
      <c r="I29" s="719">
        <v>8</v>
      </c>
      <c r="J29" s="853">
        <v>3809</v>
      </c>
      <c r="K29" s="720">
        <v>485</v>
      </c>
      <c r="L29" s="853">
        <v>5593.5</v>
      </c>
      <c r="M29" s="720">
        <v>678</v>
      </c>
      <c r="N29" s="853">
        <v>6651</v>
      </c>
      <c r="O29" s="720">
        <v>791</v>
      </c>
      <c r="P29" s="34">
        <f>+J29+L29+N29</f>
        <v>16053.5</v>
      </c>
      <c r="Q29" s="866">
        <f>+K29+M29+O29</f>
        <v>1954</v>
      </c>
      <c r="R29" s="267">
        <f>IF(P29&lt;&gt;0,Q29/H29,"")</f>
        <v>84.95652173913044</v>
      </c>
      <c r="S29" s="360">
        <f>IF(P29&lt;&gt;0,P29/Q29,"")</f>
        <v>8.215711361310133</v>
      </c>
      <c r="T29" s="34">
        <v>15837</v>
      </c>
      <c r="U29" s="368">
        <f>IF(T29&lt;&gt;0,-(T29-P29)/T29,"")</f>
        <v>0.013670518406263812</v>
      </c>
      <c r="V29" s="360">
        <f>X29-P29</f>
        <v>11160</v>
      </c>
      <c r="W29" s="267">
        <f>Y29-Q29</f>
        <v>1531</v>
      </c>
      <c r="X29" s="912">
        <v>27213.5</v>
      </c>
      <c r="Y29" s="913">
        <v>3485</v>
      </c>
      <c r="Z29" s="368">
        <f>Q29*1/Y29</f>
        <v>0.5606886657101865</v>
      </c>
      <c r="AA29" s="368">
        <f>W29*1/Y29</f>
        <v>0.4393113342898135</v>
      </c>
      <c r="AB29" s="307">
        <f>Y29/H29</f>
        <v>151.52173913043478</v>
      </c>
      <c r="AC29" s="359">
        <f>X29/Y29</f>
        <v>7.808751793400287</v>
      </c>
      <c r="AD29" s="26">
        <f>1507.5+116073+64240.5+36865+26116.5+23857.5+27298.75+30562+27213.5</f>
        <v>353734.25</v>
      </c>
      <c r="AE29" s="27">
        <f>73+10003+5758+3705+3172+2912+3100+4082+3485</f>
        <v>36290</v>
      </c>
      <c r="AF29" s="361">
        <f>AD29/AE29</f>
        <v>9.747430421603747</v>
      </c>
      <c r="AG29" s="103">
        <v>19</v>
      </c>
    </row>
    <row r="30" spans="1:33" s="94" customFormat="1" ht="14.25" customHeight="1" thickBot="1">
      <c r="A30" s="129">
        <v>20</v>
      </c>
      <c r="B30" s="177"/>
      <c r="C30" s="130" t="s">
        <v>85</v>
      </c>
      <c r="D30" s="713" t="s">
        <v>389</v>
      </c>
      <c r="E30" s="686">
        <v>40739</v>
      </c>
      <c r="F30" s="713" t="s">
        <v>65</v>
      </c>
      <c r="G30" s="727">
        <v>15</v>
      </c>
      <c r="H30" s="728">
        <v>15</v>
      </c>
      <c r="I30" s="728">
        <v>3</v>
      </c>
      <c r="J30" s="671">
        <v>4003.5</v>
      </c>
      <c r="K30" s="521">
        <v>353</v>
      </c>
      <c r="L30" s="671">
        <v>5888</v>
      </c>
      <c r="M30" s="521">
        <v>482</v>
      </c>
      <c r="N30" s="671">
        <v>5893.5</v>
      </c>
      <c r="O30" s="521">
        <v>493</v>
      </c>
      <c r="P30" s="671">
        <f>SUM(J30+L30+N30)</f>
        <v>15785</v>
      </c>
      <c r="Q30" s="521">
        <f>SUM(K30+M30+O30)</f>
        <v>1328</v>
      </c>
      <c r="R30" s="521">
        <f>Q30/H30</f>
        <v>88.53333333333333</v>
      </c>
      <c r="S30" s="360">
        <f>+P30/Q30</f>
        <v>11.886295180722891</v>
      </c>
      <c r="T30" s="671">
        <v>8066</v>
      </c>
      <c r="U30" s="368">
        <f>IF(T30&lt;&gt;0,-(T30-P30)/T30,"")</f>
        <v>0.956979915695512</v>
      </c>
      <c r="V30" s="360">
        <f>X30-P30</f>
        <v>8994.5</v>
      </c>
      <c r="W30" s="267">
        <f>Y30-Q30</f>
        <v>922</v>
      </c>
      <c r="X30" s="916">
        <v>24779.5</v>
      </c>
      <c r="Y30" s="917">
        <v>2250</v>
      </c>
      <c r="Z30" s="368">
        <f>Q30*1/Y30</f>
        <v>0.5902222222222222</v>
      </c>
      <c r="AA30" s="368">
        <f>W30*1/Y30</f>
        <v>0.4097777777777778</v>
      </c>
      <c r="AB30" s="307">
        <f>Y30/H30</f>
        <v>150</v>
      </c>
      <c r="AC30" s="359">
        <f>X30/Y30</f>
        <v>11.013111111111112</v>
      </c>
      <c r="AD30" s="671">
        <v>69680.5</v>
      </c>
      <c r="AE30" s="521">
        <v>6698</v>
      </c>
      <c r="AF30" s="905">
        <f>+AD30/AE30</f>
        <v>10.403180053747388</v>
      </c>
      <c r="AG30" s="145">
        <v>20</v>
      </c>
    </row>
    <row r="31" spans="1:32" s="94" customFormat="1" ht="6" customHeight="1" thickBot="1">
      <c r="A31" s="146"/>
      <c r="B31" s="147"/>
      <c r="E31" s="148"/>
      <c r="G31" s="147"/>
      <c r="H31" s="147"/>
      <c r="I31" s="147"/>
      <c r="J31" s="149"/>
      <c r="K31" s="150"/>
      <c r="L31" s="149"/>
      <c r="M31" s="150"/>
      <c r="N31" s="149"/>
      <c r="O31" s="150"/>
      <c r="P31" s="151"/>
      <c r="Q31" s="152"/>
      <c r="R31" s="150"/>
      <c r="S31" s="153"/>
      <c r="T31" s="149"/>
      <c r="U31" s="154"/>
      <c r="X31" s="155"/>
      <c r="Y31" s="155"/>
      <c r="AB31" s="156"/>
      <c r="AC31" s="157"/>
      <c r="AD31" s="149"/>
      <c r="AE31" s="158"/>
      <c r="AF31" s="153"/>
    </row>
    <row r="32" spans="1:33" s="159" customFormat="1" ht="12.75">
      <c r="A32" s="798" t="s">
        <v>87</v>
      </c>
      <c r="B32" s="799"/>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800"/>
    </row>
    <row r="33" spans="1:33" s="159" customFormat="1" ht="12.75">
      <c r="A33" s="801"/>
      <c r="B33" s="802"/>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3"/>
    </row>
    <row r="34" spans="1:33" s="159" customFormat="1" ht="12.75">
      <c r="A34" s="801"/>
      <c r="B34" s="802"/>
      <c r="C34" s="802"/>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3"/>
    </row>
    <row r="35" spans="1:33" s="159" customFormat="1" ht="12.75">
      <c r="A35" s="801"/>
      <c r="B35" s="802"/>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3"/>
    </row>
    <row r="36" spans="1:33" s="159" customFormat="1" ht="12.75">
      <c r="A36" s="801"/>
      <c r="B36" s="802"/>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3"/>
    </row>
    <row r="37" spans="1:33" s="159" customFormat="1" ht="13.5" thickBot="1">
      <c r="A37" s="804"/>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6"/>
    </row>
  </sheetData>
  <sheetProtection password="F896" sheet="1" objects="1" scenarios="1"/>
  <mergeCells count="36">
    <mergeCell ref="A32:AG37"/>
    <mergeCell ref="AB6:AC6"/>
    <mergeCell ref="AD6:AG6"/>
    <mergeCell ref="AD7:AE7"/>
    <mergeCell ref="AB9:AC9"/>
    <mergeCell ref="D6:G6"/>
    <mergeCell ref="H6:I6"/>
    <mergeCell ref="J6:U6"/>
    <mergeCell ref="V6:W6"/>
    <mergeCell ref="J7:K7"/>
    <mergeCell ref="AB7:AC7"/>
    <mergeCell ref="T7:U7"/>
    <mergeCell ref="V7:W7"/>
    <mergeCell ref="AC1:AG1"/>
    <mergeCell ref="A1:I1"/>
    <mergeCell ref="X1:AB1"/>
    <mergeCell ref="A5:E5"/>
    <mergeCell ref="X5:AG5"/>
    <mergeCell ref="A2:I2"/>
    <mergeCell ref="A3:I3"/>
    <mergeCell ref="A4:E4"/>
    <mergeCell ref="J9:K9"/>
    <mergeCell ref="L9:M9"/>
    <mergeCell ref="N9:O9"/>
    <mergeCell ref="R7:S7"/>
    <mergeCell ref="P9:Q9"/>
    <mergeCell ref="N7:O7"/>
    <mergeCell ref="P7:Q7"/>
    <mergeCell ref="Z9:AA9"/>
    <mergeCell ref="L7:M7"/>
    <mergeCell ref="X6:Y6"/>
    <mergeCell ref="Z6:AA6"/>
    <mergeCell ref="R9:S9"/>
    <mergeCell ref="T9:U9"/>
    <mergeCell ref="Z7:AA7"/>
    <mergeCell ref="X7:Y7"/>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2011-08-05T23:38:04Z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