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60" windowWidth="15630" windowHeight="11025" tabRatio="804" activeTab="0"/>
  </bookViews>
  <sheets>
    <sheet name="Jun' 03-09, 11 (week 23)" sheetId="1" r:id="rId1"/>
    <sheet name="Dec' 31, 10-Jun' 09, 11 Annual" sheetId="2" r:id="rId2"/>
    <sheet name="Exyears Releases of 2011" sheetId="3" r:id="rId3"/>
    <sheet name="(TOP 20)" sheetId="4" r:id="rId4"/>
  </sheets>
  <externalReferences>
    <externalReference r:id="rId7"/>
  </externalReferences>
  <definedNames>
    <definedName name="_xlnm.Print_Area" localSheetId="0">'Jun'' 03-09, 11 (week 23)'!$A$1:$AG$112</definedName>
  </definedNames>
  <calcPr fullCalcOnLoad="1"/>
</workbook>
</file>

<file path=xl/sharedStrings.xml><?xml version="1.0" encoding="utf-8"?>
<sst xmlns="http://schemas.openxmlformats.org/spreadsheetml/2006/main" count="1650" uniqueCount="361">
  <si>
    <t>Last Weekend</t>
  </si>
  <si>
    <t>Distributor</t>
  </si>
  <si>
    <t>Friday</t>
  </si>
  <si>
    <t>Saturday</t>
  </si>
  <si>
    <t>Sunday</t>
  </si>
  <si>
    <t>Change</t>
  </si>
  <si>
    <t>Adm.</t>
  </si>
  <si>
    <t>G.B.O.</t>
  </si>
  <si>
    <t>PİNEMA</t>
  </si>
  <si>
    <t>Title</t>
  </si>
  <si>
    <t>WARNER BROS. TÜRKİYE</t>
  </si>
  <si>
    <t>Weekend Total</t>
  </si>
  <si>
    <t>YOGI BEAR</t>
  </si>
  <si>
    <t>İNCİR REÇELİ</t>
  </si>
  <si>
    <t>127 HOURS</t>
  </si>
  <si>
    <t>YA SONRA</t>
  </si>
  <si>
    <t>BLACK SWAN</t>
  </si>
  <si>
    <t>SAKLI HAYATLAR</t>
  </si>
  <si>
    <t>BATTLE: LA</t>
  </si>
  <si>
    <t>LIMITLESS</t>
  </si>
  <si>
    <t>PRESS</t>
  </si>
  <si>
    <t>ÇINAR AĞACI</t>
  </si>
  <si>
    <t>MEDYAVİZYON</t>
  </si>
  <si>
    <t>AŞK TESADÜFLERİ SEVER</t>
  </si>
  <si>
    <t>UIP TÜRKİYE</t>
  </si>
  <si>
    <t>RANGO</t>
  </si>
  <si>
    <t>EYYVAH EYVAH 2</t>
  </si>
  <si>
    <t>KAYBEDENLER KULÜBÜ</t>
  </si>
  <si>
    <t>JUST GO WITH IT</t>
  </si>
  <si>
    <t>72. KOĞUŞ</t>
  </si>
  <si>
    <t>WE ARE WHAT WE ARE</t>
  </si>
  <si>
    <t>RED RIDING HOOD</t>
  </si>
  <si>
    <t>ÖZEN FİLM</t>
  </si>
  <si>
    <t>THE GIRL WHO KICKED THE HORNETS' NEST</t>
  </si>
  <si>
    <t>THE LINCOLN LAWYER</t>
  </si>
  <si>
    <t>RIO</t>
  </si>
  <si>
    <t>TİGLON</t>
  </si>
  <si>
    <t>SOURCE CODE</t>
  </si>
  <si>
    <t>LAST NIGHT</t>
  </si>
  <si>
    <t>SCREAM 4</t>
  </si>
  <si>
    <t>WATER FOR ELEPHANTS</t>
  </si>
  <si>
    <t>SUCKER PUNCH</t>
  </si>
  <si>
    <t>WINNIE THE POOH</t>
  </si>
  <si>
    <t>LONDON BOULEVARD</t>
  </si>
  <si>
    <t>BİZİM BÜYÜK ÇARESİZLİĞİMİZ</t>
  </si>
  <si>
    <t>THE LAST EXORCISM</t>
  </si>
  <si>
    <t>ALPHA AND OMEGA</t>
  </si>
  <si>
    <t>UNKNOWN</t>
  </si>
  <si>
    <t>RABBIT HOLE</t>
  </si>
  <si>
    <t>MONSTERS</t>
  </si>
  <si>
    <t>FRITT WILT 3</t>
  </si>
  <si>
    <t>THE PACK</t>
  </si>
  <si>
    <t>MFP-CINEGROUP</t>
  </si>
  <si>
    <t>ÇOK MU KOMİK?</t>
  </si>
  <si>
    <t>FOUR LIONS</t>
  </si>
  <si>
    <t>KOLPAÇİNO: BOMBA</t>
  </si>
  <si>
    <t>THE PRODIGY</t>
  </si>
  <si>
    <t>INCENDIES</t>
  </si>
  <si>
    <t>NEVER LET ME GO</t>
  </si>
  <si>
    <t>FAST FIVE</t>
  </si>
  <si>
    <t>DEVRİMDEN SONRA</t>
  </si>
  <si>
    <t>HENRY'S CRIME</t>
  </si>
  <si>
    <t>GİŞE MEMURU</t>
  </si>
  <si>
    <t>AĞIR ABİ</t>
  </si>
  <si>
    <t>COPACABANA</t>
  </si>
  <si>
    <t>KÜÇÜK GÜNAHLAR</t>
  </si>
  <si>
    <t>PRIEST</t>
  </si>
  <si>
    <t>HOP</t>
  </si>
  <si>
    <t>VANISHING ON 7TH STREET</t>
  </si>
  <si>
    <t>LITTLE WHITE LIES</t>
  </si>
  <si>
    <t>M3 FILM</t>
  </si>
  <si>
    <t>THE VALDEMAR LEGACY</t>
  </si>
  <si>
    <t>KAR BEYAZ</t>
  </si>
  <si>
    <t>HEARTBEATS</t>
  </si>
  <si>
    <t>PIRATES OF THE CARIBBEAN: ON STRANGER TIDES</t>
  </si>
  <si>
    <t>TÜRKAN</t>
  </si>
  <si>
    <t>ŞOV BİZINIS</t>
  </si>
  <si>
    <t xml:space="preserve">THOR </t>
  </si>
  <si>
    <t>BEASTLY</t>
  </si>
  <si>
    <t>MİSAFİR</t>
  </si>
  <si>
    <t>HOODWINKED</t>
  </si>
  <si>
    <t>POTICHE</t>
  </si>
  <si>
    <t>PARTIR</t>
  </si>
  <si>
    <t>DUKA FİLM</t>
  </si>
  <si>
    <t>SOMEWHERE</t>
  </si>
  <si>
    <t>KAYIP ÖZGÜRLÜK</t>
  </si>
  <si>
    <t>JAN MEDYA</t>
  </si>
  <si>
    <t>HOP DEDİK: DELİ DUMRUL</t>
  </si>
  <si>
    <t>NO STRINGS ATTACHED</t>
  </si>
  <si>
    <t xml:space="preserve">İÇİMDEKİ SESSİZ NEHİR </t>
  </si>
  <si>
    <t>ERÖZ FİLM</t>
  </si>
  <si>
    <t>IN A BETTER WORLD</t>
  </si>
  <si>
    <t>UMUT SANAT</t>
  </si>
  <si>
    <t>TANGLED</t>
  </si>
  <si>
    <t>THE FIGHTER</t>
  </si>
  <si>
    <t>Weekly Admissions &amp; Box Office Report / Türkiye Haftalık Seyirci ve Hasılat Raporu</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</si>
  <si>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</si>
  <si>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</si>
  <si>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</si>
  <si>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</si>
  <si>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</si>
  <si>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</si>
  <si>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</si>
  <si>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</si>
  <si>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</si>
  <si>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</si>
  <si>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</si>
  <si>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</si>
  <si>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</si>
  <si>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</si>
  <si>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</si>
  <si>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</si>
  <si>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</si>
  <si>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</si>
  <si>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</si>
  <si>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</si>
  <si>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</si>
  <si>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</si>
  <si>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</si>
  <si>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</si>
  <si>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</si>
  <si>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</si>
  <si>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</si>
  <si>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</si>
  <si>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</si>
  <si>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</si>
  <si>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Weekend admissions and box office datas - </t>
    </r>
    <r>
      <rPr>
        <b/>
        <sz val="11"/>
        <color indexed="10"/>
        <rFont val="Corbel"/>
        <family val="2"/>
      </rPr>
      <t>Haftasonu seyirci ve hasılat verileri</t>
    </r>
  </si>
  <si>
    <r>
      <t xml:space="preserve">Rest of the week - </t>
    </r>
    <r>
      <rPr>
        <b/>
        <sz val="11"/>
        <color indexed="10"/>
        <rFont val="Corbel"/>
        <family val="2"/>
      </rPr>
      <t>Haftaiçi</t>
    </r>
  </si>
  <si>
    <r>
      <t xml:space="preserve">Cumulative datas - </t>
    </r>
    <r>
      <rPr>
        <b/>
        <sz val="11"/>
        <color indexed="10"/>
        <rFont val="Corbel"/>
        <family val="2"/>
      </rPr>
      <t>Toplam veriler</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</si>
  <si>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</si>
  <si>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</si>
  <si>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</si>
  <si>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</si>
  <si>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</si>
  <si>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</si>
  <si>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</si>
  <si>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</si>
  <si>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</si>
  <si>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</si>
  <si>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GÖLGELER VE SURETLER</t>
  </si>
  <si>
    <t>OPEN SEASON 3</t>
  </si>
  <si>
    <t>PLANET 51</t>
  </si>
  <si>
    <t>GULLIVER'S TRAVELS</t>
  </si>
  <si>
    <t>BIG MOMMAS: LIKE FATHER, LIKE SON</t>
  </si>
  <si>
    <t>WINTER'S BONE</t>
  </si>
  <si>
    <t>UNSTOPPABLE</t>
  </si>
  <si>
    <t>KUTSAL DAMACANA: DRACOOLA</t>
  </si>
  <si>
    <t>THE KIDS ARE ALL RIGHT</t>
  </si>
  <si>
    <t>THE NEXT THREE DAYS</t>
  </si>
  <si>
    <t>THE KING'S SPEECH</t>
  </si>
  <si>
    <r>
      <t xml:space="preserve">Adm.   </t>
    </r>
    <r>
      <rPr>
        <b/>
        <sz val="9"/>
        <color indexed="10"/>
        <rFont val="Calibri"/>
        <family val="2"/>
      </rPr>
      <t>Seyirci</t>
    </r>
  </si>
  <si>
    <r>
      <t xml:space="preserve">Av. Of Ticket P. </t>
    </r>
    <r>
      <rPr>
        <b/>
        <sz val="9"/>
        <color indexed="10"/>
        <rFont val="Calibri"/>
        <family val="2"/>
      </rPr>
      <t>Bilet satış fiyatı</t>
    </r>
  </si>
  <si>
    <r>
      <t xml:space="preserve">Adm.                   </t>
    </r>
    <r>
      <rPr>
        <b/>
        <sz val="9"/>
        <color indexed="10"/>
        <rFont val="Calibri"/>
        <family val="2"/>
      </rPr>
      <t>Seyirci</t>
    </r>
  </si>
  <si>
    <r>
      <t>If you move the arrow at the right bottom of the page to the left, you can see more columns and you can switch to other pages on the left bottom to see related tables.</t>
    </r>
    <r>
      <rPr>
        <i/>
        <sz val="7"/>
        <color indexed="23"/>
        <rFont val="Courier New"/>
        <family val="3"/>
      </rPr>
      <t xml:space="preserve"> </t>
    </r>
    <r>
      <rPr>
        <i/>
        <sz val="7"/>
        <color indexed="10"/>
        <rFont val="Courier New"/>
        <family val="3"/>
      </rPr>
      <t>Sayfanın sağ altındaki oku sola doğru hareket ettirdiğinizde diğer sütunlardaki bilgileri görebilir, gene sayfanın sol altındaki diğer sayfalara geçerek ilgili tabloları inceleyebilirsiniz.</t>
    </r>
  </si>
  <si>
    <t>http://www.antraktsinema.com</t>
  </si>
  <si>
    <t>http://www.antraktsinema.com/boxoffice-rapor.php</t>
  </si>
  <si>
    <t>(500) DAYS OF SUMMER</t>
  </si>
  <si>
    <t>AFTER.LIFE</t>
  </si>
  <si>
    <t>ALVIN &amp; THE CHIPMUNKS: THE SQUEAKQUEL</t>
  </si>
  <si>
    <t>AN EDUCATION</t>
  </si>
  <si>
    <t>TIGLON</t>
  </si>
  <si>
    <t>AŞKIN İKİNCİ YARISI</t>
  </si>
  <si>
    <t>AV MEVSİMİ</t>
  </si>
  <si>
    <t>AVATAR</t>
  </si>
  <si>
    <t>AYLA</t>
  </si>
  <si>
    <t>BLACK HEAVEN</t>
  </si>
  <si>
    <t>M3 FİLM</t>
  </si>
  <si>
    <t>BRIGHT STAR</t>
  </si>
  <si>
    <t>CARAMEL</t>
  </si>
  <si>
    <t>CHANTIER FILMS</t>
  </si>
  <si>
    <t>CENTURION</t>
  </si>
  <si>
    <t>CHUGYEOGJA</t>
  </si>
  <si>
    <t>COCO AVANT CHANEL</t>
  </si>
  <si>
    <t>COCO CHANEL &amp; IGOR STRAVINSKY</t>
  </si>
  <si>
    <t>CINE FILM</t>
  </si>
  <si>
    <t>DESPICABLE ME</t>
  </si>
  <si>
    <t>DETOUR</t>
  </si>
  <si>
    <t>DIARY OF A WIMPY KID</t>
  </si>
  <si>
    <t>DIE FREMDE (AYRILIK)</t>
  </si>
  <si>
    <t>DUE DATE</t>
  </si>
  <si>
    <t>EAT PRAY LOVE</t>
  </si>
  <si>
    <t>EDEN IS WEST</t>
  </si>
  <si>
    <t>GARFIELD'S PET FORCE</t>
  </si>
  <si>
    <t>GNOMES AND TROLLS: THE SECRET CHAMBER</t>
  </si>
  <si>
    <t>HARRY POTTER 7a</t>
  </si>
  <si>
    <t>HUNGER</t>
  </si>
  <si>
    <t>HUSH</t>
  </si>
  <si>
    <t>ICE AGE 3: DAWN OF THE DINOSAURS</t>
  </si>
  <si>
    <t>IMPY'S WONDERLAND</t>
  </si>
  <si>
    <t>INCEPTION</t>
  </si>
  <si>
    <t>INHALE</t>
  </si>
  <si>
    <t>IT'S A FREE WORLD</t>
  </si>
  <si>
    <t>I'VE LOVED YOU SO LONG</t>
  </si>
  <si>
    <t>JOHN RABE</t>
  </si>
  <si>
    <t>JOURNEY TO THE CENTER OF THE EARTH</t>
  </si>
  <si>
    <t>KNIGHT AND DAY</t>
  </si>
  <si>
    <t>LA VERITABLE HISTOIRE DU CHAT BOTTE</t>
  </si>
  <si>
    <t>L'AGE DE RAISON</t>
  </si>
  <si>
    <t>LE CONCERT</t>
  </si>
  <si>
    <t>LEMON TREE</t>
  </si>
  <si>
    <t>LIFE AS WE KNOW IT</t>
  </si>
  <si>
    <t>L'ILLUSIONNIST</t>
  </si>
  <si>
    <t>CHANTEIR FILMS</t>
  </si>
  <si>
    <t>LITTLE FOCKERS</t>
  </si>
  <si>
    <t>LITTLE NICHOLAS</t>
  </si>
  <si>
    <t>LOOKING FOR ERIC</t>
  </si>
  <si>
    <t>MOTHER AND CHILD</t>
  </si>
  <si>
    <t>MY SOUL TO TAKE</t>
  </si>
  <si>
    <t>OCEAN WORLD 3D</t>
  </si>
  <si>
    <t>PARANORMAL ACTIVITY 2</t>
  </si>
  <si>
    <t>PERCY JACKSON &amp; THE OLYMPIANS: THE LIGHTNING THIEF</t>
  </si>
  <si>
    <t>PONYO ON THE CLIFF BY THE SEA</t>
  </si>
  <si>
    <t>R.E.D.</t>
  </si>
  <si>
    <t>RED</t>
  </si>
  <si>
    <t>RESIDENT EVIL: AFTERLIFE</t>
  </si>
  <si>
    <t>RICKY</t>
  </si>
  <si>
    <t>SAMMY'S ADVENTURES</t>
  </si>
  <si>
    <t>SAW 3D</t>
  </si>
  <si>
    <t>SKYLINE</t>
  </si>
  <si>
    <t>STONE</t>
  </si>
  <si>
    <t>SUNSHINE CLEANING</t>
  </si>
  <si>
    <t>TALE 52</t>
  </si>
  <si>
    <t>TENGRI: BLUE HEAVENS</t>
  </si>
  <si>
    <t>THE A TEAM</t>
  </si>
  <si>
    <t>THE CHOKE</t>
  </si>
  <si>
    <t>THE CHRONICLES OF NARNIA: THE VOVAYE OF THE DAWN TREADER</t>
  </si>
  <si>
    <t>THE DUST OF TIME</t>
  </si>
  <si>
    <t>THE GIRL WHO PLAYED WITH FIRE</t>
  </si>
  <si>
    <t>THE KARATE KID</t>
  </si>
  <si>
    <t>THE LAST EXORCİSM</t>
  </si>
  <si>
    <t>THE SECRET OF MOONACRE</t>
  </si>
  <si>
    <t>THE SOCIAL NETWORK</t>
  </si>
  <si>
    <t>THE STONING OF SORAYA M.</t>
  </si>
  <si>
    <t>THE TOURIST</t>
  </si>
  <si>
    <t>THE TOWN</t>
  </si>
  <si>
    <t>THE WAVE</t>
  </si>
  <si>
    <t>TWILIGHT SAGA: NEW MOON</t>
  </si>
  <si>
    <t>UNCLE BOONMEE WHO CAN RECALL HIS PAST LIVES</t>
  </si>
  <si>
    <t>VAMPIRES SUCK</t>
  </si>
  <si>
    <t>VAY ARKADAŞ</t>
  </si>
  <si>
    <t>WINX CLUB 3D: MAGICAL ADVENTURE</t>
  </si>
  <si>
    <t>YOU AGAIN</t>
  </si>
  <si>
    <t>YOUNG VICTORIA</t>
  </si>
  <si>
    <t xml:space="preserve">AŞK GELİYORUM DEMEZ </t>
  </si>
  <si>
    <t xml:space="preserve">AŞKIN İKİNCİ YARISI </t>
  </si>
  <si>
    <t xml:space="preserve">AV MEVSİMİ </t>
  </si>
  <si>
    <t xml:space="preserve">AY LAV YU </t>
  </si>
  <si>
    <t xml:space="preserve">CEHENNEM 3D </t>
  </si>
  <si>
    <t xml:space="preserve">ÇAKAL </t>
  </si>
  <si>
    <t xml:space="preserve">ÇAKALLARLA DANS </t>
  </si>
  <si>
    <t xml:space="preserve">ÇOĞUNLUK </t>
  </si>
  <si>
    <t xml:space="preserve">DERSİMİZ: ATATÜRK </t>
  </si>
  <si>
    <t xml:space="preserve">GİTMEK </t>
  </si>
  <si>
    <t xml:space="preserve">HAYAT VAR </t>
  </si>
  <si>
    <t xml:space="preserve">KAVŞAK </t>
  </si>
  <si>
    <t xml:space="preserve">KOSMOS </t>
  </si>
  <si>
    <t xml:space="preserve">KUBİLAY </t>
  </si>
  <si>
    <t xml:space="preserve">MEMLEKETTE DEMOKRASİ VAR </t>
  </si>
  <si>
    <t xml:space="preserve">NENE HATUN </t>
  </si>
  <si>
    <t xml:space="preserve">NEW YORK'TA BEŞ MİNARE </t>
  </si>
  <si>
    <t xml:space="preserve">NOKTA </t>
  </si>
  <si>
    <t xml:space="preserve">O KUL </t>
  </si>
  <si>
    <t xml:space="preserve">PAK PANTER </t>
  </si>
  <si>
    <t xml:space="preserve">POLİS </t>
  </si>
  <si>
    <t xml:space="preserve">PRENSESİN UYKUSU </t>
  </si>
  <si>
    <t xml:space="preserve">SULTANIN SIRRI </t>
  </si>
  <si>
    <t xml:space="preserve">ŞENLİKNAME: BİR İSTANBUL MASALI </t>
  </si>
  <si>
    <t xml:space="preserve">TESLİMİYET </t>
  </si>
  <si>
    <t xml:space="preserve">UÇAN MELEKLER </t>
  </si>
  <si>
    <t xml:space="preserve">ÜÇ HARFLİLER: MARİD </t>
  </si>
  <si>
    <t xml:space="preserve">VAY ARKADAŞ </t>
  </si>
  <si>
    <t xml:space="preserve">VEDA </t>
  </si>
  <si>
    <t>Exyears releases of 2011</t>
  </si>
  <si>
    <r>
      <t>Weekly Admissions &amp; Box Office Report /</t>
    </r>
    <r>
      <rPr>
        <b/>
        <i/>
        <sz val="10"/>
        <color indexed="16"/>
        <rFont val="Calibri"/>
        <family val="2"/>
      </rPr>
      <t xml:space="preserve"> Türkiye Haftalık Seyirci ve Hasılat Raporu</t>
    </r>
  </si>
  <si>
    <t>ANNUAL - 2011 NEW RELEASES - ALL WEEKS</t>
  </si>
  <si>
    <t>2011'de ilk kez vizyona çıkan filmlerin yıl içerisindeki toplam seyirci ve hasılat verileri</t>
  </si>
  <si>
    <t>2011 yılında vizyona çıkan ilk gösterimini 2011'den önce yapan filmlerin seyirci ve hasılat verileri</t>
  </si>
  <si>
    <r>
      <t xml:space="preserve">TOP 20 - </t>
    </r>
    <r>
      <rPr>
        <b/>
        <sz val="20"/>
        <color indexed="16"/>
        <rFont val="Arial Black"/>
        <family val="2"/>
      </rPr>
      <t>İLK 20</t>
    </r>
  </si>
  <si>
    <t>KURTLAR VADİSİ FİLİSTİN</t>
  </si>
  <si>
    <t>HÜR ADAM</t>
  </si>
  <si>
    <t>TRON: LEGACY</t>
  </si>
  <si>
    <t>SANCTUM</t>
  </si>
  <si>
    <t>SEASON OF THE WITCH</t>
  </si>
  <si>
    <t>THE RITE</t>
  </si>
  <si>
    <t>DRIVE ANGRY</t>
  </si>
  <si>
    <t>MEGAMIND</t>
  </si>
  <si>
    <t>ANIMALS UNITED</t>
  </si>
  <si>
    <t>LOVE&amp;OTHER DRUGS</t>
  </si>
  <si>
    <t>BİR AVUÇ DENİZ</t>
  </si>
  <si>
    <t>BIUTIFUL</t>
  </si>
  <si>
    <t>I AM NUMBER FOUR</t>
  </si>
  <si>
    <t>GREEN HORNET</t>
  </si>
  <si>
    <t xml:space="preserve">ÇALGI ÇENGİ </t>
  </si>
  <si>
    <t>STEP UP</t>
  </si>
  <si>
    <t>TRUE GRIT</t>
  </si>
  <si>
    <t>SPREAD</t>
  </si>
  <si>
    <t>23</t>
  </si>
  <si>
    <t>19</t>
  </si>
  <si>
    <t xml:space="preserve">KUKURİKU: KADIN KRALLIĞI </t>
  </si>
  <si>
    <t xml:space="preserve">KAĞIT </t>
  </si>
  <si>
    <t xml:space="preserve">MEMLEKET MESELESİ </t>
  </si>
  <si>
    <t>ATLIKARINCA</t>
  </si>
  <si>
    <t>SİNYORA ENRICA İLE İTALYAN OLMAK</t>
  </si>
  <si>
    <t>PINA</t>
  </si>
  <si>
    <t>CHERKESS</t>
  </si>
  <si>
    <t>ONAY FİLM</t>
  </si>
  <si>
    <t>I AM LOVE</t>
  </si>
  <si>
    <t>THE EXPERIMENT</t>
  </si>
  <si>
    <t>GET LOW</t>
  </si>
  <si>
    <t>BARNEY'S VERSION</t>
  </si>
  <si>
    <t xml:space="preserve">HAYDE BRE </t>
  </si>
  <si>
    <t>CERTIFIED COPY</t>
  </si>
  <si>
    <t>SECRETARIAT</t>
  </si>
  <si>
    <t>MEŞ</t>
  </si>
  <si>
    <t>NAR FİLM</t>
  </si>
  <si>
    <t xml:space="preserve">KİR </t>
  </si>
  <si>
    <t>KITES</t>
  </si>
  <si>
    <t>CHERRYBOMB</t>
  </si>
  <si>
    <t>CIRKUS COLUMBIA</t>
  </si>
  <si>
    <t>ZEFİR</t>
  </si>
  <si>
    <t xml:space="preserve">YÜRÜGARİ İBRAM </t>
  </si>
  <si>
    <t>THE TREE</t>
  </si>
  <si>
    <t>THE MISFORTUNATES</t>
  </si>
  <si>
    <t>7 AVLU</t>
  </si>
  <si>
    <t>EVERYTHING WILL BE FINE</t>
  </si>
  <si>
    <t>THE SILENT ARMY</t>
  </si>
  <si>
    <t>SENNA</t>
  </si>
  <si>
    <t>SOMETHING BORROWED</t>
  </si>
  <si>
    <t>HEARTBREAKER</t>
  </si>
  <si>
    <t>THERE BE DRAGONS</t>
  </si>
  <si>
    <t>POINT BLANK</t>
  </si>
  <si>
    <t>I  SAW THE DEVIL</t>
  </si>
  <si>
    <t>TROLL HUNTER</t>
  </si>
  <si>
    <r>
      <t xml:space="preserve">Weeks Adm. - </t>
    </r>
    <r>
      <rPr>
        <b/>
        <sz val="11"/>
        <color indexed="10"/>
        <rFont val="Corbel"/>
        <family val="2"/>
      </rPr>
      <t>Haftalık seyirci</t>
    </r>
  </si>
  <si>
    <r>
      <t xml:space="preserve">G.B.O            </t>
    </r>
    <r>
      <rPr>
        <b/>
        <sz val="9"/>
        <color indexed="10"/>
        <rFont val="Calibri"/>
        <family val="2"/>
      </rPr>
      <t>Hasılat-TL.</t>
    </r>
  </si>
  <si>
    <r>
      <t xml:space="preserve">G.B.O             </t>
    </r>
    <r>
      <rPr>
        <b/>
        <sz val="9"/>
        <color indexed="10"/>
        <rFont val="Calibri"/>
        <family val="2"/>
      </rPr>
      <t>Hasılat -TL.</t>
    </r>
  </si>
  <si>
    <r>
      <t xml:space="preserve">Local G.B.O    </t>
    </r>
    <r>
      <rPr>
        <b/>
        <sz val="9"/>
        <color indexed="10"/>
        <rFont val="Calibri"/>
        <family val="2"/>
      </rPr>
      <t xml:space="preserve">         Yerli Hasılat-TL.</t>
    </r>
  </si>
  <si>
    <r>
      <t xml:space="preserve">Local Adm.     </t>
    </r>
    <r>
      <rPr>
        <b/>
        <sz val="9"/>
        <color indexed="10"/>
        <rFont val="Calibri"/>
        <family val="2"/>
      </rPr>
      <t>Yerli Seyirci</t>
    </r>
  </si>
  <si>
    <r>
      <t xml:space="preserve">Week: 23 / </t>
    </r>
    <r>
      <rPr>
        <b/>
        <u val="single"/>
        <sz val="20"/>
        <color indexed="10"/>
        <rFont val="Candara"/>
        <family val="2"/>
      </rPr>
      <t>Jun' 03-09, 2011</t>
    </r>
  </si>
  <si>
    <r>
      <t xml:space="preserve">Hafta: 23 / </t>
    </r>
    <r>
      <rPr>
        <b/>
        <u val="single"/>
        <sz val="20"/>
        <color indexed="10"/>
        <rFont val="Candara"/>
        <family val="2"/>
      </rPr>
      <t>03-09 Haziran 2011</t>
    </r>
  </si>
  <si>
    <r>
      <t xml:space="preserve"> first 23 weeks in </t>
    </r>
    <r>
      <rPr>
        <b/>
        <u val="single"/>
        <sz val="14"/>
        <rFont val="Calibri"/>
        <family val="2"/>
      </rPr>
      <t>2010</t>
    </r>
    <r>
      <rPr>
        <b/>
        <sz val="14"/>
        <rFont val="Calibri"/>
        <family val="2"/>
      </rPr>
      <t xml:space="preserve"> </t>
    </r>
    <r>
      <rPr>
        <b/>
        <sz val="14"/>
        <color indexed="10"/>
        <rFont val="Calibri"/>
        <family val="2"/>
      </rPr>
      <t>ilk 23 hafta</t>
    </r>
  </si>
  <si>
    <r>
      <t xml:space="preserve">first 23 weeks in </t>
    </r>
    <r>
      <rPr>
        <b/>
        <u val="single"/>
        <sz val="14"/>
        <rFont val="Calibri"/>
        <family val="2"/>
      </rPr>
      <t>2011</t>
    </r>
    <r>
      <rPr>
        <b/>
        <sz val="14"/>
        <rFont val="Calibri"/>
        <family val="2"/>
      </rPr>
      <t xml:space="preserve"> </t>
    </r>
    <r>
      <rPr>
        <b/>
        <sz val="14"/>
        <color indexed="10"/>
        <rFont val="Calibri"/>
        <family val="2"/>
      </rPr>
      <t>ilk 23 hafta</t>
    </r>
  </si>
  <si>
    <r>
      <t xml:space="preserve"> Dec' 31, 2010 - Jun' 09, 2011</t>
    </r>
  </si>
  <si>
    <t>31 Aralık 2010 - 09 Haziran 2011</t>
  </si>
  <si>
    <r>
      <t xml:space="preserve">Week: 23 / </t>
    </r>
    <r>
      <rPr>
        <b/>
        <u val="single"/>
        <sz val="14"/>
        <rFont val="Candara"/>
        <family val="2"/>
      </rPr>
      <t>Jun' 03-09, 2011</t>
    </r>
  </si>
  <si>
    <r>
      <t xml:space="preserve">Hafta: 23 / </t>
    </r>
    <r>
      <rPr>
        <b/>
        <u val="single"/>
        <sz val="14"/>
        <color indexed="10"/>
        <rFont val="Candara"/>
        <family val="2"/>
      </rPr>
      <t>03-09 Haziran 2011</t>
    </r>
  </si>
  <si>
    <t>HANGOVER II</t>
  </si>
  <si>
    <t>X-MEN: FIRST CLASS</t>
  </si>
  <si>
    <t>GNOMEO &amp; JULIET</t>
  </si>
  <si>
    <t>THE WARD</t>
  </si>
  <si>
    <t>KALEDEKİ YALNIZLIK</t>
  </si>
  <si>
    <t>KIDNAPPED</t>
  </si>
  <si>
    <t>THE FIRST BEAUTIFUL THING</t>
  </si>
  <si>
    <t>ROOM IN ROME</t>
  </si>
  <si>
    <t>WRECKED</t>
  </si>
  <si>
    <t>GÜNAH KEÇİSİ</t>
  </si>
  <si>
    <r>
      <t xml:space="preserve">Local G.B.O    </t>
    </r>
    <r>
      <rPr>
        <b/>
        <sz val="9"/>
        <color indexed="10"/>
        <rFont val="Calibri"/>
        <family val="2"/>
      </rPr>
      <t xml:space="preserve">       Hasılat-TL.</t>
    </r>
  </si>
  <si>
    <r>
      <t xml:space="preserve">Local Adm.     </t>
    </r>
    <r>
      <rPr>
        <b/>
        <sz val="9"/>
        <color indexed="10"/>
        <rFont val="Calibri"/>
        <family val="2"/>
      </rPr>
      <t>Seyirci</t>
    </r>
  </si>
  <si>
    <r>
      <t xml:space="preserve">TÜRKİYE'S </t>
    </r>
    <r>
      <rPr>
        <b/>
        <u val="single"/>
        <sz val="40"/>
        <color indexed="16"/>
        <rFont val="Calibri"/>
        <family val="2"/>
      </rPr>
      <t xml:space="preserve">WEEKLY </t>
    </r>
    <r>
      <rPr>
        <b/>
        <sz val="40"/>
        <rFont val="Calibri"/>
        <family val="2"/>
      </rPr>
      <t>MARKET DATA</t>
    </r>
  </si>
  <si>
    <r>
      <t xml:space="preserve">TÜRKİYE'S </t>
    </r>
    <r>
      <rPr>
        <b/>
        <u val="single"/>
        <sz val="28"/>
        <color indexed="16"/>
        <rFont val="Calibri"/>
        <family val="2"/>
      </rPr>
      <t xml:space="preserve">WEEKLY </t>
    </r>
    <r>
      <rPr>
        <b/>
        <sz val="28"/>
        <rFont val="Calibri"/>
        <family val="2"/>
      </rPr>
      <t>MARKET DATA</t>
    </r>
  </si>
  <si>
    <t>THE ADJUSTMENT BREAU</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</si>
</sst>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s>
  <fonts count="141">
    <font>
      <sz val="10"/>
      <name val="Arial"/>
      <family val="0"/>
    </font>
    <font>
      <sz val="8"/>
      <name val="Arial"/>
      <family val="2"/>
    </font>
    <font>
      <u val="single"/>
      <sz val="10"/>
      <color indexed="12"/>
      <name val="Arial"/>
      <family val="0"/>
    </font>
    <font>
      <u val="single"/>
      <sz val="10"/>
      <color indexed="36"/>
      <name val="Arial"/>
      <family val="0"/>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b/>
      <u val="single"/>
      <sz val="40"/>
      <color indexed="16"/>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20"/>
      <name val="Candara"/>
      <family val="2"/>
    </font>
    <font>
      <sz val="10"/>
      <name val="Candara"/>
      <family val="2"/>
    </font>
    <font>
      <b/>
      <u val="single"/>
      <sz val="20"/>
      <color indexed="10"/>
      <name val="Candara"/>
      <family val="2"/>
    </font>
    <font>
      <b/>
      <sz val="9"/>
      <name val="Calibri"/>
      <family val="2"/>
    </font>
    <font>
      <b/>
      <i/>
      <sz val="10"/>
      <name val="Calibri"/>
      <family val="2"/>
    </font>
    <font>
      <b/>
      <sz val="20"/>
      <name val="Calibri"/>
      <family val="2"/>
    </font>
    <font>
      <b/>
      <sz val="9"/>
      <color indexed="10"/>
      <name val="Calibri"/>
      <family val="2"/>
    </font>
    <font>
      <b/>
      <sz val="7"/>
      <name val="Arial"/>
      <family val="2"/>
    </font>
    <font>
      <b/>
      <sz val="8"/>
      <name val="Arial"/>
      <family val="2"/>
    </font>
    <font>
      <i/>
      <sz val="7"/>
      <color indexed="23"/>
      <name val="Courier New"/>
      <family val="3"/>
    </font>
    <font>
      <i/>
      <sz val="7"/>
      <color indexed="10"/>
      <name val="Courier New"/>
      <family val="3"/>
    </font>
    <font>
      <i/>
      <sz val="7"/>
      <color indexed="23"/>
      <name val="Arial"/>
      <family val="0"/>
    </font>
    <font>
      <i/>
      <sz val="8"/>
      <color indexed="23"/>
      <name val="Wingdings 3"/>
      <family val="1"/>
    </font>
    <font>
      <b/>
      <i/>
      <sz val="25"/>
      <color indexed="10"/>
      <name val="Wingdings 3"/>
      <family val="1"/>
    </font>
    <font>
      <b/>
      <i/>
      <sz val="25"/>
      <color indexed="12"/>
      <name val="Wingdings 3"/>
      <family val="1"/>
    </font>
    <font>
      <b/>
      <sz val="14"/>
      <name val="Calibri"/>
      <family val="2"/>
    </font>
    <font>
      <b/>
      <sz val="14"/>
      <color indexed="10"/>
      <name val="Calibri"/>
      <family val="2"/>
    </font>
    <font>
      <b/>
      <u val="single"/>
      <sz val="14"/>
      <name val="Calibri"/>
      <family val="2"/>
    </font>
    <font>
      <i/>
      <sz val="7"/>
      <name val="Courier New"/>
      <family val="3"/>
    </font>
    <font>
      <u val="single"/>
      <sz val="12"/>
      <color indexed="12"/>
      <name val="Corbel"/>
      <family val="2"/>
    </font>
    <font>
      <sz val="12"/>
      <name val="Corbel"/>
      <family val="2"/>
    </font>
    <font>
      <b/>
      <sz val="28"/>
      <name val="Calibri"/>
      <family val="2"/>
    </font>
    <font>
      <b/>
      <u val="single"/>
      <sz val="28"/>
      <color indexed="16"/>
      <name val="Calibri"/>
      <family val="2"/>
    </font>
    <font>
      <sz val="28"/>
      <name val="Arial"/>
      <family val="0"/>
    </font>
    <font>
      <b/>
      <u val="single"/>
      <sz val="18"/>
      <color indexed="10"/>
      <name val="Candara"/>
      <family val="2"/>
    </font>
    <font>
      <sz val="18"/>
      <name val="Candara"/>
      <family val="2"/>
    </font>
    <font>
      <sz val="20"/>
      <name val="Corbel"/>
      <family val="2"/>
    </font>
    <font>
      <u val="single"/>
      <sz val="20"/>
      <name val="Corbel"/>
      <family val="2"/>
    </font>
    <font>
      <sz val="20"/>
      <name val="Arial"/>
      <family val="0"/>
    </font>
    <font>
      <sz val="10"/>
      <name val="Arial Tur"/>
      <family val="0"/>
    </font>
    <font>
      <sz val="11"/>
      <color indexed="8"/>
      <name val="Calibri"/>
      <family val="2"/>
    </font>
    <font>
      <b/>
      <u val="single"/>
      <sz val="18"/>
      <name val="Candara"/>
      <family val="2"/>
    </font>
    <font>
      <b/>
      <i/>
      <sz val="10"/>
      <color indexed="16"/>
      <name val="Calibri"/>
      <family val="2"/>
    </font>
    <font>
      <sz val="10"/>
      <color indexed="16"/>
      <name val="Arial"/>
      <family val="0"/>
    </font>
    <font>
      <b/>
      <sz val="20"/>
      <name val="Arial Black"/>
      <family val="2"/>
    </font>
    <font>
      <b/>
      <sz val="20"/>
      <color indexed="16"/>
      <name val="Arial Black"/>
      <family val="2"/>
    </font>
    <font>
      <b/>
      <sz val="14"/>
      <name val="Candara"/>
      <family val="2"/>
    </font>
    <font>
      <b/>
      <u val="single"/>
      <sz val="14"/>
      <name val="Candara"/>
      <family val="2"/>
    </font>
    <font>
      <sz val="14"/>
      <name val="Candara"/>
      <family val="2"/>
    </font>
    <font>
      <b/>
      <u val="single"/>
      <sz val="14"/>
      <color indexed="10"/>
      <name val="Candara"/>
      <family val="2"/>
    </font>
    <font>
      <sz val="10"/>
      <name val="Verdana"/>
      <family val="2"/>
    </font>
    <font>
      <b/>
      <sz val="10"/>
      <name val="Verdana"/>
      <family val="2"/>
    </font>
    <font>
      <b/>
      <sz val="8"/>
      <name val="Calibri"/>
      <family val="2"/>
    </font>
    <font>
      <sz val="10"/>
      <color indexed="8"/>
      <name val="Calibri"/>
      <family val="2"/>
    </font>
    <font>
      <sz val="11"/>
      <name val="Calibri"/>
      <family val="2"/>
    </font>
    <font>
      <b/>
      <sz val="11"/>
      <name val="Calibri"/>
      <family val="2"/>
    </font>
    <font>
      <b/>
      <sz val="8"/>
      <color indexed="9"/>
      <name val="Calibri"/>
      <family val="2"/>
    </font>
    <font>
      <sz val="10"/>
      <color indexed="8"/>
      <name val="Verdana"/>
      <family val="2"/>
    </font>
    <font>
      <sz val="10"/>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65"/>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style="hair"/>
      <right style="hair"/>
      <top style="hair"/>
      <bottom style="hair"/>
    </border>
    <border>
      <left style="hair"/>
      <right style="hair"/>
      <top style="hair"/>
      <bottom style="medium"/>
    </border>
    <border>
      <left style="hair"/>
      <right style="hair"/>
      <top style="medium"/>
      <bottom style="hair"/>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style="hair"/>
      <top style="medium"/>
      <bottom style="hair"/>
    </border>
    <border>
      <left style="hair"/>
      <right>
        <color indexed="63"/>
      </right>
      <top style="medium"/>
      <bottom style="hair"/>
    </border>
    <border>
      <left>
        <color indexed="63"/>
      </left>
      <right style="thin"/>
      <top>
        <color indexed="63"/>
      </top>
      <bottom style="hair"/>
    </border>
    <border>
      <left style="medium"/>
      <right>
        <color indexed="63"/>
      </right>
      <top style="hair"/>
      <bottom style="hair"/>
    </border>
    <border>
      <left style="medium"/>
      <right style="hair"/>
      <top style="hair"/>
      <bottom style="hair"/>
    </border>
    <border>
      <left style="hair"/>
      <right>
        <color indexed="63"/>
      </right>
      <top style="hair"/>
      <bottom style="hair"/>
    </border>
    <border>
      <left style="hair"/>
      <right style="medium"/>
      <top style="hair"/>
      <bottom style="hair"/>
    </border>
    <border>
      <left>
        <color indexed="63"/>
      </left>
      <right style="thin"/>
      <top style="hair"/>
      <bottom style="hair"/>
    </border>
    <border>
      <left style="medium"/>
      <right>
        <color indexed="63"/>
      </right>
      <top style="hair"/>
      <bottom style="medium"/>
    </border>
    <border>
      <left style="medium"/>
      <right style="hair"/>
      <top style="hair"/>
      <bottom style="medium"/>
    </border>
    <border>
      <left style="hair"/>
      <right>
        <color indexed="63"/>
      </right>
      <top style="hair"/>
      <bottom style="medium"/>
    </border>
    <border>
      <left style="hair"/>
      <right style="medium"/>
      <top style="hair"/>
      <bottom style="medium"/>
    </border>
    <border>
      <left>
        <color indexed="63"/>
      </left>
      <right style="thin"/>
      <top style="hair"/>
      <bottom style="medium"/>
    </border>
    <border>
      <left style="hair"/>
      <right style="medium"/>
      <top style="medium"/>
      <bottom style="hair"/>
    </border>
    <border>
      <left style="thin"/>
      <right style="thin"/>
      <top style="thin"/>
      <bottom>
        <color indexed="63"/>
      </bottom>
    </border>
    <border>
      <left style="medium"/>
      <right style="thin"/>
      <top style="thin"/>
      <bottom style="thin"/>
    </border>
    <border>
      <left style="thin"/>
      <right style="thin"/>
      <top style="thin"/>
      <bottom style="thin"/>
    </border>
    <border>
      <left style="medium"/>
      <right style="medium"/>
      <top style="hair"/>
      <bottom style="hair"/>
    </border>
    <border>
      <left style="medium"/>
      <right style="medium"/>
      <top style="hair"/>
      <bottom style="medium"/>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medium"/>
      <right style="medium"/>
      <top style="medium"/>
      <bottom style="hair"/>
    </border>
    <border>
      <left style="hair"/>
      <right>
        <color indexed="63"/>
      </right>
      <top>
        <color indexed="63"/>
      </top>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medium"/>
      <top>
        <color indexed="63"/>
      </top>
      <bottom style="hair"/>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1" applyNumberFormat="0" applyFill="0" applyAlignment="0" applyProtection="0"/>
    <xf numFmtId="0" fontId="129" fillId="0" borderId="2" applyNumberFormat="0" applyFill="0" applyAlignment="0" applyProtection="0"/>
    <xf numFmtId="0" fontId="130" fillId="0" borderId="3" applyNumberFormat="0" applyFill="0" applyAlignment="0" applyProtection="0"/>
    <xf numFmtId="0" fontId="131" fillId="0" borderId="4" applyNumberFormat="0" applyFill="0" applyAlignment="0" applyProtection="0"/>
    <xf numFmtId="0" fontId="1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2" fillId="20" borderId="5" applyNumberFormat="0" applyAlignment="0" applyProtection="0"/>
    <xf numFmtId="0" fontId="133" fillId="21" borderId="6" applyNumberFormat="0" applyAlignment="0" applyProtection="0"/>
    <xf numFmtId="0" fontId="134" fillId="20" borderId="6" applyNumberFormat="0" applyAlignment="0" applyProtection="0"/>
    <xf numFmtId="0" fontId="135" fillId="22" borderId="7" applyNumberFormat="0" applyAlignment="0" applyProtection="0"/>
    <xf numFmtId="0" fontId="13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37"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62" fillId="0" borderId="0">
      <alignment/>
      <protection/>
    </xf>
    <xf numFmtId="0" fontId="0" fillId="0" borderId="0">
      <alignment/>
      <protection/>
    </xf>
    <xf numFmtId="0" fontId="63" fillId="0" borderId="0">
      <alignment/>
      <protection/>
    </xf>
    <xf numFmtId="0" fontId="0" fillId="25" borderId="8" applyNumberFormat="0" applyFont="0" applyAlignment="0" applyProtection="0"/>
    <xf numFmtId="0" fontId="1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9" fillId="0" borderId="9" applyNumberFormat="0" applyFill="0" applyAlignment="0" applyProtection="0"/>
    <xf numFmtId="0" fontId="140" fillId="0" borderId="0" applyNumberFormat="0" applyFill="0" applyBorder="0" applyAlignment="0" applyProtection="0"/>
    <xf numFmtId="0" fontId="125" fillId="27" borderId="0" applyNumberFormat="0" applyBorder="0" applyAlignment="0" applyProtection="0"/>
    <xf numFmtId="0" fontId="125" fillId="28" borderId="0" applyNumberFormat="0" applyBorder="0" applyAlignment="0" applyProtection="0"/>
    <xf numFmtId="0" fontId="125" fillId="29" borderId="0" applyNumberFormat="0" applyBorder="0" applyAlignment="0" applyProtection="0"/>
    <xf numFmtId="0" fontId="125" fillId="30" borderId="0" applyNumberFormat="0" applyBorder="0" applyAlignment="0" applyProtection="0"/>
    <xf numFmtId="0" fontId="125" fillId="31" borderId="0" applyNumberFormat="0" applyBorder="0" applyAlignment="0" applyProtection="0"/>
    <xf numFmtId="0" fontId="125"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877">
    <xf numFmtId="0" fontId="0" fillId="0" borderId="0" xfId="0" applyAlignment="1">
      <alignment/>
    </xf>
    <xf numFmtId="0" fontId="18" fillId="33" borderId="10" xfId="0" applyFont="1" applyFill="1" applyBorder="1" applyAlignment="1" applyProtection="1">
      <alignment horizontal="center"/>
      <protection/>
    </xf>
    <xf numFmtId="190" fontId="13" fillId="0" borderId="11" xfId="0" applyNumberFormat="1" applyFont="1" applyFill="1" applyBorder="1" applyAlignment="1" applyProtection="1">
      <alignment horizontal="center" vertical="center"/>
      <protection locked="0"/>
    </xf>
    <xf numFmtId="0" fontId="13" fillId="0" borderId="11" xfId="0" applyFont="1" applyFill="1" applyBorder="1" applyAlignment="1" applyProtection="1">
      <alignment horizontal="right" vertical="center"/>
      <protection locked="0"/>
    </xf>
    <xf numFmtId="0" fontId="13" fillId="0" borderId="11" xfId="0" applyNumberFormat="1" applyFont="1" applyFill="1" applyBorder="1" applyAlignment="1" applyProtection="1">
      <alignment horizontal="right" vertical="center"/>
      <protection locked="0"/>
    </xf>
    <xf numFmtId="190" fontId="13" fillId="0" borderId="12" xfId="0" applyNumberFormat="1" applyFont="1" applyFill="1" applyBorder="1" applyAlignment="1" applyProtection="1">
      <alignment horizontal="center" vertical="center"/>
      <protection locked="0"/>
    </xf>
    <xf numFmtId="4" fontId="13" fillId="0" borderId="11" xfId="40" applyNumberFormat="1" applyFont="1" applyFill="1" applyBorder="1" applyAlignment="1" applyProtection="1">
      <alignment horizontal="right" vertical="center"/>
      <protection locked="0"/>
    </xf>
    <xf numFmtId="3" fontId="13" fillId="0" borderId="11" xfId="40" applyNumberFormat="1" applyFont="1" applyFill="1" applyBorder="1" applyAlignment="1" applyProtection="1">
      <alignment horizontal="right" vertical="center"/>
      <protection locked="0"/>
    </xf>
    <xf numFmtId="3" fontId="13" fillId="0" borderId="11" xfId="43" applyNumberFormat="1" applyFont="1" applyFill="1" applyBorder="1" applyAlignment="1" applyProtection="1">
      <alignment horizontal="right" vertical="center"/>
      <protection locked="0"/>
    </xf>
    <xf numFmtId="4" fontId="13" fillId="0" borderId="11" xfId="43" applyNumberFormat="1" applyFont="1" applyFill="1" applyBorder="1" applyAlignment="1" applyProtection="1">
      <alignment horizontal="right" vertical="center"/>
      <protection locked="0"/>
    </xf>
    <xf numFmtId="4" fontId="13" fillId="0" borderId="12" xfId="40" applyNumberFormat="1" applyFont="1" applyFill="1" applyBorder="1" applyAlignment="1" applyProtection="1">
      <alignment horizontal="right" vertical="center"/>
      <protection locked="0"/>
    </xf>
    <xf numFmtId="3" fontId="13" fillId="0" borderId="12" xfId="40" applyNumberFormat="1" applyFont="1" applyFill="1" applyBorder="1" applyAlignment="1" applyProtection="1">
      <alignment horizontal="right" vertical="center"/>
      <protection locked="0"/>
    </xf>
    <xf numFmtId="3" fontId="30" fillId="0" borderId="11" xfId="43" applyNumberFormat="1" applyFont="1" applyFill="1" applyBorder="1" applyAlignment="1" applyProtection="1">
      <alignment horizontal="right" vertical="center"/>
      <protection locked="0"/>
    </xf>
    <xf numFmtId="4" fontId="30" fillId="0" borderId="11" xfId="40" applyNumberFormat="1" applyFont="1" applyFill="1" applyBorder="1" applyAlignment="1" applyProtection="1">
      <alignment horizontal="right" vertical="center"/>
      <protection locked="0"/>
    </xf>
    <xf numFmtId="3" fontId="30" fillId="0" borderId="11" xfId="40" applyNumberFormat="1" applyFont="1" applyFill="1" applyBorder="1" applyAlignment="1" applyProtection="1">
      <alignment horizontal="right" vertical="center"/>
      <protection locked="0"/>
    </xf>
    <xf numFmtId="4" fontId="30" fillId="0" borderId="11" xfId="43" applyNumberFormat="1" applyFont="1" applyFill="1" applyBorder="1" applyAlignment="1" applyProtection="1">
      <alignment horizontal="right" vertical="center"/>
      <protection locked="0"/>
    </xf>
    <xf numFmtId="0" fontId="13" fillId="0" borderId="11" xfId="0" applyNumberFormat="1" applyFont="1" applyFill="1" applyBorder="1" applyAlignment="1" applyProtection="1">
      <alignment horizontal="left" vertical="center"/>
      <protection locked="0"/>
    </xf>
    <xf numFmtId="190" fontId="13" fillId="0" borderId="11" xfId="0" applyNumberFormat="1"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49" fontId="13" fillId="0" borderId="11" xfId="0" applyNumberFormat="1" applyFont="1" applyFill="1" applyBorder="1" applyAlignment="1" applyProtection="1">
      <alignment horizontal="left" vertical="center"/>
      <protection locked="0"/>
    </xf>
    <xf numFmtId="190" fontId="13" fillId="0" borderId="11" xfId="0" applyNumberFormat="1" applyFont="1" applyFill="1" applyBorder="1" applyAlignment="1" applyProtection="1">
      <alignment vertical="center"/>
      <protection locked="0"/>
    </xf>
    <xf numFmtId="4" fontId="13" fillId="0" borderId="11" xfId="40" applyNumberFormat="1" applyFont="1" applyFill="1" applyBorder="1" applyAlignment="1" applyProtection="1">
      <alignment vertical="center"/>
      <protection locked="0"/>
    </xf>
    <xf numFmtId="3" fontId="13" fillId="0" borderId="11" xfId="40" applyNumberFormat="1"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3" fontId="13" fillId="0" borderId="11" xfId="43" applyNumberFormat="1" applyFont="1" applyFill="1" applyBorder="1" applyAlignment="1" applyProtection="1">
      <alignment vertical="center"/>
      <protection locked="0"/>
    </xf>
    <xf numFmtId="0" fontId="13" fillId="0" borderId="11" xfId="0" applyNumberFormat="1" applyFont="1" applyFill="1" applyBorder="1" applyAlignment="1" applyProtection="1">
      <alignment vertical="center"/>
      <protection locked="0"/>
    </xf>
    <xf numFmtId="49" fontId="13" fillId="0" borderId="11" xfId="0" applyNumberFormat="1" applyFont="1" applyFill="1" applyBorder="1" applyAlignment="1" applyProtection="1">
      <alignment vertical="center"/>
      <protection locked="0"/>
    </xf>
    <xf numFmtId="4" fontId="13" fillId="0" borderId="11" xfId="43" applyNumberFormat="1" applyFont="1" applyFill="1" applyBorder="1" applyAlignment="1" applyProtection="1">
      <alignment vertical="center"/>
      <protection locked="0"/>
    </xf>
    <xf numFmtId="4" fontId="13" fillId="0" borderId="11" xfId="0" applyNumberFormat="1" applyFont="1" applyFill="1" applyBorder="1" applyAlignment="1">
      <alignment vertical="center"/>
    </xf>
    <xf numFmtId="3" fontId="13" fillId="0" borderId="11" xfId="0" applyNumberFormat="1" applyFont="1" applyFill="1" applyBorder="1" applyAlignment="1">
      <alignment vertical="center"/>
    </xf>
    <xf numFmtId="3" fontId="13" fillId="0" borderId="11" xfId="0" applyNumberFormat="1" applyFont="1" applyFill="1" applyBorder="1" applyAlignment="1">
      <alignment vertical="center"/>
    </xf>
    <xf numFmtId="0" fontId="13" fillId="0" borderId="11" xfId="0" applyFont="1" applyFill="1" applyBorder="1" applyAlignment="1">
      <alignment horizontal="left" vertical="center"/>
    </xf>
    <xf numFmtId="190" fontId="13" fillId="0" borderId="11" xfId="0" applyNumberFormat="1" applyFont="1" applyFill="1" applyBorder="1" applyAlignment="1">
      <alignment vertical="center"/>
    </xf>
    <xf numFmtId="0" fontId="13" fillId="0" borderId="11" xfId="0" applyFont="1" applyFill="1" applyBorder="1" applyAlignment="1">
      <alignment vertical="center"/>
    </xf>
    <xf numFmtId="190" fontId="13" fillId="0" borderId="11" xfId="0" applyNumberFormat="1" applyFont="1" applyFill="1" applyBorder="1" applyAlignment="1">
      <alignment horizontal="center" vertical="center"/>
    </xf>
    <xf numFmtId="190" fontId="13" fillId="0" borderId="11" xfId="56" applyNumberFormat="1" applyFont="1" applyFill="1" applyBorder="1" applyAlignment="1">
      <alignment horizontal="center" vertical="center"/>
      <protection/>
    </xf>
    <xf numFmtId="0" fontId="13" fillId="0" borderId="11" xfId="0" applyFont="1" applyFill="1" applyBorder="1" applyAlignment="1">
      <alignment horizontal="right" vertical="center"/>
    </xf>
    <xf numFmtId="0" fontId="13" fillId="0" borderId="11" xfId="56" applyFont="1" applyFill="1" applyBorder="1" applyAlignment="1">
      <alignment horizontal="right" vertical="center"/>
      <protection/>
    </xf>
    <xf numFmtId="4" fontId="13" fillId="0" borderId="11" xfId="40" applyNumberFormat="1" applyFont="1" applyFill="1" applyBorder="1" applyAlignment="1" applyProtection="1">
      <alignment vertical="center"/>
      <protection/>
    </xf>
    <xf numFmtId="4" fontId="13" fillId="0" borderId="11" xfId="42" applyNumberFormat="1" applyFont="1" applyFill="1" applyBorder="1" applyAlignment="1" applyProtection="1">
      <alignment vertical="center"/>
      <protection locked="0"/>
    </xf>
    <xf numFmtId="4" fontId="13" fillId="0" borderId="11" xfId="40" applyNumberFormat="1" applyFont="1" applyFill="1" applyBorder="1" applyAlignment="1" applyProtection="1">
      <alignment horizontal="right" vertical="center"/>
      <protection/>
    </xf>
    <xf numFmtId="4" fontId="13" fillId="0" borderId="11" xfId="0" applyNumberFormat="1" applyFont="1" applyFill="1" applyBorder="1" applyAlignment="1">
      <alignment horizontal="right" vertical="center"/>
    </xf>
    <xf numFmtId="4" fontId="13" fillId="0" borderId="11" xfId="42" applyNumberFormat="1" applyFont="1" applyFill="1" applyBorder="1" applyAlignment="1" applyProtection="1">
      <alignment horizontal="right" vertical="center"/>
      <protection locked="0"/>
    </xf>
    <xf numFmtId="3" fontId="13" fillId="0" borderId="11" xfId="40" applyNumberFormat="1" applyFont="1" applyFill="1" applyBorder="1" applyAlignment="1" applyProtection="1">
      <alignment horizontal="right" vertical="center"/>
      <protection/>
    </xf>
    <xf numFmtId="3" fontId="13" fillId="0" borderId="11" xfId="0" applyNumberFormat="1" applyFont="1" applyFill="1" applyBorder="1" applyAlignment="1">
      <alignment horizontal="right" vertical="center"/>
    </xf>
    <xf numFmtId="3" fontId="13" fillId="0" borderId="11" xfId="0" applyNumberFormat="1" applyFont="1" applyFill="1" applyBorder="1" applyAlignment="1">
      <alignment horizontal="right" vertical="center"/>
    </xf>
    <xf numFmtId="3" fontId="13" fillId="0" borderId="11" xfId="0" applyNumberFormat="1" applyFont="1" applyFill="1" applyBorder="1" applyAlignment="1">
      <alignment horizontal="right" vertical="center"/>
    </xf>
    <xf numFmtId="3" fontId="13" fillId="0" borderId="11" xfId="42" applyNumberFormat="1" applyFont="1" applyFill="1" applyBorder="1" applyAlignment="1" applyProtection="1">
      <alignment horizontal="right" vertical="center"/>
      <protection locked="0"/>
    </xf>
    <xf numFmtId="4" fontId="30" fillId="0" borderId="11" xfId="0" applyNumberFormat="1" applyFont="1" applyFill="1" applyBorder="1" applyAlignment="1">
      <alignment horizontal="right" vertical="center"/>
    </xf>
    <xf numFmtId="3" fontId="30" fillId="0" borderId="11" xfId="0" applyNumberFormat="1" applyFont="1" applyFill="1" applyBorder="1" applyAlignment="1">
      <alignment horizontal="right" vertical="center"/>
    </xf>
    <xf numFmtId="4" fontId="30" fillId="0" borderId="11" xfId="42" applyNumberFormat="1" applyFont="1" applyFill="1" applyBorder="1" applyAlignment="1" applyProtection="1">
      <alignment horizontal="right" vertical="center"/>
      <protection locked="0"/>
    </xf>
    <xf numFmtId="3" fontId="30" fillId="0" borderId="11" xfId="42" applyNumberFormat="1" applyFont="1" applyFill="1" applyBorder="1" applyAlignment="1" applyProtection="1">
      <alignment horizontal="right" vertical="center"/>
      <protection locked="0"/>
    </xf>
    <xf numFmtId="4" fontId="30" fillId="0" borderId="11" xfId="40" applyNumberFormat="1" applyFont="1" applyFill="1" applyBorder="1" applyAlignment="1" applyProtection="1">
      <alignment horizontal="right" vertical="center"/>
      <protection/>
    </xf>
    <xf numFmtId="3" fontId="30" fillId="0" borderId="11" xfId="40" applyNumberFormat="1" applyFont="1" applyFill="1" applyBorder="1" applyAlignment="1" applyProtection="1">
      <alignment horizontal="right" vertical="center"/>
      <protection/>
    </xf>
    <xf numFmtId="3" fontId="13" fillId="0" borderId="13" xfId="0" applyNumberFormat="1" applyFont="1" applyFill="1" applyBorder="1" applyAlignment="1">
      <alignment horizontal="right" vertical="center"/>
    </xf>
    <xf numFmtId="0" fontId="13"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protection/>
    </xf>
    <xf numFmtId="0" fontId="36" fillId="0" borderId="14"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47" fillId="33" borderId="15" xfId="0" applyFont="1" applyFill="1" applyBorder="1" applyAlignment="1" applyProtection="1">
      <alignment horizontal="center" vertical="center" wrapText="1"/>
      <protection/>
    </xf>
    <xf numFmtId="0" fontId="23" fillId="33" borderId="16" xfId="0" applyFont="1" applyFill="1" applyBorder="1" applyAlignment="1" applyProtection="1">
      <alignment horizontal="center" vertical="center"/>
      <protection/>
    </xf>
    <xf numFmtId="1" fontId="19" fillId="33" borderId="17" xfId="0" applyNumberFormat="1" applyFont="1" applyFill="1" applyBorder="1" applyAlignment="1" applyProtection="1">
      <alignment horizontal="center" vertical="center" wrapText="1"/>
      <protection/>
    </xf>
    <xf numFmtId="0" fontId="19" fillId="33" borderId="17"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wrapText="1"/>
      <protection/>
    </xf>
    <xf numFmtId="1" fontId="18" fillId="33" borderId="10" xfId="0" applyNumberFormat="1" applyFont="1" applyFill="1" applyBorder="1" applyAlignment="1" applyProtection="1">
      <alignment horizontal="center" vertical="center" wrapText="1"/>
      <protection/>
    </xf>
    <xf numFmtId="0" fontId="18" fillId="33" borderId="10" xfId="0" applyFont="1" applyFill="1" applyBorder="1" applyAlignment="1" applyProtection="1">
      <alignment horizontal="center" vertical="center" wrapText="1"/>
      <protection/>
    </xf>
    <xf numFmtId="190" fontId="18" fillId="33" borderId="10" xfId="0" applyNumberFormat="1" applyFont="1" applyFill="1" applyBorder="1" applyAlignment="1" applyProtection="1">
      <alignment horizontal="center"/>
      <protection/>
    </xf>
    <xf numFmtId="0" fontId="18" fillId="33" borderId="0" xfId="0" applyFont="1" applyFill="1" applyBorder="1" applyAlignment="1" applyProtection="1">
      <alignment horizontal="center" vertical="center" wrapText="1"/>
      <protection/>
    </xf>
    <xf numFmtId="1" fontId="18" fillId="33" borderId="18" xfId="0" applyNumberFormat="1" applyFont="1" applyFill="1" applyBorder="1" applyAlignment="1" applyProtection="1">
      <alignment horizontal="center" vertical="center" wrapText="1"/>
      <protection/>
    </xf>
    <xf numFmtId="0" fontId="18" fillId="33" borderId="18" xfId="0" applyFont="1" applyFill="1" applyBorder="1" applyAlignment="1" applyProtection="1">
      <alignment horizontal="center" vertical="center" wrapText="1"/>
      <protection/>
    </xf>
    <xf numFmtId="43" fontId="18" fillId="33" borderId="18" xfId="40" applyFont="1" applyFill="1" applyBorder="1" applyAlignment="1" applyProtection="1">
      <alignment horizontal="center"/>
      <protection/>
    </xf>
    <xf numFmtId="190" fontId="18" fillId="33" borderId="18" xfId="0" applyNumberFormat="1" applyFont="1" applyFill="1" applyBorder="1" applyAlignment="1" applyProtection="1">
      <alignment horizontal="center"/>
      <protection/>
    </xf>
    <xf numFmtId="0" fontId="18" fillId="33" borderId="18" xfId="0" applyFont="1" applyFill="1" applyBorder="1" applyAlignment="1" applyProtection="1">
      <alignment horizontal="center"/>
      <protection/>
    </xf>
    <xf numFmtId="0" fontId="31" fillId="33" borderId="18" xfId="0" applyFont="1" applyFill="1" applyBorder="1" applyAlignment="1" applyProtection="1">
      <alignment horizontal="center" vertical="center" wrapText="1"/>
      <protection/>
    </xf>
    <xf numFmtId="3" fontId="18" fillId="33" borderId="18" xfId="0" applyNumberFormat="1" applyFont="1" applyFill="1" applyBorder="1" applyAlignment="1" applyProtection="1">
      <alignment horizontal="center" vertical="center" wrapText="1"/>
      <protection/>
    </xf>
    <xf numFmtId="2" fontId="18" fillId="33" borderId="18" xfId="0" applyNumberFormat="1" applyFont="1" applyFill="1" applyBorder="1" applyAlignment="1" applyProtection="1">
      <alignment horizontal="center" vertical="center" wrapText="1"/>
      <protection/>
    </xf>
    <xf numFmtId="0" fontId="20" fillId="33" borderId="10" xfId="0" applyFont="1" applyFill="1" applyBorder="1" applyAlignment="1" applyProtection="1">
      <alignment horizontal="center"/>
      <protection/>
    </xf>
    <xf numFmtId="190" fontId="20" fillId="33" borderId="10" xfId="0" applyNumberFormat="1" applyFont="1" applyFill="1" applyBorder="1" applyAlignment="1" applyProtection="1">
      <alignment horizontal="center"/>
      <protection/>
    </xf>
    <xf numFmtId="0" fontId="20" fillId="33" borderId="10" xfId="0" applyFont="1" applyFill="1" applyBorder="1" applyAlignment="1" applyProtection="1">
      <alignment horizontal="center" vertical="center" wrapText="1"/>
      <protection/>
    </xf>
    <xf numFmtId="0" fontId="32" fillId="33" borderId="10" xfId="0" applyFont="1" applyFill="1" applyBorder="1" applyAlignment="1" applyProtection="1">
      <alignment horizontal="center"/>
      <protection/>
    </xf>
    <xf numFmtId="2" fontId="20" fillId="33" borderId="10" xfId="0" applyNumberFormat="1" applyFont="1" applyFill="1" applyBorder="1" applyAlignment="1" applyProtection="1">
      <alignment horizontal="center"/>
      <protection/>
    </xf>
    <xf numFmtId="0" fontId="18" fillId="33" borderId="0" xfId="0" applyFont="1" applyFill="1" applyBorder="1" applyAlignment="1" applyProtection="1">
      <alignment horizontal="center"/>
      <protection/>
    </xf>
    <xf numFmtId="0" fontId="20" fillId="33" borderId="18" xfId="0" applyFont="1" applyFill="1" applyBorder="1" applyAlignment="1" applyProtection="1">
      <alignment horizontal="center"/>
      <protection/>
    </xf>
    <xf numFmtId="43" fontId="20" fillId="33" borderId="18" xfId="40" applyFont="1" applyFill="1" applyBorder="1" applyAlignment="1" applyProtection="1">
      <alignment horizontal="center"/>
      <protection/>
    </xf>
    <xf numFmtId="190" fontId="20" fillId="33" borderId="18" xfId="0" applyNumberFormat="1" applyFont="1" applyFill="1" applyBorder="1" applyAlignment="1" applyProtection="1">
      <alignment horizontal="center"/>
      <protection/>
    </xf>
    <xf numFmtId="0" fontId="20" fillId="33" borderId="18" xfId="0" applyFont="1" applyFill="1" applyBorder="1" applyAlignment="1" applyProtection="1">
      <alignment horizontal="center" vertical="center" wrapText="1"/>
      <protection/>
    </xf>
    <xf numFmtId="0" fontId="32" fillId="33" borderId="18" xfId="0" applyFont="1" applyFill="1" applyBorder="1" applyAlignment="1" applyProtection="1">
      <alignment horizontal="center" vertical="center" wrapText="1"/>
      <protection/>
    </xf>
    <xf numFmtId="3" fontId="20" fillId="33" borderId="18" xfId="0" applyNumberFormat="1" applyFont="1" applyFill="1" applyBorder="1" applyAlignment="1" applyProtection="1">
      <alignment horizontal="center" vertical="center" wrapText="1"/>
      <protection/>
    </xf>
    <xf numFmtId="2" fontId="20" fillId="33" borderId="18" xfId="0" applyNumberFormat="1" applyFont="1" applyFill="1" applyBorder="1" applyAlignment="1" applyProtection="1">
      <alignment horizontal="center" vertical="center" wrapText="1"/>
      <protection/>
    </xf>
    <xf numFmtId="0" fontId="22" fillId="34" borderId="19" xfId="0" applyFont="1" applyFill="1" applyBorder="1" applyAlignment="1" applyProtection="1">
      <alignment vertical="center"/>
      <protection/>
    </xf>
    <xf numFmtId="0" fontId="25" fillId="35" borderId="20" xfId="0" applyFont="1" applyFill="1" applyBorder="1" applyAlignment="1" applyProtection="1">
      <alignment horizontal="center" vertical="center"/>
      <protection/>
    </xf>
    <xf numFmtId="0" fontId="24" fillId="33" borderId="21" xfId="0" applyFont="1" applyFill="1" applyBorder="1" applyAlignment="1" applyProtection="1">
      <alignment horizontal="left" vertical="center"/>
      <protection/>
    </xf>
    <xf numFmtId="0" fontId="22" fillId="34" borderId="22"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22" fillId="34" borderId="23" xfId="0" applyFont="1" applyFill="1" applyBorder="1" applyAlignment="1" applyProtection="1">
      <alignment vertical="center"/>
      <protection/>
    </xf>
    <xf numFmtId="0" fontId="24" fillId="33" borderId="24" xfId="0" applyNumberFormat="1" applyFont="1" applyFill="1" applyBorder="1" applyAlignment="1" applyProtection="1">
      <alignment horizontal="right" vertical="center"/>
      <protection/>
    </xf>
    <xf numFmtId="0" fontId="24" fillId="33" borderId="25" xfId="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horizontal="left" vertical="center"/>
      <protection/>
    </xf>
    <xf numFmtId="0" fontId="13" fillId="0" borderId="11" xfId="0" applyFont="1" applyFill="1" applyBorder="1" applyAlignment="1" applyProtection="1">
      <alignment horizontal="right" vertical="center"/>
      <protection/>
    </xf>
    <xf numFmtId="3" fontId="13" fillId="0" borderId="11" xfId="74" applyNumberFormat="1" applyFont="1" applyFill="1" applyBorder="1" applyAlignment="1" applyProtection="1">
      <alignment horizontal="right" vertical="center"/>
      <protection/>
    </xf>
    <xf numFmtId="4" fontId="13" fillId="0" borderId="11" xfId="74" applyNumberFormat="1" applyFont="1" applyFill="1" applyBorder="1" applyAlignment="1" applyProtection="1">
      <alignment horizontal="right" vertical="center"/>
      <protection/>
    </xf>
    <xf numFmtId="4" fontId="30" fillId="0" borderId="11" xfId="0" applyNumberFormat="1" applyFont="1" applyFill="1" applyBorder="1" applyAlignment="1" applyProtection="1">
      <alignment horizontal="right" vertical="center"/>
      <protection/>
    </xf>
    <xf numFmtId="4" fontId="13" fillId="0" borderId="11" xfId="0" applyNumberFormat="1" applyFont="1" applyFill="1" applyBorder="1" applyAlignment="1" applyProtection="1">
      <alignment horizontal="right" vertical="center"/>
      <protection/>
    </xf>
    <xf numFmtId="3" fontId="13" fillId="0" borderId="11" xfId="0" applyNumberFormat="1" applyFont="1" applyFill="1" applyBorder="1" applyAlignment="1" applyProtection="1">
      <alignment horizontal="right" vertical="center"/>
      <protection/>
    </xf>
    <xf numFmtId="4" fontId="13" fillId="0" borderId="26" xfId="74" applyNumberFormat="1" applyFont="1" applyFill="1" applyBorder="1" applyAlignment="1" applyProtection="1">
      <alignment horizontal="right" vertical="center"/>
      <protection/>
    </xf>
    <xf numFmtId="0" fontId="22" fillId="34" borderId="27" xfId="0" applyFont="1" applyFill="1" applyBorder="1" applyAlignment="1" applyProtection="1">
      <alignment vertical="center"/>
      <protection/>
    </xf>
    <xf numFmtId="0" fontId="24" fillId="33" borderId="24" xfId="0" applyFont="1" applyFill="1" applyBorder="1" applyAlignment="1" applyProtection="1">
      <alignment horizontal="right" vertical="center"/>
      <protection/>
    </xf>
    <xf numFmtId="4" fontId="13" fillId="0" borderId="26" xfId="0" applyNumberFormat="1" applyFont="1" applyFill="1" applyBorder="1" applyAlignment="1" applyProtection="1">
      <alignment horizontal="right" vertical="center"/>
      <protection/>
    </xf>
    <xf numFmtId="0" fontId="25" fillId="35" borderId="24" xfId="0" applyFont="1" applyFill="1" applyBorder="1" applyAlignment="1" applyProtection="1">
      <alignment horizontal="center" vertical="center"/>
      <protection/>
    </xf>
    <xf numFmtId="0" fontId="25" fillId="36" borderId="25" xfId="0" applyFont="1" applyFill="1" applyBorder="1" applyAlignment="1" applyProtection="1">
      <alignment horizontal="center" vertical="center"/>
      <protection/>
    </xf>
    <xf numFmtId="4" fontId="30" fillId="0" borderId="11" xfId="42" applyNumberFormat="1" applyFont="1" applyFill="1" applyBorder="1" applyAlignment="1" applyProtection="1">
      <alignment horizontal="right" vertical="center"/>
      <protection/>
    </xf>
    <xf numFmtId="3" fontId="30" fillId="0" borderId="11" xfId="42" applyNumberFormat="1" applyFont="1" applyFill="1" applyBorder="1" applyAlignment="1" applyProtection="1">
      <alignment horizontal="right" vertical="center"/>
      <protection/>
    </xf>
    <xf numFmtId="3" fontId="13" fillId="0" borderId="11" xfId="42" applyNumberFormat="1" applyFont="1" applyFill="1" applyBorder="1" applyAlignment="1" applyProtection="1">
      <alignment horizontal="right" vertical="center"/>
      <protection/>
    </xf>
    <xf numFmtId="204" fontId="24" fillId="33" borderId="24" xfId="0" applyNumberFormat="1" applyFont="1" applyFill="1" applyBorder="1" applyAlignment="1" applyProtection="1">
      <alignment horizontal="right" vertical="center"/>
      <protection/>
    </xf>
    <xf numFmtId="4" fontId="13" fillId="0" borderId="11" xfId="43" applyNumberFormat="1" applyFont="1" applyFill="1" applyBorder="1" applyAlignment="1" applyProtection="1">
      <alignment horizontal="right" vertical="center"/>
      <protection/>
    </xf>
    <xf numFmtId="3" fontId="13" fillId="0" borderId="11" xfId="43" applyNumberFormat="1" applyFont="1" applyFill="1" applyBorder="1" applyAlignment="1" applyProtection="1">
      <alignment horizontal="right" vertical="center"/>
      <protection/>
    </xf>
    <xf numFmtId="4" fontId="30" fillId="0" borderId="11" xfId="43" applyNumberFormat="1" applyFont="1" applyFill="1" applyBorder="1" applyAlignment="1" applyProtection="1">
      <alignment horizontal="right" vertical="center"/>
      <protection/>
    </xf>
    <xf numFmtId="3" fontId="30" fillId="0" borderId="11" xfId="43" applyNumberFormat="1" applyFont="1" applyFill="1" applyBorder="1" applyAlignment="1" applyProtection="1">
      <alignment horizontal="right" vertical="center"/>
      <protection/>
    </xf>
    <xf numFmtId="204" fontId="13" fillId="0" borderId="11" xfId="0" applyNumberFormat="1" applyFont="1" applyFill="1" applyBorder="1" applyAlignment="1" applyProtection="1">
      <alignment horizontal="left" vertical="center"/>
      <protection/>
    </xf>
    <xf numFmtId="0" fontId="24" fillId="33" borderId="24" xfId="0" applyFont="1" applyFill="1" applyBorder="1" applyAlignment="1" applyProtection="1">
      <alignment horizontal="right" vertical="center"/>
      <protection/>
    </xf>
    <xf numFmtId="0" fontId="13" fillId="0" borderId="11" xfId="0" applyNumberFormat="1" applyFont="1" applyFill="1" applyBorder="1" applyAlignment="1" applyProtection="1">
      <alignment horizontal="left" vertical="center"/>
      <protection/>
    </xf>
    <xf numFmtId="49" fontId="13" fillId="0" borderId="11"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horizontal="right" vertical="center"/>
      <protection/>
    </xf>
    <xf numFmtId="190" fontId="13" fillId="0" borderId="11" xfId="56" applyNumberFormat="1" applyFont="1" applyFill="1" applyBorder="1" applyAlignment="1" applyProtection="1">
      <alignment horizontal="center" vertical="center"/>
      <protection/>
    </xf>
    <xf numFmtId="0" fontId="13" fillId="0" borderId="11" xfId="56" applyFont="1" applyFill="1" applyBorder="1" applyAlignment="1" applyProtection="1">
      <alignment horizontal="right" vertical="center"/>
      <protection/>
    </xf>
    <xf numFmtId="4" fontId="13" fillId="0" borderId="26" xfId="40" applyNumberFormat="1" applyFont="1" applyFill="1" applyBorder="1" applyAlignment="1" applyProtection="1">
      <alignment horizontal="right" vertical="center"/>
      <protection/>
    </xf>
    <xf numFmtId="0" fontId="22" fillId="34" borderId="28" xfId="0" applyFont="1" applyFill="1" applyBorder="1" applyAlignment="1" applyProtection="1">
      <alignment vertical="center"/>
      <protection/>
    </xf>
    <xf numFmtId="0" fontId="24" fillId="33" borderId="29" xfId="0" applyNumberFormat="1" applyFont="1" applyFill="1" applyBorder="1" applyAlignment="1" applyProtection="1">
      <alignment horizontal="right" vertical="center"/>
      <protection/>
    </xf>
    <xf numFmtId="0" fontId="25" fillId="36" borderId="30" xfId="0" applyFont="1" applyFill="1" applyBorder="1" applyAlignment="1" applyProtection="1">
      <alignment horizontal="center" vertical="center"/>
      <protection/>
    </xf>
    <xf numFmtId="0" fontId="13" fillId="0" borderId="12" xfId="0" applyFont="1" applyFill="1" applyBorder="1" applyAlignment="1" applyProtection="1">
      <alignment horizontal="left" vertical="center"/>
      <protection/>
    </xf>
    <xf numFmtId="190" fontId="13" fillId="0" borderId="12" xfId="0" applyNumberFormat="1" applyFont="1" applyFill="1" applyBorder="1" applyAlignment="1" applyProtection="1">
      <alignment horizontal="center" vertical="center"/>
      <protection/>
    </xf>
    <xf numFmtId="0" fontId="13" fillId="0" borderId="12" xfId="0" applyFont="1" applyFill="1" applyBorder="1" applyAlignment="1" applyProtection="1">
      <alignment horizontal="right" vertical="center"/>
      <protection/>
    </xf>
    <xf numFmtId="4" fontId="13" fillId="0" borderId="12" xfId="43" applyNumberFormat="1" applyFont="1" applyFill="1" applyBorder="1" applyAlignment="1" applyProtection="1">
      <alignment horizontal="right" vertical="center"/>
      <protection/>
    </xf>
    <xf numFmtId="3" fontId="13" fillId="0" borderId="12" xfId="43" applyNumberFormat="1" applyFont="1" applyFill="1" applyBorder="1" applyAlignment="1" applyProtection="1">
      <alignment horizontal="right" vertical="center"/>
      <protection/>
    </xf>
    <xf numFmtId="4" fontId="13" fillId="0" borderId="12" xfId="40" applyNumberFormat="1" applyFont="1" applyFill="1" applyBorder="1" applyAlignment="1" applyProtection="1">
      <alignment horizontal="right" vertical="center"/>
      <protection/>
    </xf>
    <xf numFmtId="3" fontId="13" fillId="0" borderId="12" xfId="40" applyNumberFormat="1" applyFont="1" applyFill="1" applyBorder="1" applyAlignment="1" applyProtection="1">
      <alignment horizontal="right" vertical="center"/>
      <protection/>
    </xf>
    <xf numFmtId="3" fontId="13" fillId="0" borderId="12" xfId="74" applyNumberFormat="1" applyFont="1" applyFill="1" applyBorder="1" applyAlignment="1" applyProtection="1">
      <alignment horizontal="right" vertical="center"/>
      <protection/>
    </xf>
    <xf numFmtId="4" fontId="13" fillId="0" borderId="12" xfId="74" applyNumberFormat="1" applyFont="1" applyFill="1" applyBorder="1" applyAlignment="1" applyProtection="1">
      <alignment horizontal="right" vertical="center"/>
      <protection/>
    </xf>
    <xf numFmtId="4" fontId="30" fillId="0" borderId="12" xfId="43" applyNumberFormat="1" applyFont="1" applyFill="1" applyBorder="1" applyAlignment="1" applyProtection="1">
      <alignment horizontal="right" vertical="center"/>
      <protection/>
    </xf>
    <xf numFmtId="3" fontId="30" fillId="0" borderId="12" xfId="43" applyNumberFormat="1" applyFont="1" applyFill="1" applyBorder="1" applyAlignment="1" applyProtection="1">
      <alignment horizontal="right" vertical="center"/>
      <protection/>
    </xf>
    <xf numFmtId="4" fontId="13" fillId="0" borderId="31" xfId="0" applyNumberFormat="1" applyFont="1" applyFill="1" applyBorder="1" applyAlignment="1" applyProtection="1">
      <alignment horizontal="right" vertical="center"/>
      <protection/>
    </xf>
    <xf numFmtId="0" fontId="22" fillId="34" borderId="32"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9" fillId="33" borderId="0" xfId="0" applyFont="1" applyFill="1" applyBorder="1" applyAlignment="1" applyProtection="1">
      <alignment horizontal="right" vertical="center"/>
      <protection/>
    </xf>
    <xf numFmtId="190" fontId="9" fillId="33" borderId="0" xfId="0" applyNumberFormat="1" applyFont="1" applyFill="1" applyBorder="1" applyAlignment="1" applyProtection="1">
      <alignment horizontal="center" vertical="center"/>
      <protection/>
    </xf>
    <xf numFmtId="4" fontId="9" fillId="33" borderId="0" xfId="40" applyNumberFormat="1" applyFont="1" applyFill="1" applyBorder="1" applyAlignment="1" applyProtection="1">
      <alignment horizontal="right" vertical="center"/>
      <protection/>
    </xf>
    <xf numFmtId="3" fontId="9" fillId="33" borderId="0" xfId="40" applyNumberFormat="1" applyFont="1" applyFill="1" applyBorder="1" applyAlignment="1" applyProtection="1">
      <alignment horizontal="right" vertical="center"/>
      <protection/>
    </xf>
    <xf numFmtId="4" fontId="10" fillId="33" borderId="0" xfId="40" applyNumberFormat="1" applyFont="1" applyFill="1" applyBorder="1" applyAlignment="1" applyProtection="1">
      <alignment horizontal="right" vertical="center"/>
      <protection/>
    </xf>
    <xf numFmtId="3" fontId="10" fillId="33" borderId="0" xfId="40" applyNumberFormat="1" applyFont="1" applyFill="1" applyBorder="1" applyAlignment="1" applyProtection="1">
      <alignment horizontal="right" vertical="center"/>
      <protection/>
    </xf>
    <xf numFmtId="2" fontId="9" fillId="33" borderId="0" xfId="40" applyNumberFormat="1" applyFont="1" applyFill="1" applyBorder="1" applyAlignment="1" applyProtection="1">
      <alignment horizontal="right" vertical="center"/>
      <protection/>
    </xf>
    <xf numFmtId="192" fontId="9" fillId="33" borderId="0" xfId="74" applyNumberFormat="1" applyFont="1" applyFill="1" applyBorder="1" applyAlignment="1" applyProtection="1">
      <alignment horizontal="right" vertical="center"/>
      <protection/>
    </xf>
    <xf numFmtId="0" fontId="10" fillId="33" borderId="0" xfId="0" applyFont="1" applyFill="1" applyBorder="1" applyAlignment="1" applyProtection="1">
      <alignment horizontal="left" vertical="center"/>
      <protection/>
    </xf>
    <xf numFmtId="3" fontId="9" fillId="33" borderId="0" xfId="0" applyNumberFormat="1" applyFont="1" applyFill="1" applyBorder="1" applyAlignment="1" applyProtection="1">
      <alignment horizontal="left" vertical="center"/>
      <protection/>
    </xf>
    <xf numFmtId="2" fontId="9" fillId="33" borderId="0" xfId="0" applyNumberFormat="1" applyFont="1" applyFill="1" applyBorder="1" applyAlignment="1" applyProtection="1">
      <alignment horizontal="left" vertical="center"/>
      <protection/>
    </xf>
    <xf numFmtId="3" fontId="9" fillId="33" borderId="0" xfId="0" applyNumberFormat="1" applyFont="1" applyFill="1" applyBorder="1" applyAlignment="1" applyProtection="1">
      <alignment horizontal="right" vertical="center"/>
      <protection/>
    </xf>
    <xf numFmtId="0" fontId="0" fillId="33" borderId="0" xfId="0" applyFill="1" applyAlignment="1" applyProtection="1">
      <alignmen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3" fontId="4" fillId="33" borderId="0" xfId="0" applyNumberFormat="1" applyFont="1" applyFill="1" applyBorder="1" applyAlignment="1" applyProtection="1">
      <alignment vertical="center"/>
      <protection/>
    </xf>
    <xf numFmtId="2" fontId="4" fillId="33" borderId="0" xfId="0" applyNumberFormat="1" applyFont="1" applyFill="1" applyBorder="1" applyAlignment="1" applyProtection="1">
      <alignment vertical="center"/>
      <protection/>
    </xf>
    <xf numFmtId="204" fontId="24" fillId="33" borderId="29" xfId="0" applyNumberFormat="1" applyFont="1" applyFill="1" applyBorder="1" applyAlignment="1" applyProtection="1">
      <alignment horizontal="right" vertical="center"/>
      <protection/>
    </xf>
    <xf numFmtId="0" fontId="36" fillId="33" borderId="0" xfId="0" applyFont="1" applyFill="1" applyBorder="1" applyAlignment="1" applyProtection="1">
      <alignment horizontal="center" vertical="center" wrapText="1"/>
      <protection/>
    </xf>
    <xf numFmtId="4" fontId="40" fillId="33" borderId="0" xfId="0" applyNumberFormat="1" applyFont="1" applyFill="1" applyBorder="1" applyAlignment="1" applyProtection="1">
      <alignment horizontal="center" vertical="center"/>
      <protection/>
    </xf>
    <xf numFmtId="3" fontId="40" fillId="33" borderId="0" xfId="0" applyNumberFormat="1" applyFont="1" applyFill="1" applyBorder="1" applyAlignment="1" applyProtection="1">
      <alignment horizontal="center" vertical="center"/>
      <protection/>
    </xf>
    <xf numFmtId="0" fontId="40" fillId="33" borderId="0" xfId="0" applyFont="1" applyFill="1" applyBorder="1" applyAlignment="1" applyProtection="1">
      <alignment horizontal="center" vertical="center"/>
      <protection/>
    </xf>
    <xf numFmtId="4" fontId="40" fillId="33" borderId="0" xfId="0" applyNumberFormat="1" applyFont="1" applyFill="1" applyBorder="1" applyAlignment="1" applyProtection="1">
      <alignment horizontal="center" vertical="center" wrapText="1"/>
      <protection/>
    </xf>
    <xf numFmtId="3" fontId="40" fillId="33" borderId="0" xfId="0" applyNumberFormat="1" applyFont="1" applyFill="1" applyBorder="1" applyAlignment="1" applyProtection="1">
      <alignment horizontal="center" vertical="center" wrapText="1"/>
      <protection/>
    </xf>
    <xf numFmtId="0" fontId="45" fillId="33" borderId="0" xfId="0" applyFont="1" applyFill="1" applyBorder="1" applyAlignment="1" applyProtection="1">
      <alignment horizontal="center" vertical="center" wrapText="1"/>
      <protection/>
    </xf>
    <xf numFmtId="0" fontId="44" fillId="33" borderId="0" xfId="0" applyFont="1" applyFill="1" applyBorder="1" applyAlignment="1" applyProtection="1">
      <alignment horizontal="center" vertical="center" wrapText="1"/>
      <protection/>
    </xf>
    <xf numFmtId="0" fontId="47" fillId="33" borderId="0" xfId="0" applyFont="1" applyFill="1" applyBorder="1" applyAlignment="1" applyProtection="1">
      <alignment horizontal="center" vertical="center" wrapText="1"/>
      <protection/>
    </xf>
    <xf numFmtId="0" fontId="46" fillId="33" borderId="0" xfId="0" applyFont="1" applyFill="1" applyBorder="1" applyAlignment="1" applyProtection="1">
      <alignment horizontal="center" vertical="center" wrapText="1"/>
      <protection/>
    </xf>
    <xf numFmtId="3" fontId="13" fillId="0" borderId="13" xfId="43" applyNumberFormat="1" applyFont="1" applyFill="1" applyBorder="1" applyAlignment="1" applyProtection="1">
      <alignment horizontal="right" vertical="center"/>
      <protection/>
    </xf>
    <xf numFmtId="2" fontId="13" fillId="0" borderId="13" xfId="43" applyNumberFormat="1" applyFont="1" applyFill="1" applyBorder="1" applyAlignment="1" applyProtection="1">
      <alignment horizontal="right" vertical="center"/>
      <protection/>
    </xf>
    <xf numFmtId="2" fontId="13" fillId="0" borderId="33" xfId="43" applyNumberFormat="1" applyFont="1" applyFill="1" applyBorder="1" applyAlignment="1" applyProtection="1">
      <alignment horizontal="right" vertical="center"/>
      <protection/>
    </xf>
    <xf numFmtId="0" fontId="13" fillId="0" borderId="24" xfId="0" applyFont="1" applyFill="1" applyBorder="1" applyAlignment="1">
      <alignment horizontal="left" vertical="center"/>
    </xf>
    <xf numFmtId="190" fontId="13" fillId="0" borderId="11" xfId="0" applyNumberFormat="1" applyFont="1" applyFill="1" applyBorder="1" applyAlignment="1">
      <alignment horizontal="center" vertical="center"/>
    </xf>
    <xf numFmtId="0" fontId="13" fillId="0" borderId="11" xfId="0" applyFont="1" applyFill="1" applyBorder="1" applyAlignment="1">
      <alignment horizontal="right" vertical="center"/>
    </xf>
    <xf numFmtId="4" fontId="30" fillId="0" borderId="11" xfId="0" applyNumberFormat="1" applyFont="1" applyFill="1" applyBorder="1" applyAlignment="1">
      <alignment horizontal="right" vertical="center"/>
    </xf>
    <xf numFmtId="3" fontId="30" fillId="0" borderId="11" xfId="0" applyNumberFormat="1" applyFont="1" applyFill="1" applyBorder="1" applyAlignment="1">
      <alignment horizontal="right" vertical="center"/>
    </xf>
    <xf numFmtId="2" fontId="13" fillId="0" borderId="11" xfId="43" applyNumberFormat="1" applyFont="1" applyFill="1" applyBorder="1" applyAlignment="1" applyProtection="1">
      <alignment horizontal="right" vertical="center"/>
      <protection/>
    </xf>
    <xf numFmtId="4" fontId="13" fillId="0" borderId="11" xfId="0" applyNumberFormat="1" applyFont="1" applyFill="1" applyBorder="1" applyAlignment="1">
      <alignment horizontal="right" vertical="center"/>
    </xf>
    <xf numFmtId="2" fontId="13" fillId="0" borderId="26" xfId="43" applyNumberFormat="1" applyFont="1" applyFill="1" applyBorder="1" applyAlignment="1" applyProtection="1">
      <alignment horizontal="right" vertical="center"/>
      <protection/>
    </xf>
    <xf numFmtId="0" fontId="13" fillId="0" borderId="24" xfId="0" applyFont="1" applyFill="1" applyBorder="1" applyAlignment="1">
      <alignment vertical="center"/>
    </xf>
    <xf numFmtId="0" fontId="13" fillId="0" borderId="11" xfId="0" applyNumberFormat="1" applyFont="1" applyFill="1" applyBorder="1" applyAlignment="1">
      <alignment horizontal="left" vertical="center"/>
    </xf>
    <xf numFmtId="2" fontId="13" fillId="0" borderId="11" xfId="43" applyNumberFormat="1" applyFont="1" applyFill="1" applyBorder="1" applyAlignment="1" applyProtection="1">
      <alignment vertical="center"/>
      <protection/>
    </xf>
    <xf numFmtId="0" fontId="13" fillId="0" borderId="11" xfId="0" applyNumberFormat="1" applyFont="1" applyFill="1" applyBorder="1" applyAlignment="1">
      <alignment horizontal="right" vertical="center"/>
    </xf>
    <xf numFmtId="190" fontId="13" fillId="0" borderId="11" xfId="0" applyNumberFormat="1" applyFont="1" applyFill="1" applyBorder="1" applyAlignment="1">
      <alignment horizontal="left" vertical="center"/>
    </xf>
    <xf numFmtId="3" fontId="13" fillId="0" borderId="11" xfId="43" applyNumberFormat="1" applyFont="1" applyFill="1" applyBorder="1" applyAlignment="1" applyProtection="1">
      <alignment vertical="center"/>
      <protection/>
    </xf>
    <xf numFmtId="0" fontId="13" fillId="0" borderId="11" xfId="0" applyFont="1" applyFill="1" applyBorder="1" applyAlignment="1">
      <alignment horizontal="left" vertical="center" shrinkToFit="1"/>
    </xf>
    <xf numFmtId="190" fontId="13" fillId="0" borderId="11" xfId="60" applyNumberFormat="1" applyFont="1" applyFill="1" applyBorder="1" applyAlignment="1">
      <alignment horizontal="center" vertical="center"/>
      <protection/>
    </xf>
    <xf numFmtId="0" fontId="13" fillId="0" borderId="11" xfId="60" applyFont="1" applyFill="1" applyBorder="1" applyAlignment="1">
      <alignment horizontal="left" vertical="center"/>
      <protection/>
    </xf>
    <xf numFmtId="0" fontId="13" fillId="0" borderId="11" xfId="60" applyFont="1" applyFill="1" applyBorder="1" applyAlignment="1">
      <alignment horizontal="right" vertical="center"/>
      <protection/>
    </xf>
    <xf numFmtId="2" fontId="13" fillId="0" borderId="11" xfId="42" applyNumberFormat="1" applyFont="1" applyFill="1" applyBorder="1" applyAlignment="1" applyProtection="1">
      <alignment horizontal="right" vertical="center"/>
      <protection/>
    </xf>
    <xf numFmtId="0" fontId="13" fillId="0" borderId="24" xfId="0" applyFont="1" applyFill="1" applyBorder="1" applyAlignment="1">
      <alignment horizontal="left" vertical="center" shrinkToFit="1"/>
    </xf>
    <xf numFmtId="190" fontId="13" fillId="0" borderId="11" xfId="0" applyNumberFormat="1" applyFont="1" applyFill="1" applyBorder="1" applyAlignment="1">
      <alignment horizontal="center" vertical="center" shrinkToFit="1"/>
    </xf>
    <xf numFmtId="0" fontId="13" fillId="0" borderId="11" xfId="0" applyFont="1" applyFill="1" applyBorder="1" applyAlignment="1">
      <alignment horizontal="right" vertical="center" shrinkToFit="1"/>
    </xf>
    <xf numFmtId="3" fontId="13" fillId="0" borderId="11" xfId="43" applyNumberFormat="1" applyFont="1" applyFill="1" applyBorder="1" applyAlignment="1" applyProtection="1">
      <alignment horizontal="right" vertical="center" shrinkToFit="1"/>
      <protection/>
    </xf>
    <xf numFmtId="2" fontId="13" fillId="0" borderId="11" xfId="43" applyNumberFormat="1" applyFont="1" applyFill="1" applyBorder="1" applyAlignment="1" applyProtection="1">
      <alignment horizontal="right" vertical="center" shrinkToFit="1"/>
      <protection/>
    </xf>
    <xf numFmtId="4" fontId="13" fillId="0" borderId="11" xfId="43" applyNumberFormat="1" applyFont="1" applyFill="1" applyBorder="1" applyAlignment="1" applyProtection="1">
      <alignment horizontal="right" vertical="center" shrinkToFit="1"/>
      <protection locked="0"/>
    </xf>
    <xf numFmtId="3" fontId="13" fillId="0" borderId="11" xfId="43" applyNumberFormat="1" applyFont="1" applyFill="1" applyBorder="1" applyAlignment="1" applyProtection="1">
      <alignment horizontal="right" vertical="center" shrinkToFit="1"/>
      <protection locked="0"/>
    </xf>
    <xf numFmtId="2" fontId="13" fillId="0" borderId="26" xfId="43" applyNumberFormat="1" applyFont="1" applyFill="1" applyBorder="1" applyAlignment="1" applyProtection="1">
      <alignment horizontal="right" vertical="center" shrinkToFit="1"/>
      <protection/>
    </xf>
    <xf numFmtId="0" fontId="13" fillId="0" borderId="24" xfId="0" applyNumberFormat="1" applyFont="1" applyFill="1" applyBorder="1" applyAlignment="1">
      <alignment horizontal="left" vertical="center"/>
    </xf>
    <xf numFmtId="193" fontId="13" fillId="0" borderId="11" xfId="43" applyNumberFormat="1" applyFont="1" applyFill="1" applyBorder="1" applyAlignment="1" applyProtection="1">
      <alignment horizontal="right" vertical="center"/>
      <protection/>
    </xf>
    <xf numFmtId="0" fontId="13" fillId="0" borderId="24" xfId="0" applyFont="1" applyFill="1" applyBorder="1" applyAlignment="1" applyProtection="1">
      <alignment horizontal="left" vertical="center"/>
      <protection locked="0"/>
    </xf>
    <xf numFmtId="2" fontId="13" fillId="0" borderId="26" xfId="42" applyNumberFormat="1" applyFont="1" applyFill="1" applyBorder="1" applyAlignment="1" applyProtection="1">
      <alignment horizontal="right" vertical="center"/>
      <protection/>
    </xf>
    <xf numFmtId="0" fontId="13" fillId="0" borderId="24" xfId="0" applyFont="1" applyFill="1" applyBorder="1" applyAlignment="1" applyProtection="1">
      <alignment vertical="center"/>
      <protection locked="0"/>
    </xf>
    <xf numFmtId="2" fontId="13" fillId="0" borderId="11" xfId="42" applyNumberFormat="1" applyFont="1" applyFill="1" applyBorder="1" applyAlignment="1" applyProtection="1">
      <alignment vertical="center"/>
      <protection/>
    </xf>
    <xf numFmtId="0" fontId="13" fillId="0" borderId="24" xfId="0" applyNumberFormat="1" applyFont="1" applyFill="1" applyBorder="1" applyAlignment="1" applyProtection="1">
      <alignment horizontal="left" vertical="center"/>
      <protection locked="0"/>
    </xf>
    <xf numFmtId="3" fontId="13" fillId="0" borderId="11" xfId="42" applyNumberFormat="1" applyFont="1" applyFill="1" applyBorder="1" applyAlignment="1" applyProtection="1">
      <alignment vertical="center"/>
      <protection/>
    </xf>
    <xf numFmtId="193" fontId="13" fillId="0" borderId="11" xfId="42" applyNumberFormat="1" applyFont="1" applyFill="1" applyBorder="1" applyAlignment="1" applyProtection="1">
      <alignment horizontal="right" vertical="center"/>
      <protection/>
    </xf>
    <xf numFmtId="0" fontId="13" fillId="37" borderId="24" xfId="0" applyFont="1" applyFill="1" applyBorder="1" applyAlignment="1">
      <alignment horizontal="left" vertical="center"/>
    </xf>
    <xf numFmtId="2" fontId="13" fillId="0" borderId="11" xfId="74" applyNumberFormat="1" applyFont="1" applyFill="1" applyBorder="1" applyAlignment="1" applyProtection="1">
      <alignment horizontal="right" vertical="center"/>
      <protection/>
    </xf>
    <xf numFmtId="2" fontId="13" fillId="0" borderId="26" xfId="74" applyNumberFormat="1" applyFont="1" applyFill="1" applyBorder="1" applyAlignment="1" applyProtection="1">
      <alignment horizontal="right" vertical="center"/>
      <protection/>
    </xf>
    <xf numFmtId="2" fontId="13" fillId="0" borderId="11" xfId="74" applyNumberFormat="1" applyFont="1" applyFill="1" applyBorder="1" applyAlignment="1" applyProtection="1">
      <alignment vertical="center"/>
      <protection/>
    </xf>
    <xf numFmtId="0" fontId="13" fillId="0" borderId="24" xfId="0" applyNumberFormat="1" applyFont="1" applyFill="1" applyBorder="1" applyAlignment="1">
      <alignment horizontal="left" vertical="center"/>
    </xf>
    <xf numFmtId="0" fontId="13" fillId="0" borderId="11" xfId="0" applyNumberFormat="1" applyFont="1" applyFill="1" applyBorder="1" applyAlignment="1">
      <alignment horizontal="left" vertical="center"/>
    </xf>
    <xf numFmtId="0" fontId="13" fillId="0" borderId="11" xfId="0" applyNumberFormat="1" applyFont="1" applyFill="1" applyBorder="1" applyAlignment="1">
      <alignment horizontal="right" vertical="center"/>
    </xf>
    <xf numFmtId="2" fontId="13" fillId="0" borderId="11" xfId="0" applyNumberFormat="1" applyFont="1" applyFill="1" applyBorder="1" applyAlignment="1">
      <alignment horizontal="right" vertical="center"/>
    </xf>
    <xf numFmtId="2" fontId="13" fillId="0" borderId="26" xfId="0" applyNumberFormat="1" applyFont="1" applyFill="1" applyBorder="1" applyAlignment="1">
      <alignment horizontal="right" vertical="center"/>
    </xf>
    <xf numFmtId="0" fontId="13" fillId="0" borderId="24" xfId="0" applyFont="1" applyFill="1" applyBorder="1" applyAlignment="1">
      <alignment vertical="center"/>
    </xf>
    <xf numFmtId="0" fontId="13" fillId="0" borderId="11" xfId="0" applyFont="1" applyFill="1" applyBorder="1" applyAlignment="1">
      <alignment horizontal="left" vertical="center"/>
    </xf>
    <xf numFmtId="0" fontId="13" fillId="0" borderId="24" xfId="0" applyFont="1" applyFill="1" applyBorder="1" applyAlignment="1">
      <alignment horizontal="left"/>
    </xf>
    <xf numFmtId="190" fontId="13" fillId="0" borderId="11" xfId="0" applyNumberFormat="1" applyFont="1" applyFill="1" applyBorder="1" applyAlignment="1">
      <alignment horizontal="center"/>
    </xf>
    <xf numFmtId="0" fontId="13" fillId="0" borderId="11" xfId="0" applyFont="1" applyFill="1" applyBorder="1" applyAlignment="1">
      <alignment horizontal="right"/>
    </xf>
    <xf numFmtId="3" fontId="13" fillId="0" borderId="11" xfId="0" applyNumberFormat="1" applyFont="1" applyFill="1" applyBorder="1" applyAlignment="1">
      <alignment horizontal="right"/>
    </xf>
    <xf numFmtId="2" fontId="13" fillId="0" borderId="11" xfId="0" applyNumberFormat="1" applyFont="1" applyFill="1" applyBorder="1" applyAlignment="1">
      <alignment horizontal="right"/>
    </xf>
    <xf numFmtId="4" fontId="13" fillId="0" borderId="11" xfId="0" applyNumberFormat="1" applyFont="1" applyFill="1" applyBorder="1" applyAlignment="1">
      <alignment horizontal="right"/>
    </xf>
    <xf numFmtId="2" fontId="13" fillId="0" borderId="26" xfId="0" applyNumberFormat="1" applyFont="1" applyFill="1" applyBorder="1" applyAlignment="1">
      <alignment horizontal="right"/>
    </xf>
    <xf numFmtId="2" fontId="13" fillId="0" borderId="11" xfId="0" applyNumberFormat="1" applyFont="1" applyFill="1" applyBorder="1" applyAlignment="1">
      <alignment vertical="center"/>
    </xf>
    <xf numFmtId="4" fontId="13" fillId="0" borderId="11" xfId="0" applyNumberFormat="1" applyFont="1" applyFill="1" applyBorder="1" applyAlignment="1">
      <alignment vertical="center"/>
    </xf>
    <xf numFmtId="190" fontId="13" fillId="0" borderId="11" xfId="0" applyNumberFormat="1" applyFont="1" applyFill="1" applyBorder="1" applyAlignment="1">
      <alignment horizontal="left" vertical="center"/>
    </xf>
    <xf numFmtId="4" fontId="30" fillId="0" borderId="11" xfId="53" applyNumberFormat="1" applyFont="1" applyFill="1" applyBorder="1" applyAlignment="1" applyProtection="1">
      <alignment horizontal="right" vertical="center"/>
      <protection/>
    </xf>
    <xf numFmtId="3" fontId="30" fillId="0" borderId="11" xfId="53" applyNumberFormat="1" applyFont="1" applyFill="1" applyBorder="1" applyAlignment="1" applyProtection="1">
      <alignment horizontal="right" vertical="center"/>
      <protection/>
    </xf>
    <xf numFmtId="2" fontId="13" fillId="0" borderId="11" xfId="0" applyNumberFormat="1" applyFont="1" applyFill="1" applyBorder="1" applyAlignment="1" applyProtection="1">
      <alignment horizontal="right" vertical="center"/>
      <protection/>
    </xf>
    <xf numFmtId="4" fontId="13" fillId="0" borderId="11" xfId="53" applyNumberFormat="1" applyFont="1" applyFill="1" applyBorder="1" applyAlignment="1" applyProtection="1">
      <alignment horizontal="right" vertical="center"/>
      <protection/>
    </xf>
    <xf numFmtId="3" fontId="13" fillId="0" borderId="11" xfId="53" applyNumberFormat="1" applyFont="1" applyFill="1" applyBorder="1" applyAlignment="1" applyProtection="1">
      <alignment horizontal="right" vertical="center"/>
      <protection/>
    </xf>
    <xf numFmtId="2" fontId="13" fillId="0" borderId="26" xfId="0" applyNumberFormat="1" applyFont="1" applyFill="1" applyBorder="1" applyAlignment="1" applyProtection="1">
      <alignment horizontal="right" vertical="center"/>
      <protection/>
    </xf>
    <xf numFmtId="0" fontId="13" fillId="0" borderId="24" xfId="0" applyNumberFormat="1" applyFont="1" applyFill="1" applyBorder="1" applyAlignment="1" applyProtection="1">
      <alignment vertical="center"/>
      <protection locked="0"/>
    </xf>
    <xf numFmtId="4" fontId="30" fillId="0" borderId="11" xfId="44" applyNumberFormat="1" applyFont="1" applyFill="1" applyBorder="1" applyAlignment="1" applyProtection="1">
      <alignment horizontal="right" vertical="center"/>
      <protection locked="0"/>
    </xf>
    <xf numFmtId="3" fontId="30" fillId="0" borderId="11" xfId="44" applyNumberFormat="1" applyFont="1" applyFill="1" applyBorder="1" applyAlignment="1" applyProtection="1">
      <alignment horizontal="right" vertical="center"/>
      <protection locked="0"/>
    </xf>
    <xf numFmtId="3" fontId="13" fillId="0" borderId="11" xfId="44" applyNumberFormat="1" applyFont="1" applyFill="1" applyBorder="1" applyAlignment="1" applyProtection="1">
      <alignment horizontal="right" vertical="center"/>
      <protection/>
    </xf>
    <xf numFmtId="2" fontId="13" fillId="0" borderId="11" xfId="44" applyNumberFormat="1" applyFont="1" applyFill="1" applyBorder="1" applyAlignment="1" applyProtection="1">
      <alignment horizontal="right" vertical="center"/>
      <protection/>
    </xf>
    <xf numFmtId="4" fontId="13" fillId="0" borderId="11" xfId="44" applyNumberFormat="1" applyFont="1" applyFill="1" applyBorder="1" applyAlignment="1" applyProtection="1">
      <alignment horizontal="right" vertical="center"/>
      <protection locked="0"/>
    </xf>
    <xf numFmtId="3" fontId="13" fillId="0" borderId="11" xfId="44" applyNumberFormat="1" applyFont="1" applyFill="1" applyBorder="1" applyAlignment="1" applyProtection="1">
      <alignment horizontal="right" vertical="center"/>
      <protection locked="0"/>
    </xf>
    <xf numFmtId="2" fontId="13" fillId="0" borderId="26" xfId="44" applyNumberFormat="1" applyFont="1" applyFill="1" applyBorder="1" applyAlignment="1" applyProtection="1">
      <alignment horizontal="right" vertical="center"/>
      <protection/>
    </xf>
    <xf numFmtId="0" fontId="13" fillId="0" borderId="24" xfId="59" applyFont="1" applyFill="1" applyBorder="1" applyAlignment="1">
      <alignment horizontal="left" vertical="center"/>
      <protection/>
    </xf>
    <xf numFmtId="190" fontId="13" fillId="0" borderId="11" xfId="59" applyNumberFormat="1" applyFont="1" applyFill="1" applyBorder="1" applyAlignment="1">
      <alignment horizontal="center" vertical="center"/>
      <protection/>
    </xf>
    <xf numFmtId="0" fontId="13" fillId="0" borderId="11" xfId="59" applyFont="1" applyFill="1" applyBorder="1" applyAlignment="1">
      <alignment horizontal="left" vertical="center"/>
      <protection/>
    </xf>
    <xf numFmtId="0" fontId="13" fillId="0" borderId="11" xfId="59" applyFont="1" applyFill="1" applyBorder="1" applyAlignment="1">
      <alignment horizontal="right" vertical="center"/>
      <protection/>
    </xf>
    <xf numFmtId="4" fontId="13" fillId="0" borderId="11" xfId="59" applyNumberFormat="1" applyFont="1" applyFill="1" applyBorder="1" applyAlignment="1">
      <alignment horizontal="right" vertical="center"/>
      <protection/>
    </xf>
    <xf numFmtId="3" fontId="13" fillId="0" borderId="11" xfId="59" applyNumberFormat="1" applyFont="1" applyFill="1" applyBorder="1" applyAlignment="1">
      <alignment horizontal="right" vertical="center"/>
      <protection/>
    </xf>
    <xf numFmtId="2" fontId="13" fillId="0" borderId="11" xfId="44" applyNumberFormat="1" applyFont="1" applyFill="1" applyBorder="1" applyAlignment="1" applyProtection="1">
      <alignment vertical="center"/>
      <protection/>
    </xf>
    <xf numFmtId="14" fontId="13" fillId="0" borderId="11" xfId="0" applyNumberFormat="1" applyFont="1" applyFill="1" applyBorder="1" applyAlignment="1">
      <alignment vertical="center"/>
    </xf>
    <xf numFmtId="190" fontId="13" fillId="0" borderId="11" xfId="0" applyNumberFormat="1" applyFont="1" applyFill="1" applyBorder="1" applyAlignment="1">
      <alignment horizontal="center" wrapText="1"/>
    </xf>
    <xf numFmtId="14" fontId="13" fillId="0" borderId="11" xfId="0" applyNumberFormat="1" applyFont="1" applyFill="1" applyBorder="1" applyAlignment="1">
      <alignment horizontal="left"/>
    </xf>
    <xf numFmtId="0" fontId="13" fillId="0" borderId="24" xfId="56" applyNumberFormat="1" applyFont="1" applyFill="1" applyBorder="1" applyAlignment="1">
      <alignment horizontal="left" vertical="center"/>
      <protection/>
    </xf>
    <xf numFmtId="190" fontId="13" fillId="0" borderId="11" xfId="56" applyNumberFormat="1" applyFont="1" applyFill="1" applyBorder="1" applyAlignment="1">
      <alignment horizontal="left" vertical="center"/>
      <protection/>
    </xf>
    <xf numFmtId="0" fontId="13" fillId="0" borderId="11" xfId="56" applyNumberFormat="1" applyFont="1" applyFill="1" applyBorder="1" applyAlignment="1">
      <alignment horizontal="right" vertical="center"/>
      <protection/>
    </xf>
    <xf numFmtId="0" fontId="13" fillId="0" borderId="24" xfId="56" applyFont="1" applyFill="1" applyBorder="1" applyAlignment="1">
      <alignment horizontal="left" vertical="center" shrinkToFit="1"/>
      <protection/>
    </xf>
    <xf numFmtId="190" fontId="13" fillId="0" borderId="11" xfId="56" applyNumberFormat="1" applyFont="1" applyFill="1" applyBorder="1" applyAlignment="1">
      <alignment horizontal="center" vertical="center" shrinkToFit="1"/>
      <protection/>
    </xf>
    <xf numFmtId="0" fontId="13" fillId="0" borderId="11" xfId="56" applyFont="1" applyFill="1" applyBorder="1" applyAlignment="1">
      <alignment horizontal="right" vertical="center" shrinkToFit="1"/>
      <protection/>
    </xf>
    <xf numFmtId="0" fontId="13" fillId="0" borderId="24" xfId="56" applyFont="1" applyFill="1" applyBorder="1" applyAlignment="1">
      <alignment horizontal="left" vertical="center"/>
      <protection/>
    </xf>
    <xf numFmtId="0" fontId="13" fillId="0" borderId="24" xfId="56" applyFont="1" applyFill="1" applyBorder="1" applyAlignment="1">
      <alignment vertical="center"/>
      <protection/>
    </xf>
    <xf numFmtId="0" fontId="13" fillId="0" borderId="24" xfId="59" applyFont="1" applyFill="1" applyBorder="1" applyAlignment="1" applyProtection="1">
      <alignment horizontal="left" vertical="center"/>
      <protection locked="0"/>
    </xf>
    <xf numFmtId="190" fontId="13" fillId="0" borderId="11" xfId="59" applyNumberFormat="1" applyFont="1" applyFill="1" applyBorder="1" applyAlignment="1" applyProtection="1">
      <alignment horizontal="center" vertical="center"/>
      <protection locked="0"/>
    </xf>
    <xf numFmtId="0" fontId="13" fillId="0" borderId="11" xfId="59" applyFont="1" applyFill="1" applyBorder="1" applyAlignment="1" applyProtection="1">
      <alignment horizontal="left" vertical="center"/>
      <protection locked="0"/>
    </xf>
    <xf numFmtId="0" fontId="13" fillId="0" borderId="11" xfId="59" applyFont="1" applyFill="1" applyBorder="1" applyAlignment="1" applyProtection="1">
      <alignment horizontal="right" vertical="center"/>
      <protection locked="0"/>
    </xf>
    <xf numFmtId="0" fontId="13" fillId="0" borderId="24" xfId="0" applyFont="1" applyFill="1" applyBorder="1" applyAlignment="1" applyProtection="1">
      <alignment horizontal="left" vertical="center" shrinkToFit="1"/>
      <protection locked="0"/>
    </xf>
    <xf numFmtId="3" fontId="13" fillId="0" borderId="11" xfId="74" applyNumberFormat="1" applyFont="1" applyFill="1" applyBorder="1" applyAlignment="1" applyProtection="1">
      <alignment vertical="center"/>
      <protection/>
    </xf>
    <xf numFmtId="193" fontId="13" fillId="0" borderId="11" xfId="0" applyNumberFormat="1" applyFont="1" applyFill="1" applyBorder="1" applyAlignment="1" applyProtection="1">
      <alignment horizontal="right" vertical="center"/>
      <protection/>
    </xf>
    <xf numFmtId="2" fontId="13" fillId="0" borderId="11" xfId="40" applyNumberFormat="1" applyFont="1" applyFill="1" applyBorder="1" applyAlignment="1" applyProtection="1">
      <alignment horizontal="right" vertical="center"/>
      <protection/>
    </xf>
    <xf numFmtId="2" fontId="13" fillId="0" borderId="26" xfId="40" applyNumberFormat="1" applyFont="1" applyFill="1" applyBorder="1" applyAlignment="1" applyProtection="1">
      <alignment horizontal="right" vertical="center"/>
      <protection/>
    </xf>
    <xf numFmtId="0" fontId="13" fillId="0" borderId="24" xfId="53" applyFont="1" applyFill="1" applyBorder="1" applyAlignment="1">
      <alignment horizontal="left" vertical="center"/>
      <protection/>
    </xf>
    <xf numFmtId="190" fontId="13" fillId="0" borderId="11" xfId="53" applyNumberFormat="1" applyFont="1" applyFill="1" applyBorder="1" applyAlignment="1">
      <alignment horizontal="center" vertical="center"/>
      <protection/>
    </xf>
    <xf numFmtId="0" fontId="13" fillId="0" borderId="11" xfId="53" applyFont="1" applyFill="1" applyBorder="1" applyAlignment="1">
      <alignment horizontal="right" vertical="center"/>
      <protection/>
    </xf>
    <xf numFmtId="0" fontId="13" fillId="0" borderId="24" xfId="53" applyNumberFormat="1" applyFont="1" applyFill="1" applyBorder="1" applyAlignment="1">
      <alignment horizontal="left" vertical="center"/>
      <protection/>
    </xf>
    <xf numFmtId="190" fontId="13" fillId="0" borderId="11" xfId="53" applyNumberFormat="1" applyFont="1" applyFill="1" applyBorder="1" applyAlignment="1">
      <alignment vertical="center"/>
      <protection/>
    </xf>
    <xf numFmtId="0" fontId="13" fillId="0" borderId="11" xfId="53" applyNumberFormat="1" applyFont="1" applyFill="1" applyBorder="1" applyAlignment="1">
      <alignment horizontal="right" vertical="center"/>
      <protection/>
    </xf>
    <xf numFmtId="0" fontId="13" fillId="0" borderId="11" xfId="53" applyNumberFormat="1" applyFont="1" applyFill="1" applyBorder="1" applyAlignment="1">
      <alignment horizontal="left" vertical="center"/>
      <protection/>
    </xf>
    <xf numFmtId="2" fontId="13" fillId="0" borderId="26" xfId="53" applyNumberFormat="1" applyFont="1" applyFill="1" applyBorder="1" applyAlignment="1" applyProtection="1">
      <alignment horizontal="right" vertical="center"/>
      <protection/>
    </xf>
    <xf numFmtId="0" fontId="13" fillId="0" borderId="24" xfId="53" applyFont="1" applyFill="1" applyBorder="1" applyAlignment="1">
      <alignment vertical="center"/>
      <protection/>
    </xf>
    <xf numFmtId="0" fontId="13" fillId="0" borderId="11" xfId="53" applyFont="1" applyFill="1" applyBorder="1" applyAlignment="1">
      <alignment horizontal="left" vertical="center"/>
      <protection/>
    </xf>
    <xf numFmtId="3" fontId="13" fillId="0" borderId="11" xfId="0" applyNumberFormat="1" applyFont="1" applyFill="1" applyBorder="1" applyAlignment="1">
      <alignment horizontal="right"/>
    </xf>
    <xf numFmtId="14" fontId="13" fillId="0" borderId="11" xfId="0" applyNumberFormat="1" applyFont="1" applyFill="1" applyBorder="1" applyAlignment="1">
      <alignment horizontal="left" vertical="center"/>
    </xf>
    <xf numFmtId="0" fontId="13" fillId="0" borderId="24" xfId="54" applyFont="1" applyFill="1" applyBorder="1" applyAlignment="1">
      <alignment horizontal="left" vertical="center" shrinkToFit="1"/>
      <protection/>
    </xf>
    <xf numFmtId="190" fontId="13" fillId="0" borderId="11" xfId="54" applyNumberFormat="1" applyFont="1" applyFill="1" applyBorder="1" applyAlignment="1">
      <alignment horizontal="center" vertical="center"/>
      <protection/>
    </xf>
    <xf numFmtId="0" fontId="13" fillId="0" borderId="11" xfId="54" applyFont="1" applyFill="1" applyBorder="1" applyAlignment="1">
      <alignment horizontal="right" vertical="center"/>
      <protection/>
    </xf>
    <xf numFmtId="0" fontId="13" fillId="0" borderId="24" xfId="54" applyFont="1" applyFill="1" applyBorder="1" applyAlignment="1">
      <alignment horizontal="left" vertical="center"/>
      <protection/>
    </xf>
    <xf numFmtId="0" fontId="13" fillId="33" borderId="24" xfId="0" applyFont="1" applyFill="1" applyBorder="1" applyAlignment="1">
      <alignment horizontal="left"/>
    </xf>
    <xf numFmtId="190" fontId="13" fillId="33" borderId="11" xfId="0" applyNumberFormat="1" applyFont="1" applyFill="1" applyBorder="1" applyAlignment="1">
      <alignment horizontal="center" wrapText="1"/>
    </xf>
    <xf numFmtId="14" fontId="13" fillId="33" borderId="11" xfId="0" applyNumberFormat="1" applyFont="1" applyFill="1" applyBorder="1" applyAlignment="1">
      <alignment horizontal="left"/>
    </xf>
    <xf numFmtId="0" fontId="13" fillId="33" borderId="11" xfId="0" applyFont="1" applyFill="1" applyBorder="1" applyAlignment="1">
      <alignment horizontal="right"/>
    </xf>
    <xf numFmtId="3" fontId="13" fillId="33" borderId="11" xfId="0" applyNumberFormat="1" applyFont="1" applyFill="1" applyBorder="1" applyAlignment="1">
      <alignment horizontal="right"/>
    </xf>
    <xf numFmtId="2" fontId="13" fillId="33" borderId="11" xfId="0" applyNumberFormat="1" applyFont="1" applyFill="1" applyBorder="1" applyAlignment="1">
      <alignment horizontal="right"/>
    </xf>
    <xf numFmtId="4" fontId="13" fillId="33" borderId="11" xfId="0" applyNumberFormat="1" applyFont="1" applyFill="1" applyBorder="1" applyAlignment="1">
      <alignment horizontal="right"/>
    </xf>
    <xf numFmtId="3" fontId="13" fillId="33" borderId="11" xfId="0" applyNumberFormat="1" applyFont="1" applyFill="1" applyBorder="1" applyAlignment="1">
      <alignment horizontal="right"/>
    </xf>
    <xf numFmtId="2" fontId="13" fillId="33" borderId="26" xfId="0" applyNumberFormat="1" applyFont="1" applyFill="1" applyBorder="1" applyAlignment="1">
      <alignment horizontal="right"/>
    </xf>
    <xf numFmtId="204" fontId="13" fillId="0" borderId="24" xfId="0" applyNumberFormat="1" applyFont="1" applyFill="1" applyBorder="1" applyAlignment="1">
      <alignment horizontal="left" vertical="center"/>
    </xf>
    <xf numFmtId="0" fontId="13" fillId="37" borderId="11" xfId="0" applyFont="1" applyFill="1" applyBorder="1" applyAlignment="1">
      <alignment horizontal="left" vertical="center"/>
    </xf>
    <xf numFmtId="0" fontId="13" fillId="0" borderId="24" xfId="60" applyFont="1" applyFill="1" applyBorder="1" applyAlignment="1">
      <alignment horizontal="left" vertical="center"/>
      <protection/>
    </xf>
    <xf numFmtId="4" fontId="13" fillId="0" borderId="11" xfId="44" applyNumberFormat="1" applyFont="1" applyFill="1" applyBorder="1" applyAlignment="1" applyProtection="1">
      <alignment vertical="center"/>
      <protection locked="0"/>
    </xf>
    <xf numFmtId="3" fontId="13" fillId="0" borderId="11" xfId="44" applyNumberFormat="1" applyFont="1" applyFill="1" applyBorder="1" applyAlignment="1" applyProtection="1">
      <alignment vertical="center"/>
      <protection/>
    </xf>
    <xf numFmtId="3" fontId="13" fillId="0" borderId="11" xfId="44" applyNumberFormat="1" applyFont="1" applyFill="1" applyBorder="1" applyAlignment="1" applyProtection="1">
      <alignment vertical="center"/>
      <protection locked="0"/>
    </xf>
    <xf numFmtId="0" fontId="13" fillId="0" borderId="24" xfId="59" applyNumberFormat="1" applyFont="1" applyFill="1" applyBorder="1" applyAlignment="1" applyProtection="1">
      <alignment horizontal="left" vertical="center"/>
      <protection locked="0"/>
    </xf>
    <xf numFmtId="0" fontId="13" fillId="0" borderId="11" xfId="59" applyNumberFormat="1" applyFont="1" applyFill="1" applyBorder="1" applyAlignment="1" applyProtection="1">
      <alignment horizontal="left" vertical="center"/>
      <protection locked="0"/>
    </xf>
    <xf numFmtId="0" fontId="13" fillId="0" borderId="11" xfId="59" applyNumberFormat="1" applyFont="1" applyFill="1" applyBorder="1" applyAlignment="1" applyProtection="1">
      <alignment horizontal="right" vertical="center"/>
      <protection locked="0"/>
    </xf>
    <xf numFmtId="190" fontId="13" fillId="0" borderId="11" xfId="0" applyNumberFormat="1" applyFont="1" applyBorder="1" applyAlignment="1" applyProtection="1">
      <alignment horizontal="center" vertical="center"/>
      <protection locked="0"/>
    </xf>
    <xf numFmtId="0" fontId="13" fillId="0" borderId="11" xfId="0" applyFont="1" applyBorder="1" applyAlignment="1" applyProtection="1">
      <alignment horizontal="left" vertical="center"/>
      <protection locked="0"/>
    </xf>
    <xf numFmtId="0" fontId="13" fillId="0" borderId="11" xfId="0" applyFont="1" applyBorder="1" applyAlignment="1" applyProtection="1">
      <alignment horizontal="right" vertical="center"/>
      <protection locked="0"/>
    </xf>
    <xf numFmtId="3" fontId="13" fillId="0" borderId="11" xfId="74" applyNumberFormat="1" applyFont="1" applyBorder="1" applyAlignment="1" applyProtection="1">
      <alignment horizontal="right" vertical="center"/>
      <protection/>
    </xf>
    <xf numFmtId="2" fontId="13" fillId="0" borderId="11" xfId="74" applyNumberFormat="1" applyFont="1" applyBorder="1" applyAlignment="1" applyProtection="1">
      <alignment horizontal="right" vertical="center"/>
      <protection/>
    </xf>
    <xf numFmtId="2" fontId="13" fillId="0" borderId="26" xfId="74" applyNumberFormat="1" applyFont="1" applyBorder="1" applyAlignment="1" applyProtection="1">
      <alignment horizontal="right" vertical="center"/>
      <protection/>
    </xf>
    <xf numFmtId="0" fontId="13" fillId="0" borderId="24" xfId="61" applyFont="1" applyFill="1" applyBorder="1" applyAlignment="1">
      <alignment horizontal="left" vertical="center"/>
      <protection/>
    </xf>
    <xf numFmtId="190" fontId="13" fillId="0" borderId="11" xfId="61" applyNumberFormat="1" applyFont="1" applyFill="1" applyBorder="1" applyAlignment="1">
      <alignment horizontal="center" vertical="center"/>
      <protection/>
    </xf>
    <xf numFmtId="14" fontId="13" fillId="0" borderId="11" xfId="61" applyNumberFormat="1" applyFont="1" applyFill="1" applyBorder="1" applyAlignment="1">
      <alignment horizontal="left" vertical="center"/>
      <protection/>
    </xf>
    <xf numFmtId="0" fontId="13" fillId="0" borderId="11" xfId="61" applyFont="1" applyFill="1" applyBorder="1" applyAlignment="1">
      <alignment horizontal="right" vertical="center"/>
      <protection/>
    </xf>
    <xf numFmtId="4" fontId="13" fillId="0" borderId="11" xfId="61" applyNumberFormat="1" applyFont="1" applyFill="1" applyBorder="1" applyAlignment="1">
      <alignment horizontal="right" vertical="center"/>
      <protection/>
    </xf>
    <xf numFmtId="3" fontId="13" fillId="0" borderId="11" xfId="61" applyNumberFormat="1" applyFont="1" applyFill="1" applyBorder="1" applyAlignment="1">
      <alignment horizontal="right" vertical="center"/>
      <protection/>
    </xf>
    <xf numFmtId="2" fontId="13" fillId="0" borderId="26" xfId="61" applyNumberFormat="1" applyFont="1" applyFill="1" applyBorder="1" applyAlignment="1">
      <alignment horizontal="right" vertical="center"/>
      <protection/>
    </xf>
    <xf numFmtId="193" fontId="13" fillId="0" borderId="11" xfId="0" applyNumberFormat="1" applyFont="1" applyFill="1" applyBorder="1" applyAlignment="1">
      <alignment horizontal="right" vertical="center"/>
    </xf>
    <xf numFmtId="0" fontId="13" fillId="33" borderId="24" xfId="0" applyFont="1" applyFill="1" applyBorder="1" applyAlignment="1">
      <alignment horizontal="left" vertical="center"/>
    </xf>
    <xf numFmtId="204" fontId="13" fillId="0" borderId="24" xfId="0" applyNumberFormat="1" applyFont="1" applyFill="1" applyBorder="1" applyAlignment="1">
      <alignment vertical="center"/>
    </xf>
    <xf numFmtId="204" fontId="13" fillId="0" borderId="24" xfId="0" applyNumberFormat="1" applyFont="1" applyFill="1" applyBorder="1" applyAlignment="1">
      <alignment horizontal="left" vertical="center" shrinkToFit="1"/>
    </xf>
    <xf numFmtId="3" fontId="13" fillId="0" borderId="11" xfId="40" applyNumberFormat="1" applyFont="1" applyFill="1" applyBorder="1" applyAlignment="1" applyProtection="1">
      <alignment vertical="center"/>
      <protection/>
    </xf>
    <xf numFmtId="2" fontId="13" fillId="0" borderId="11" xfId="40" applyNumberFormat="1" applyFont="1" applyFill="1" applyBorder="1" applyAlignment="1" applyProtection="1">
      <alignment vertical="center"/>
      <protection/>
    </xf>
    <xf numFmtId="2" fontId="13" fillId="0" borderId="11" xfId="0" applyNumberFormat="1" applyFont="1" applyFill="1" applyBorder="1" applyAlignment="1">
      <alignment horizontal="right"/>
    </xf>
    <xf numFmtId="2" fontId="13" fillId="0" borderId="26" xfId="0" applyNumberFormat="1" applyFont="1" applyFill="1" applyBorder="1" applyAlignment="1">
      <alignment horizontal="right"/>
    </xf>
    <xf numFmtId="2" fontId="13" fillId="0" borderId="12" xfId="74" applyNumberFormat="1" applyFont="1" applyFill="1" applyBorder="1" applyAlignment="1" applyProtection="1">
      <alignment horizontal="right" vertical="center"/>
      <protection/>
    </xf>
    <xf numFmtId="3" fontId="30" fillId="0" borderId="11" xfId="0" applyNumberFormat="1" applyFont="1" applyFill="1" applyBorder="1" applyAlignment="1">
      <alignment horizontal="right" vertical="center"/>
    </xf>
    <xf numFmtId="0" fontId="13" fillId="0" borderId="20" xfId="0" applyFont="1" applyFill="1" applyBorder="1" applyAlignment="1">
      <alignment horizontal="left" vertical="center"/>
    </xf>
    <xf numFmtId="0" fontId="13" fillId="0" borderId="24" xfId="0" applyNumberFormat="1" applyFont="1" applyFill="1" applyBorder="1" applyAlignment="1" applyProtection="1">
      <alignment horizontal="left" vertical="center"/>
      <protection/>
    </xf>
    <xf numFmtId="0" fontId="13" fillId="0" borderId="24" xfId="0" applyFont="1" applyFill="1" applyBorder="1" applyAlignment="1" applyProtection="1">
      <alignment horizontal="left" vertical="center"/>
      <protection/>
    </xf>
    <xf numFmtId="0" fontId="13" fillId="0" borderId="24" xfId="0" applyFont="1" applyFill="1" applyBorder="1" applyAlignment="1" applyProtection="1">
      <alignment horizontal="left" vertical="center"/>
      <protection/>
    </xf>
    <xf numFmtId="0" fontId="13" fillId="0" borderId="24" xfId="0" applyFont="1" applyFill="1" applyBorder="1" applyAlignment="1">
      <alignment horizontal="left" vertical="center"/>
    </xf>
    <xf numFmtId="0" fontId="13" fillId="0" borderId="24" xfId="56" applyFont="1" applyFill="1" applyBorder="1" applyAlignment="1" applyProtection="1">
      <alignment horizontal="left" vertical="center"/>
      <protection/>
    </xf>
    <xf numFmtId="190" fontId="13" fillId="0" borderId="13" xfId="0" applyNumberFormat="1" applyFont="1" applyFill="1" applyBorder="1" applyAlignment="1">
      <alignment horizontal="center" vertical="center"/>
    </xf>
    <xf numFmtId="0" fontId="13" fillId="0" borderId="11" xfId="56" applyNumberFormat="1" applyFont="1" applyFill="1" applyBorder="1" applyAlignment="1">
      <alignment horizontal="left" vertical="center"/>
      <protection/>
    </xf>
    <xf numFmtId="0" fontId="13" fillId="0" borderId="13" xfId="0" applyFont="1" applyFill="1" applyBorder="1" applyAlignment="1">
      <alignment horizontal="left" vertical="center"/>
    </xf>
    <xf numFmtId="49" fontId="13" fillId="0" borderId="12" xfId="0" applyNumberFormat="1" applyFont="1" applyFill="1" applyBorder="1" applyAlignment="1" applyProtection="1">
      <alignment horizontal="left" vertical="center"/>
      <protection locked="0"/>
    </xf>
    <xf numFmtId="0" fontId="13" fillId="0" borderId="13" xfId="0" applyFont="1" applyFill="1" applyBorder="1" applyAlignment="1">
      <alignment horizontal="right" vertical="center"/>
    </xf>
    <xf numFmtId="0" fontId="13" fillId="0" borderId="12" xfId="0" applyNumberFormat="1" applyFont="1" applyFill="1" applyBorder="1" applyAlignment="1" applyProtection="1">
      <alignment horizontal="right" vertical="center"/>
      <protection locked="0"/>
    </xf>
    <xf numFmtId="4" fontId="13" fillId="0" borderId="13" xfId="0" applyNumberFormat="1" applyFont="1" applyFill="1" applyBorder="1" applyAlignment="1">
      <alignment horizontal="right" vertical="center"/>
    </xf>
    <xf numFmtId="2" fontId="13" fillId="0" borderId="31" xfId="74" applyNumberFormat="1" applyFont="1" applyFill="1" applyBorder="1" applyAlignment="1" applyProtection="1">
      <alignment horizontal="right" vertical="center"/>
      <protection/>
    </xf>
    <xf numFmtId="43" fontId="20" fillId="33" borderId="34" xfId="40" applyFont="1" applyFill="1" applyBorder="1" applyAlignment="1" applyProtection="1">
      <alignment horizontal="center"/>
      <protection/>
    </xf>
    <xf numFmtId="190" fontId="20" fillId="33" borderId="34" xfId="0" applyNumberFormat="1" applyFont="1" applyFill="1" applyBorder="1" applyAlignment="1" applyProtection="1">
      <alignment horizontal="center"/>
      <protection/>
    </xf>
    <xf numFmtId="0" fontId="20" fillId="33" borderId="34" xfId="0" applyFont="1" applyFill="1" applyBorder="1" applyAlignment="1" applyProtection="1">
      <alignment horizontal="center"/>
      <protection/>
    </xf>
    <xf numFmtId="0" fontId="32" fillId="33" borderId="34" xfId="0" applyFont="1" applyFill="1" applyBorder="1" applyAlignment="1" applyProtection="1">
      <alignment horizontal="center" vertical="center" wrapText="1"/>
      <protection/>
    </xf>
    <xf numFmtId="3" fontId="20" fillId="33" borderId="34" xfId="0" applyNumberFormat="1" applyFont="1" applyFill="1" applyBorder="1" applyAlignment="1" applyProtection="1">
      <alignment horizontal="center" vertical="center" wrapText="1"/>
      <protection/>
    </xf>
    <xf numFmtId="2" fontId="20" fillId="33" borderId="34" xfId="0" applyNumberFormat="1" applyFont="1" applyFill="1" applyBorder="1" applyAlignment="1" applyProtection="1">
      <alignment horizontal="center" vertical="center" wrapText="1"/>
      <protection/>
    </xf>
    <xf numFmtId="0" fontId="20" fillId="33" borderId="34" xfId="0" applyFont="1" applyFill="1" applyBorder="1" applyAlignment="1" applyProtection="1">
      <alignment horizontal="center" vertical="center" wrapText="1"/>
      <protection/>
    </xf>
    <xf numFmtId="0" fontId="13" fillId="0" borderId="29" xfId="0" applyNumberFormat="1" applyFont="1" applyFill="1" applyBorder="1" applyAlignment="1" applyProtection="1">
      <alignment horizontal="left" vertical="center"/>
      <protection locked="0"/>
    </xf>
    <xf numFmtId="3" fontId="30" fillId="0" borderId="11" xfId="0" applyNumberFormat="1" applyFont="1" applyFill="1" applyBorder="1" applyAlignment="1" applyProtection="1">
      <alignment horizontal="right" vertical="center"/>
      <protection/>
    </xf>
    <xf numFmtId="0" fontId="13" fillId="0" borderId="11" xfId="60" applyFont="1" applyFill="1" applyBorder="1" applyAlignment="1" applyProtection="1">
      <alignment horizontal="right" vertical="center"/>
      <protection locked="0"/>
    </xf>
    <xf numFmtId="3" fontId="30" fillId="0" borderId="11" xfId="60" applyNumberFormat="1" applyFont="1" applyFill="1" applyBorder="1" applyAlignment="1">
      <alignment horizontal="right" vertical="center"/>
      <protection/>
    </xf>
    <xf numFmtId="0" fontId="13" fillId="0" borderId="11" xfId="60" applyFont="1" applyFill="1" applyBorder="1" applyAlignment="1">
      <alignment horizontal="right"/>
      <protection/>
    </xf>
    <xf numFmtId="4" fontId="30" fillId="0" borderId="11" xfId="60" applyNumberFormat="1" applyFont="1" applyFill="1" applyBorder="1" applyAlignment="1">
      <alignment horizontal="right"/>
      <protection/>
    </xf>
    <xf numFmtId="3" fontId="30" fillId="0" borderId="11" xfId="60" applyNumberFormat="1" applyFont="1" applyFill="1" applyBorder="1" applyAlignment="1">
      <alignment horizontal="right"/>
      <protection/>
    </xf>
    <xf numFmtId="49" fontId="13" fillId="0" borderId="11" xfId="0" applyNumberFormat="1" applyFont="1" applyFill="1" applyBorder="1" applyAlignment="1" applyProtection="1">
      <alignment horizontal="right" vertical="center"/>
      <protection locked="0"/>
    </xf>
    <xf numFmtId="0" fontId="13" fillId="0" borderId="11" xfId="60" applyNumberFormat="1" applyFont="1" applyFill="1" applyBorder="1" applyAlignment="1">
      <alignment horizontal="right" vertical="center"/>
      <protection/>
    </xf>
    <xf numFmtId="0" fontId="13" fillId="0" borderId="11" xfId="60" applyNumberFormat="1" applyFont="1" applyFill="1" applyBorder="1" applyAlignment="1" applyProtection="1">
      <alignment horizontal="right" vertical="center"/>
      <protection locked="0"/>
    </xf>
    <xf numFmtId="4" fontId="30" fillId="0" borderId="11" xfId="60" applyNumberFormat="1" applyFont="1" applyFill="1" applyBorder="1" applyAlignment="1" applyProtection="1">
      <alignment horizontal="right" vertical="center"/>
      <protection locked="0"/>
    </xf>
    <xf numFmtId="3" fontId="30" fillId="0" borderId="11" xfId="60" applyNumberFormat="1" applyFont="1" applyFill="1" applyBorder="1" applyAlignment="1" applyProtection="1">
      <alignment horizontal="right" vertical="center"/>
      <protection locked="0"/>
    </xf>
    <xf numFmtId="4" fontId="30" fillId="0" borderId="11" xfId="60" applyNumberFormat="1" applyFont="1" applyFill="1" applyBorder="1" applyAlignment="1">
      <alignment horizontal="right" vertical="center"/>
      <protection/>
    </xf>
    <xf numFmtId="3" fontId="30" fillId="0" borderId="11" xfId="60" applyNumberFormat="1" applyFont="1" applyFill="1" applyBorder="1" applyAlignment="1">
      <alignment horizontal="right" vertical="center"/>
      <protection/>
    </xf>
    <xf numFmtId="4" fontId="30" fillId="0" borderId="11" xfId="58" applyNumberFormat="1" applyFont="1" applyFill="1" applyBorder="1" applyAlignment="1">
      <alignment horizontal="right" vertical="center"/>
      <protection/>
    </xf>
    <xf numFmtId="4" fontId="30" fillId="0" borderId="11" xfId="60" applyNumberFormat="1" applyFont="1" applyFill="1" applyBorder="1" applyAlignment="1">
      <alignment horizontal="right" vertical="center"/>
      <protection/>
    </xf>
    <xf numFmtId="2" fontId="13" fillId="0" borderId="26" xfId="74" applyNumberFormat="1" applyFont="1" applyFill="1" applyBorder="1" applyAlignment="1" applyProtection="1">
      <alignment vertical="center"/>
      <protection/>
    </xf>
    <xf numFmtId="2" fontId="13" fillId="0" borderId="26" xfId="42" applyNumberFormat="1" applyFont="1" applyFill="1" applyBorder="1" applyAlignment="1" applyProtection="1">
      <alignment vertical="center"/>
      <protection/>
    </xf>
    <xf numFmtId="2" fontId="13" fillId="0" borderId="26" xfId="0" applyNumberFormat="1" applyFont="1" applyFill="1" applyBorder="1" applyAlignment="1">
      <alignment vertical="center"/>
    </xf>
    <xf numFmtId="4" fontId="41" fillId="33" borderId="35" xfId="0" applyNumberFormat="1" applyFont="1" applyFill="1" applyBorder="1" applyAlignment="1" applyProtection="1">
      <alignment horizontal="center" vertical="center"/>
      <protection/>
    </xf>
    <xf numFmtId="3" fontId="41" fillId="33" borderId="36" xfId="0" applyNumberFormat="1" applyFont="1" applyFill="1" applyBorder="1" applyAlignment="1" applyProtection="1">
      <alignment horizontal="center" vertical="center"/>
      <protection/>
    </xf>
    <xf numFmtId="4" fontId="41" fillId="33" borderId="36" xfId="0" applyNumberFormat="1" applyFont="1" applyFill="1" applyBorder="1" applyAlignment="1" applyProtection="1">
      <alignment horizontal="center" vertical="center" wrapText="1"/>
      <protection/>
    </xf>
    <xf numFmtId="4" fontId="41" fillId="33" borderId="36" xfId="0" applyNumberFormat="1" applyFont="1" applyFill="1" applyBorder="1" applyAlignment="1" applyProtection="1">
      <alignment horizontal="center" vertical="center"/>
      <protection/>
    </xf>
    <xf numFmtId="3" fontId="41" fillId="33" borderId="14" xfId="0" applyNumberFormat="1" applyFont="1" applyFill="1" applyBorder="1" applyAlignment="1" applyProtection="1">
      <alignment horizontal="center" vertical="center" wrapText="1"/>
      <protection/>
    </xf>
    <xf numFmtId="0" fontId="24" fillId="33" borderId="11" xfId="0" applyFont="1" applyFill="1" applyBorder="1" applyAlignment="1" applyProtection="1">
      <alignment horizontal="left" vertical="center"/>
      <protection/>
    </xf>
    <xf numFmtId="0" fontId="24" fillId="0" borderId="11" xfId="0" applyFont="1" applyFill="1" applyBorder="1" applyAlignment="1" applyProtection="1">
      <alignment horizontal="left" vertical="center"/>
      <protection/>
    </xf>
    <xf numFmtId="0" fontId="25" fillId="0" borderId="11" xfId="0" applyFont="1" applyFill="1" applyBorder="1" applyAlignment="1" applyProtection="1">
      <alignment horizontal="center" vertical="center"/>
      <protection/>
    </xf>
    <xf numFmtId="0" fontId="13" fillId="0" borderId="11" xfId="56" applyFont="1" applyFill="1" applyBorder="1" applyAlignment="1">
      <alignment horizontal="left" vertical="center"/>
      <protection/>
    </xf>
    <xf numFmtId="0" fontId="25" fillId="0" borderId="12" xfId="0" applyFont="1" applyFill="1" applyBorder="1" applyAlignment="1" applyProtection="1">
      <alignment horizontal="center" vertical="center"/>
      <protection/>
    </xf>
    <xf numFmtId="0" fontId="22" fillId="34" borderId="37" xfId="0" applyFont="1" applyFill="1" applyBorder="1" applyAlignment="1" applyProtection="1">
      <alignment vertical="center"/>
      <protection/>
    </xf>
    <xf numFmtId="0" fontId="22" fillId="34" borderId="38" xfId="0" applyFont="1" applyFill="1" applyBorder="1" applyAlignment="1" applyProtection="1">
      <alignment vertical="center"/>
      <protection/>
    </xf>
    <xf numFmtId="3" fontId="13" fillId="33" borderId="0" xfId="0" applyNumberFormat="1" applyFont="1" applyFill="1" applyBorder="1" applyAlignment="1" applyProtection="1">
      <alignment horizontal="center" vertical="center"/>
      <protection/>
    </xf>
    <xf numFmtId="3" fontId="14" fillId="33" borderId="0" xfId="0" applyNumberFormat="1" applyFont="1" applyFill="1" applyBorder="1" applyAlignment="1" applyProtection="1">
      <alignment horizontal="center" vertical="center"/>
      <protection/>
    </xf>
    <xf numFmtId="3" fontId="15" fillId="33" borderId="0" xfId="0" applyNumberFormat="1" applyFont="1" applyFill="1" applyBorder="1" applyAlignment="1" applyProtection="1">
      <alignment horizontal="center" vertical="center"/>
      <protection/>
    </xf>
    <xf numFmtId="3" fontId="23" fillId="33" borderId="0" xfId="0" applyNumberFormat="1" applyFont="1" applyFill="1" applyBorder="1" applyAlignment="1" applyProtection="1">
      <alignment horizontal="center" vertical="center"/>
      <protection/>
    </xf>
    <xf numFmtId="3" fontId="23" fillId="33" borderId="16" xfId="0" applyNumberFormat="1" applyFont="1" applyFill="1" applyBorder="1" applyAlignment="1" applyProtection="1">
      <alignment horizontal="center" vertical="center"/>
      <protection/>
    </xf>
    <xf numFmtId="3" fontId="20" fillId="33" borderId="10" xfId="0" applyNumberFormat="1" applyFont="1" applyFill="1" applyBorder="1" applyAlignment="1" applyProtection="1">
      <alignment horizontal="center"/>
      <protection/>
    </xf>
    <xf numFmtId="3" fontId="31" fillId="33" borderId="18" xfId="0" applyNumberFormat="1" applyFont="1" applyFill="1" applyBorder="1" applyAlignment="1" applyProtection="1">
      <alignment horizontal="center" vertical="center" wrapText="1"/>
      <protection/>
    </xf>
    <xf numFmtId="3" fontId="32" fillId="33" borderId="10" xfId="0" applyNumberFormat="1" applyFont="1" applyFill="1" applyBorder="1" applyAlignment="1" applyProtection="1">
      <alignment horizontal="center"/>
      <protection/>
    </xf>
    <xf numFmtId="3" fontId="10" fillId="33" borderId="0" xfId="0" applyNumberFormat="1" applyFont="1" applyFill="1" applyBorder="1" applyAlignment="1" applyProtection="1">
      <alignment horizontal="left" vertical="center"/>
      <protection/>
    </xf>
    <xf numFmtId="3" fontId="5" fillId="33" borderId="0" xfId="0" applyNumberFormat="1" applyFont="1" applyFill="1" applyBorder="1" applyAlignment="1" applyProtection="1">
      <alignment vertical="center"/>
      <protection/>
    </xf>
    <xf numFmtId="3" fontId="36" fillId="0" borderId="36" xfId="0" applyNumberFormat="1" applyFont="1" applyFill="1" applyBorder="1" applyAlignment="1" applyProtection="1">
      <alignment horizontal="center" vertical="center" wrapText="1"/>
      <protection/>
    </xf>
    <xf numFmtId="3" fontId="0" fillId="33" borderId="0" xfId="0" applyNumberFormat="1" applyFont="1" applyFill="1" applyBorder="1" applyAlignment="1" applyProtection="1">
      <alignment vertical="center"/>
      <protection/>
    </xf>
    <xf numFmtId="3" fontId="46" fillId="33" borderId="18" xfId="0" applyNumberFormat="1" applyFont="1" applyFill="1" applyBorder="1" applyAlignment="1" applyProtection="1">
      <alignment horizontal="center" vertical="center" wrapText="1"/>
      <protection/>
    </xf>
    <xf numFmtId="4" fontId="13" fillId="33" borderId="0" xfId="0" applyNumberFormat="1" applyFont="1" applyFill="1" applyBorder="1" applyAlignment="1" applyProtection="1">
      <alignment horizontal="center" vertical="center"/>
      <protection/>
    </xf>
    <xf numFmtId="4" fontId="14" fillId="33" borderId="0" xfId="0" applyNumberFormat="1" applyFont="1" applyFill="1" applyBorder="1" applyAlignment="1" applyProtection="1">
      <alignment horizontal="center" vertical="center"/>
      <protection/>
    </xf>
    <xf numFmtId="4" fontId="15" fillId="33" borderId="0" xfId="0" applyNumberFormat="1" applyFont="1" applyFill="1" applyBorder="1" applyAlignment="1" applyProtection="1">
      <alignment horizontal="center" vertical="center"/>
      <protection/>
    </xf>
    <xf numFmtId="4" fontId="23" fillId="33" borderId="0" xfId="0" applyNumberFormat="1" applyFont="1" applyFill="1" applyBorder="1" applyAlignment="1" applyProtection="1">
      <alignment horizontal="center" vertical="center"/>
      <protection/>
    </xf>
    <xf numFmtId="4" fontId="23" fillId="33" borderId="16" xfId="0" applyNumberFormat="1" applyFont="1" applyFill="1" applyBorder="1" applyAlignment="1" applyProtection="1">
      <alignment horizontal="center" vertical="center"/>
      <protection/>
    </xf>
    <xf numFmtId="4" fontId="18" fillId="33" borderId="18" xfId="0" applyNumberFormat="1" applyFont="1" applyFill="1" applyBorder="1" applyAlignment="1" applyProtection="1">
      <alignment horizontal="center" vertical="center" wrapText="1"/>
      <protection/>
    </xf>
    <xf numFmtId="4" fontId="20" fillId="33" borderId="10" xfId="0" applyNumberFormat="1" applyFont="1" applyFill="1" applyBorder="1" applyAlignment="1" applyProtection="1">
      <alignment horizontal="center"/>
      <protection/>
    </xf>
    <xf numFmtId="4" fontId="9" fillId="33" borderId="0" xfId="0" applyNumberFormat="1" applyFont="1" applyFill="1" applyBorder="1" applyAlignment="1" applyProtection="1">
      <alignment horizontal="left" vertical="center"/>
      <protection/>
    </xf>
    <xf numFmtId="4" fontId="36" fillId="0" borderId="35" xfId="0" applyNumberFormat="1" applyFont="1" applyFill="1" applyBorder="1" applyAlignment="1" applyProtection="1">
      <alignment horizontal="center" vertical="center" wrapText="1"/>
      <protection/>
    </xf>
    <xf numFmtId="4" fontId="31" fillId="33" borderId="18" xfId="0" applyNumberFormat="1" applyFont="1" applyFill="1" applyBorder="1" applyAlignment="1" applyProtection="1">
      <alignment horizontal="center" vertical="center" wrapText="1"/>
      <protection/>
    </xf>
    <xf numFmtId="4" fontId="32" fillId="33" borderId="10" xfId="0" applyNumberFormat="1" applyFont="1" applyFill="1" applyBorder="1" applyAlignment="1" applyProtection="1">
      <alignment horizontal="center"/>
      <protection/>
    </xf>
    <xf numFmtId="4" fontId="10" fillId="33" borderId="0" xfId="0" applyNumberFormat="1" applyFont="1" applyFill="1" applyBorder="1" applyAlignment="1" applyProtection="1">
      <alignment horizontal="left" vertical="center"/>
      <protection/>
    </xf>
    <xf numFmtId="4" fontId="5" fillId="33" borderId="0" xfId="0" applyNumberFormat="1" applyFont="1" applyFill="1" applyBorder="1" applyAlignment="1" applyProtection="1">
      <alignment vertical="center"/>
      <protection/>
    </xf>
    <xf numFmtId="4" fontId="36" fillId="0" borderId="36" xfId="0" applyNumberFormat="1" applyFont="1" applyFill="1" applyBorder="1" applyAlignment="1" applyProtection="1">
      <alignment horizontal="center" vertical="center" wrapText="1"/>
      <protection/>
    </xf>
    <xf numFmtId="4" fontId="4" fillId="33" borderId="0" xfId="0" applyNumberFormat="1" applyFont="1" applyFill="1" applyBorder="1" applyAlignment="1" applyProtection="1">
      <alignment vertical="center"/>
      <protection/>
    </xf>
    <xf numFmtId="4" fontId="13" fillId="0" borderId="11" xfId="0" applyNumberFormat="1" applyFont="1" applyFill="1" applyBorder="1" applyAlignment="1">
      <alignment horizontal="right" wrapText="1"/>
    </xf>
    <xf numFmtId="4" fontId="18" fillId="33" borderId="10" xfId="0" applyNumberFormat="1" applyFont="1" applyFill="1" applyBorder="1" applyAlignment="1" applyProtection="1">
      <alignment horizontal="center" vertical="center" wrapText="1"/>
      <protection/>
    </xf>
    <xf numFmtId="4" fontId="20" fillId="33" borderId="10" xfId="0" applyNumberFormat="1" applyFont="1" applyFill="1" applyBorder="1" applyAlignment="1" applyProtection="1">
      <alignment horizontal="center" vertical="center" wrapText="1"/>
      <protection/>
    </xf>
    <xf numFmtId="190" fontId="73" fillId="0" borderId="13" xfId="0" applyNumberFormat="1" applyFont="1" applyFill="1" applyBorder="1" applyAlignment="1" applyProtection="1">
      <alignment horizontal="center" vertical="center"/>
      <protection/>
    </xf>
    <xf numFmtId="0" fontId="73" fillId="0" borderId="13" xfId="0" applyFont="1" applyFill="1" applyBorder="1" applyAlignment="1" applyProtection="1">
      <alignment horizontal="left" vertical="center"/>
      <protection/>
    </xf>
    <xf numFmtId="0" fontId="73" fillId="0" borderId="11" xfId="57" applyFont="1" applyFill="1" applyBorder="1" applyAlignment="1" applyProtection="1">
      <alignment horizontal="left" vertical="center"/>
      <protection/>
    </xf>
    <xf numFmtId="190" fontId="73" fillId="0" borderId="11" xfId="0" applyNumberFormat="1" applyFont="1" applyFill="1" applyBorder="1" applyAlignment="1" applyProtection="1">
      <alignment horizontal="center" vertical="center"/>
      <protection/>
    </xf>
    <xf numFmtId="0" fontId="73" fillId="0" borderId="11" xfId="0" applyFont="1" applyFill="1" applyBorder="1" applyAlignment="1" applyProtection="1">
      <alignment horizontal="left" vertical="center"/>
      <protection/>
    </xf>
    <xf numFmtId="0" fontId="73" fillId="0" borderId="11" xfId="0" applyFont="1" applyFill="1" applyBorder="1" applyAlignment="1" applyProtection="1">
      <alignment horizontal="right" vertical="center"/>
      <protection/>
    </xf>
    <xf numFmtId="0" fontId="73" fillId="0" borderId="11" xfId="0" applyNumberFormat="1" applyFont="1" applyFill="1" applyBorder="1" applyAlignment="1" applyProtection="1">
      <alignment horizontal="right" vertical="center"/>
      <protection/>
    </xf>
    <xf numFmtId="0" fontId="73" fillId="0" borderId="11" xfId="57" applyFont="1" applyFill="1" applyBorder="1" applyAlignment="1" applyProtection="1">
      <alignment horizontal="left" vertical="center"/>
      <protection/>
    </xf>
    <xf numFmtId="204" fontId="73" fillId="0" borderId="11" xfId="0" applyNumberFormat="1" applyFont="1" applyFill="1" applyBorder="1" applyAlignment="1" applyProtection="1">
      <alignment horizontal="left" vertical="center"/>
      <protection/>
    </xf>
    <xf numFmtId="0" fontId="73" fillId="0" borderId="11" xfId="0" applyFont="1" applyFill="1" applyBorder="1" applyAlignment="1" applyProtection="1">
      <alignment horizontal="left" vertical="center"/>
      <protection/>
    </xf>
    <xf numFmtId="190" fontId="73" fillId="0" borderId="11" xfId="0" applyNumberFormat="1" applyFont="1" applyFill="1" applyBorder="1" applyAlignment="1" applyProtection="1">
      <alignment horizontal="center" vertical="center"/>
      <protection/>
    </xf>
    <xf numFmtId="0" fontId="73" fillId="0" borderId="11" xfId="0" applyNumberFormat="1" applyFont="1" applyFill="1" applyBorder="1" applyAlignment="1" applyProtection="1">
      <alignment horizontal="left" vertical="center"/>
      <protection/>
    </xf>
    <xf numFmtId="49" fontId="73" fillId="0" borderId="11" xfId="0" applyNumberFormat="1" applyFont="1" applyFill="1" applyBorder="1" applyAlignment="1" applyProtection="1">
      <alignment horizontal="left" vertical="center"/>
      <protection/>
    </xf>
    <xf numFmtId="190" fontId="73" fillId="0" borderId="11" xfId="0" applyNumberFormat="1" applyFont="1" applyFill="1" applyBorder="1" applyAlignment="1" applyProtection="1">
      <alignment horizontal="center" vertical="center"/>
      <protection locked="0"/>
    </xf>
    <xf numFmtId="190" fontId="73" fillId="0" borderId="11" xfId="0" applyNumberFormat="1" applyFont="1" applyFill="1" applyBorder="1" applyAlignment="1">
      <alignment horizontal="center" wrapText="1"/>
    </xf>
    <xf numFmtId="190" fontId="73" fillId="0" borderId="11" xfId="0" applyNumberFormat="1" applyFont="1" applyFill="1" applyBorder="1" applyAlignment="1">
      <alignment horizontal="center"/>
    </xf>
    <xf numFmtId="0" fontId="73" fillId="0" borderId="11" xfId="0" applyFont="1" applyFill="1" applyBorder="1" applyAlignment="1">
      <alignment horizontal="right"/>
    </xf>
    <xf numFmtId="190" fontId="73" fillId="0" borderId="11" xfId="0" applyNumberFormat="1" applyFont="1" applyFill="1" applyBorder="1" applyAlignment="1">
      <alignment horizontal="center" vertical="center" shrinkToFit="1"/>
    </xf>
    <xf numFmtId="0" fontId="73" fillId="0" borderId="11" xfId="0" applyFont="1" applyFill="1" applyBorder="1" applyAlignment="1">
      <alignment horizontal="right" vertical="center" shrinkToFit="1"/>
    </xf>
    <xf numFmtId="190" fontId="73" fillId="0" borderId="11" xfId="56" applyNumberFormat="1" applyFont="1" applyFill="1" applyBorder="1" applyAlignment="1">
      <alignment horizontal="center" vertical="center" shrinkToFit="1"/>
      <protection/>
    </xf>
    <xf numFmtId="0" fontId="73" fillId="0" borderId="11" xfId="56" applyFont="1" applyFill="1" applyBorder="1" applyAlignment="1">
      <alignment horizontal="right" vertical="center" shrinkToFit="1"/>
      <protection/>
    </xf>
    <xf numFmtId="3" fontId="13" fillId="0" borderId="13" xfId="74" applyNumberFormat="1" applyFont="1" applyFill="1" applyBorder="1" applyAlignment="1" applyProtection="1">
      <alignment vertical="center"/>
      <protection/>
    </xf>
    <xf numFmtId="4" fontId="13" fillId="0" borderId="13" xfId="74" applyNumberFormat="1" applyFont="1" applyFill="1" applyBorder="1" applyAlignment="1" applyProtection="1">
      <alignment vertical="center"/>
      <protection/>
    </xf>
    <xf numFmtId="4" fontId="13" fillId="0" borderId="11" xfId="74" applyNumberFormat="1" applyFont="1" applyFill="1" applyBorder="1" applyAlignment="1" applyProtection="1">
      <alignment vertical="center"/>
      <protection/>
    </xf>
    <xf numFmtId="4" fontId="13" fillId="0" borderId="26" xfId="74" applyNumberFormat="1" applyFont="1" applyFill="1" applyBorder="1" applyAlignment="1" applyProtection="1">
      <alignment vertical="center"/>
      <protection/>
    </xf>
    <xf numFmtId="4" fontId="13" fillId="0" borderId="26" xfId="0" applyNumberFormat="1" applyFont="1" applyFill="1" applyBorder="1" applyAlignment="1" applyProtection="1">
      <alignment vertical="center"/>
      <protection/>
    </xf>
    <xf numFmtId="3" fontId="13" fillId="0" borderId="11" xfId="42" applyNumberFormat="1" applyFont="1" applyFill="1" applyBorder="1" applyAlignment="1" applyProtection="1">
      <alignment vertical="center"/>
      <protection locked="0"/>
    </xf>
    <xf numFmtId="192" fontId="13" fillId="33" borderId="0" xfId="0" applyNumberFormat="1" applyFont="1" applyFill="1" applyBorder="1" applyAlignment="1" applyProtection="1">
      <alignment horizontal="center" vertical="center"/>
      <protection/>
    </xf>
    <xf numFmtId="192" fontId="14" fillId="33" borderId="0" xfId="0" applyNumberFormat="1" applyFont="1" applyFill="1" applyBorder="1" applyAlignment="1" applyProtection="1">
      <alignment horizontal="center" vertical="center"/>
      <protection/>
    </xf>
    <xf numFmtId="192" fontId="15" fillId="33" borderId="0" xfId="0" applyNumberFormat="1" applyFont="1" applyFill="1" applyBorder="1" applyAlignment="1" applyProtection="1">
      <alignment horizontal="center" vertical="center"/>
      <protection/>
    </xf>
    <xf numFmtId="192" fontId="23" fillId="33" borderId="0" xfId="0" applyNumberFormat="1" applyFont="1" applyFill="1" applyBorder="1" applyAlignment="1" applyProtection="1">
      <alignment horizontal="center" vertical="center"/>
      <protection/>
    </xf>
    <xf numFmtId="192" fontId="23" fillId="33" borderId="16" xfId="0" applyNumberFormat="1" applyFont="1" applyFill="1" applyBorder="1" applyAlignment="1" applyProtection="1">
      <alignment horizontal="center" vertical="center"/>
      <protection/>
    </xf>
    <xf numFmtId="192" fontId="18" fillId="33" borderId="18" xfId="0" applyNumberFormat="1" applyFont="1" applyFill="1" applyBorder="1" applyAlignment="1" applyProtection="1">
      <alignment horizontal="center" vertical="center" wrapText="1"/>
      <protection/>
    </xf>
    <xf numFmtId="192" fontId="13" fillId="0" borderId="13" xfId="74" applyNumberFormat="1" applyFont="1" applyFill="1" applyBorder="1" applyAlignment="1" applyProtection="1">
      <alignment vertical="center"/>
      <protection/>
    </xf>
    <xf numFmtId="192" fontId="13" fillId="0" borderId="11" xfId="74" applyNumberFormat="1" applyFont="1" applyFill="1" applyBorder="1" applyAlignment="1" applyProtection="1">
      <alignment vertical="center"/>
      <protection/>
    </xf>
    <xf numFmtId="192" fontId="13" fillId="0" borderId="11" xfId="74" applyNumberFormat="1" applyFont="1" applyFill="1" applyBorder="1" applyAlignment="1" applyProtection="1">
      <alignment horizontal="right" vertical="center"/>
      <protection/>
    </xf>
    <xf numFmtId="192" fontId="13" fillId="0" borderId="12" xfId="74" applyNumberFormat="1" applyFont="1" applyFill="1" applyBorder="1" applyAlignment="1" applyProtection="1">
      <alignment horizontal="right" vertical="center"/>
      <protection/>
    </xf>
    <xf numFmtId="192" fontId="36" fillId="0" borderId="36" xfId="0" applyNumberFormat="1" applyFont="1" applyFill="1" applyBorder="1" applyAlignment="1" applyProtection="1">
      <alignment horizontal="center" vertical="center" wrapText="1"/>
      <protection/>
    </xf>
    <xf numFmtId="192" fontId="9" fillId="33" borderId="0" xfId="0" applyNumberFormat="1" applyFont="1" applyFill="1" applyBorder="1" applyAlignment="1" applyProtection="1">
      <alignment horizontal="left" vertical="center"/>
      <protection/>
    </xf>
    <xf numFmtId="192" fontId="4" fillId="33" borderId="0" xfId="0" applyNumberFormat="1" applyFont="1" applyFill="1" applyBorder="1" applyAlignment="1" applyProtection="1">
      <alignment vertical="center"/>
      <protection/>
    </xf>
    <xf numFmtId="0" fontId="13" fillId="33" borderId="24" xfId="0" applyFont="1" applyFill="1" applyBorder="1" applyAlignment="1">
      <alignment horizontal="left"/>
    </xf>
    <xf numFmtId="3" fontId="13" fillId="33" borderId="11" xfId="0" applyNumberFormat="1" applyFont="1" applyFill="1" applyBorder="1" applyAlignment="1">
      <alignment horizontal="right"/>
    </xf>
    <xf numFmtId="0" fontId="13" fillId="0" borderId="11" xfId="0" applyFont="1" applyFill="1" applyBorder="1" applyAlignment="1">
      <alignment horizontal="left"/>
    </xf>
    <xf numFmtId="4" fontId="13" fillId="38" borderId="13" xfId="0" applyNumberFormat="1" applyFont="1" applyFill="1" applyBorder="1" applyAlignment="1">
      <alignment horizontal="right" vertical="center"/>
    </xf>
    <xf numFmtId="3" fontId="13" fillId="38" borderId="13" xfId="0" applyNumberFormat="1" applyFont="1" applyFill="1" applyBorder="1" applyAlignment="1">
      <alignment horizontal="right" vertical="center"/>
    </xf>
    <xf numFmtId="4" fontId="13" fillId="38" borderId="11" xfId="43" applyNumberFormat="1" applyFont="1" applyFill="1" applyBorder="1" applyAlignment="1" applyProtection="1">
      <alignment horizontal="right" vertical="center"/>
      <protection locked="0"/>
    </xf>
    <xf numFmtId="3" fontId="13" fillId="38" borderId="11" xfId="43" applyNumberFormat="1" applyFont="1" applyFill="1" applyBorder="1" applyAlignment="1" applyProtection="1">
      <alignment horizontal="right" vertical="center"/>
      <protection locked="0"/>
    </xf>
    <xf numFmtId="4" fontId="13" fillId="38" borderId="11" xfId="43" applyNumberFormat="1" applyFont="1" applyFill="1" applyBorder="1" applyAlignment="1" applyProtection="1">
      <alignment vertical="center"/>
      <protection locked="0"/>
    </xf>
    <xf numFmtId="3" fontId="13" fillId="38" borderId="11" xfId="43" applyNumberFormat="1" applyFont="1" applyFill="1" applyBorder="1" applyAlignment="1" applyProtection="1">
      <alignment vertical="center"/>
      <protection locked="0"/>
    </xf>
    <xf numFmtId="4" fontId="13" fillId="38" borderId="11" xfId="43" applyNumberFormat="1" applyFont="1" applyFill="1" applyBorder="1" applyAlignment="1" applyProtection="1">
      <alignment horizontal="right" vertical="center" shrinkToFit="1"/>
      <protection locked="0"/>
    </xf>
    <xf numFmtId="3" fontId="13" fillId="38" borderId="11" xfId="43" applyNumberFormat="1" applyFont="1" applyFill="1" applyBorder="1" applyAlignment="1" applyProtection="1">
      <alignment horizontal="right" vertical="center" shrinkToFit="1"/>
      <protection locked="0"/>
    </xf>
    <xf numFmtId="4" fontId="13" fillId="38" borderId="11" xfId="42" applyNumberFormat="1" applyFont="1" applyFill="1" applyBorder="1" applyAlignment="1" applyProtection="1">
      <alignment horizontal="right" vertical="center"/>
      <protection locked="0"/>
    </xf>
    <xf numFmtId="3" fontId="13" fillId="38" borderId="11" xfId="42" applyNumberFormat="1" applyFont="1" applyFill="1" applyBorder="1" applyAlignment="1" applyProtection="1">
      <alignment horizontal="right" vertical="center"/>
      <protection locked="0"/>
    </xf>
    <xf numFmtId="4" fontId="13" fillId="38" borderId="11" xfId="42" applyNumberFormat="1" applyFont="1" applyFill="1" applyBorder="1" applyAlignment="1" applyProtection="1">
      <alignment vertical="center"/>
      <protection locked="0"/>
    </xf>
    <xf numFmtId="3" fontId="13" fillId="38" borderId="11" xfId="42" applyNumberFormat="1" applyFont="1" applyFill="1" applyBorder="1" applyAlignment="1" applyProtection="1">
      <alignment vertical="center"/>
      <protection locked="0"/>
    </xf>
    <xf numFmtId="4" fontId="13" fillId="38" borderId="11" xfId="40" applyNumberFormat="1" applyFont="1" applyFill="1" applyBorder="1" applyAlignment="1" applyProtection="1">
      <alignment horizontal="right" vertical="center"/>
      <protection/>
    </xf>
    <xf numFmtId="3" fontId="13" fillId="38" borderId="11" xfId="40" applyNumberFormat="1" applyFont="1" applyFill="1" applyBorder="1" applyAlignment="1" applyProtection="1">
      <alignment horizontal="right" vertical="center"/>
      <protection/>
    </xf>
    <xf numFmtId="4" fontId="13" fillId="38" borderId="11" xfId="40" applyNumberFormat="1" applyFont="1" applyFill="1" applyBorder="1" applyAlignment="1" applyProtection="1">
      <alignment vertical="center"/>
      <protection/>
    </xf>
    <xf numFmtId="4" fontId="13" fillId="38" borderId="11" xfId="0" applyNumberFormat="1" applyFont="1" applyFill="1" applyBorder="1" applyAlignment="1">
      <alignment horizontal="right" vertical="center"/>
    </xf>
    <xf numFmtId="3" fontId="13" fillId="38" borderId="11" xfId="0" applyNumberFormat="1" applyFont="1" applyFill="1" applyBorder="1" applyAlignment="1">
      <alignment horizontal="right" vertical="center"/>
    </xf>
    <xf numFmtId="4" fontId="13" fillId="38" borderId="11" xfId="0" applyNumberFormat="1" applyFont="1" applyFill="1" applyBorder="1" applyAlignment="1">
      <alignment horizontal="right"/>
    </xf>
    <xf numFmtId="3" fontId="13" fillId="38" borderId="11" xfId="0" applyNumberFormat="1" applyFont="1" applyFill="1" applyBorder="1" applyAlignment="1">
      <alignment horizontal="right"/>
    </xf>
    <xf numFmtId="4" fontId="13" fillId="38" borderId="11" xfId="0" applyNumberFormat="1" applyFont="1" applyFill="1" applyBorder="1" applyAlignment="1">
      <alignment vertical="center"/>
    </xf>
    <xf numFmtId="4" fontId="13" fillId="38" borderId="11" xfId="53" applyNumberFormat="1" applyFont="1" applyFill="1" applyBorder="1" applyAlignment="1" applyProtection="1">
      <alignment horizontal="right" vertical="center"/>
      <protection/>
    </xf>
    <xf numFmtId="3" fontId="13" fillId="38" borderId="11" xfId="53" applyNumberFormat="1" applyFont="1" applyFill="1" applyBorder="1" applyAlignment="1" applyProtection="1">
      <alignment horizontal="right" vertical="center"/>
      <protection/>
    </xf>
    <xf numFmtId="4" fontId="13" fillId="38" borderId="11" xfId="44" applyNumberFormat="1" applyFont="1" applyFill="1" applyBorder="1" applyAlignment="1" applyProtection="1">
      <alignment vertical="center"/>
      <protection locked="0"/>
    </xf>
    <xf numFmtId="3" fontId="13" fillId="38" borderId="11" xfId="44" applyNumberFormat="1" applyFont="1" applyFill="1" applyBorder="1" applyAlignment="1" applyProtection="1">
      <alignment horizontal="right" vertical="center"/>
      <protection locked="0"/>
    </xf>
    <xf numFmtId="4" fontId="13" fillId="38" borderId="11" xfId="44" applyNumberFormat="1" applyFont="1" applyFill="1" applyBorder="1" applyAlignment="1" applyProtection="1">
      <alignment horizontal="right" vertical="center"/>
      <protection locked="0"/>
    </xf>
    <xf numFmtId="4" fontId="13" fillId="38" borderId="11" xfId="59" applyNumberFormat="1" applyFont="1" applyFill="1" applyBorder="1" applyAlignment="1">
      <alignment horizontal="right" vertical="center"/>
      <protection/>
    </xf>
    <xf numFmtId="3" fontId="13" fillId="38" borderId="11" xfId="59" applyNumberFormat="1" applyFont="1" applyFill="1" applyBorder="1" applyAlignment="1">
      <alignment horizontal="right" vertical="center"/>
      <protection/>
    </xf>
    <xf numFmtId="3" fontId="13" fillId="38" borderId="11" xfId="40" applyNumberFormat="1" applyFont="1" applyFill="1" applyBorder="1" applyAlignment="1" applyProtection="1">
      <alignment vertical="center"/>
      <protection/>
    </xf>
    <xf numFmtId="4" fontId="13" fillId="38" borderId="11" xfId="40" applyNumberFormat="1" applyFont="1" applyFill="1" applyBorder="1" applyAlignment="1" applyProtection="1">
      <alignment horizontal="right" vertical="center"/>
      <protection locked="0"/>
    </xf>
    <xf numFmtId="3" fontId="13" fillId="38" borderId="11" xfId="40" applyNumberFormat="1" applyFont="1" applyFill="1" applyBorder="1" applyAlignment="1" applyProtection="1">
      <alignment horizontal="right" vertical="center"/>
      <protection locked="0"/>
    </xf>
    <xf numFmtId="4" fontId="13" fillId="38" borderId="11" xfId="40" applyNumberFormat="1" applyFont="1" applyFill="1" applyBorder="1" applyAlignment="1" applyProtection="1">
      <alignment vertical="center"/>
      <protection locked="0"/>
    </xf>
    <xf numFmtId="3" fontId="13" fillId="38" borderId="11" xfId="40" applyNumberFormat="1" applyFont="1" applyFill="1" applyBorder="1" applyAlignment="1" applyProtection="1">
      <alignment vertical="center"/>
      <protection locked="0"/>
    </xf>
    <xf numFmtId="3" fontId="13" fillId="38" borderId="11" xfId="0" applyNumberFormat="1" applyFont="1" applyFill="1" applyBorder="1" applyAlignment="1">
      <alignment vertical="center"/>
    </xf>
    <xf numFmtId="4" fontId="30" fillId="38" borderId="11" xfId="43" applyNumberFormat="1" applyFont="1" applyFill="1" applyBorder="1" applyAlignment="1" applyProtection="1">
      <alignment horizontal="right" vertical="center"/>
      <protection/>
    </xf>
    <xf numFmtId="3" fontId="30" fillId="38" borderId="11" xfId="43" applyNumberFormat="1" applyFont="1" applyFill="1" applyBorder="1" applyAlignment="1" applyProtection="1">
      <alignment horizontal="right" vertical="center"/>
      <protection/>
    </xf>
    <xf numFmtId="3" fontId="13" fillId="38" borderId="11" xfId="44" applyNumberFormat="1" applyFont="1" applyFill="1" applyBorder="1" applyAlignment="1" applyProtection="1">
      <alignment vertical="center"/>
      <protection locked="0"/>
    </xf>
    <xf numFmtId="4" fontId="13" fillId="38" borderId="11" xfId="61" applyNumberFormat="1" applyFont="1" applyFill="1" applyBorder="1" applyAlignment="1">
      <alignment horizontal="right" vertical="center"/>
      <protection/>
    </xf>
    <xf numFmtId="3" fontId="13" fillId="38" borderId="11" xfId="61" applyNumberFormat="1" applyFont="1" applyFill="1" applyBorder="1" applyAlignment="1">
      <alignment horizontal="right" vertical="center"/>
      <protection/>
    </xf>
    <xf numFmtId="4" fontId="30" fillId="38" borderId="11" xfId="0" applyNumberFormat="1" applyFont="1" applyFill="1" applyBorder="1" applyAlignment="1" applyProtection="1">
      <alignment horizontal="right" vertical="center"/>
      <protection/>
    </xf>
    <xf numFmtId="3" fontId="30" fillId="38" borderId="11" xfId="0" applyNumberFormat="1" applyFont="1" applyFill="1" applyBorder="1" applyAlignment="1" applyProtection="1">
      <alignment horizontal="right" vertical="center"/>
      <protection/>
    </xf>
    <xf numFmtId="4" fontId="13" fillId="38" borderId="12" xfId="40" applyNumberFormat="1" applyFont="1" applyFill="1" applyBorder="1" applyAlignment="1" applyProtection="1">
      <alignment horizontal="right" vertical="center"/>
      <protection locked="0"/>
    </xf>
    <xf numFmtId="3" fontId="13" fillId="38" borderId="12" xfId="40" applyNumberFormat="1" applyFont="1" applyFill="1" applyBorder="1" applyAlignment="1" applyProtection="1">
      <alignment horizontal="right" vertical="center"/>
      <protection locked="0"/>
    </xf>
    <xf numFmtId="0" fontId="73" fillId="0" borderId="20" xfId="57" applyFont="1" applyFill="1" applyBorder="1" applyAlignment="1" applyProtection="1">
      <alignment horizontal="left" vertical="center"/>
      <protection/>
    </xf>
    <xf numFmtId="0" fontId="73" fillId="0" borderId="24" xfId="57" applyFont="1" applyFill="1" applyBorder="1" applyAlignment="1" applyProtection="1">
      <alignment horizontal="left" vertical="center"/>
      <protection/>
    </xf>
    <xf numFmtId="0" fontId="73" fillId="0" borderId="24" xfId="0" applyFont="1" applyFill="1" applyBorder="1" applyAlignment="1" applyProtection="1">
      <alignment horizontal="left" vertical="center"/>
      <protection/>
    </xf>
    <xf numFmtId="0" fontId="73" fillId="0" borderId="24" xfId="57" applyFont="1" applyFill="1" applyBorder="1" applyAlignment="1" applyProtection="1">
      <alignment horizontal="left" vertical="center"/>
      <protection/>
    </xf>
    <xf numFmtId="204" fontId="73" fillId="0" borderId="24" xfId="0" applyNumberFormat="1" applyFont="1" applyFill="1" applyBorder="1" applyAlignment="1" applyProtection="1">
      <alignment horizontal="left" vertical="center"/>
      <protection/>
    </xf>
    <xf numFmtId="0" fontId="73" fillId="0" borderId="24" xfId="0" applyFont="1" applyFill="1" applyBorder="1" applyAlignment="1" applyProtection="1">
      <alignment horizontal="left" vertical="center"/>
      <protection/>
    </xf>
    <xf numFmtId="190" fontId="73" fillId="0" borderId="12" xfId="0" applyNumberFormat="1" applyFont="1" applyFill="1" applyBorder="1" applyAlignment="1" applyProtection="1">
      <alignment horizontal="center" vertical="center"/>
      <protection/>
    </xf>
    <xf numFmtId="0" fontId="73" fillId="0" borderId="12" xfId="0" applyFont="1" applyFill="1" applyBorder="1" applyAlignment="1" applyProtection="1">
      <alignment horizontal="left" vertical="center"/>
      <protection/>
    </xf>
    <xf numFmtId="3" fontId="13" fillId="0" borderId="12" xfId="74" applyNumberFormat="1" applyFont="1" applyFill="1" applyBorder="1" applyAlignment="1" applyProtection="1">
      <alignment vertical="center"/>
      <protection/>
    </xf>
    <xf numFmtId="4" fontId="13" fillId="0" borderId="12" xfId="74" applyNumberFormat="1" applyFont="1" applyFill="1" applyBorder="1" applyAlignment="1" applyProtection="1">
      <alignment vertical="center"/>
      <protection/>
    </xf>
    <xf numFmtId="192" fontId="13" fillId="0" borderId="12" xfId="74" applyNumberFormat="1" applyFont="1" applyFill="1" applyBorder="1" applyAlignment="1" applyProtection="1">
      <alignment vertical="center"/>
      <protection/>
    </xf>
    <xf numFmtId="204" fontId="74" fillId="0" borderId="24" xfId="0" applyNumberFormat="1" applyFont="1" applyFill="1" applyBorder="1" applyAlignment="1" applyProtection="1">
      <alignment horizontal="left" vertical="center"/>
      <protection/>
    </xf>
    <xf numFmtId="4" fontId="30" fillId="0" borderId="11" xfId="0" applyNumberFormat="1" applyFont="1" applyFill="1" applyBorder="1" applyAlignment="1">
      <alignment vertical="center"/>
    </xf>
    <xf numFmtId="3" fontId="30" fillId="0" borderId="11" xfId="0" applyNumberFormat="1" applyFont="1" applyFill="1" applyBorder="1" applyAlignment="1">
      <alignment vertical="center"/>
    </xf>
    <xf numFmtId="4" fontId="30" fillId="0" borderId="11" xfId="42" applyNumberFormat="1" applyFont="1" applyFill="1" applyBorder="1" applyAlignment="1" applyProtection="1">
      <alignment vertical="center"/>
      <protection locked="0"/>
    </xf>
    <xf numFmtId="3" fontId="30" fillId="0" borderId="11" xfId="42" applyNumberFormat="1" applyFont="1" applyFill="1" applyBorder="1" applyAlignment="1" applyProtection="1">
      <alignment vertical="center"/>
      <protection locked="0"/>
    </xf>
    <xf numFmtId="4" fontId="30" fillId="0" borderId="11" xfId="43" applyNumberFormat="1" applyFont="1" applyFill="1" applyBorder="1" applyAlignment="1" applyProtection="1">
      <alignment vertical="center"/>
      <protection locked="0"/>
    </xf>
    <xf numFmtId="3" fontId="30" fillId="0" borderId="11" xfId="43" applyNumberFormat="1" applyFont="1" applyFill="1" applyBorder="1" applyAlignment="1" applyProtection="1">
      <alignment vertical="center"/>
      <protection locked="0"/>
    </xf>
    <xf numFmtId="4" fontId="30" fillId="0" borderId="11" xfId="0" applyNumberFormat="1" applyFont="1" applyFill="1" applyBorder="1" applyAlignment="1">
      <alignment vertical="center"/>
    </xf>
    <xf numFmtId="4" fontId="30" fillId="0" borderId="11" xfId="0" applyNumberFormat="1" applyFont="1" applyFill="1" applyBorder="1" applyAlignment="1" applyProtection="1">
      <alignment vertical="center"/>
      <protection/>
    </xf>
    <xf numFmtId="3" fontId="30" fillId="0" borderId="11" xfId="0" applyNumberFormat="1" applyFont="1" applyFill="1" applyBorder="1" applyAlignment="1" applyProtection="1">
      <alignment vertical="center"/>
      <protection/>
    </xf>
    <xf numFmtId="2" fontId="13" fillId="0" borderId="26" xfId="0" applyNumberFormat="1" applyFont="1" applyFill="1" applyBorder="1" applyAlignment="1">
      <alignment horizontal="right" vertical="center"/>
    </xf>
    <xf numFmtId="4" fontId="41" fillId="33" borderId="39" xfId="0" applyNumberFormat="1" applyFont="1" applyFill="1" applyBorder="1" applyAlignment="1" applyProtection="1">
      <alignment horizontal="center" vertical="center"/>
      <protection/>
    </xf>
    <xf numFmtId="3" fontId="36" fillId="0" borderId="40" xfId="0" applyNumberFormat="1" applyFont="1" applyFill="1" applyBorder="1" applyAlignment="1" applyProtection="1">
      <alignment horizontal="center" vertical="center" wrapText="1"/>
      <protection/>
    </xf>
    <xf numFmtId="3" fontId="41" fillId="33" borderId="40" xfId="0" applyNumberFormat="1" applyFont="1" applyFill="1" applyBorder="1" applyAlignment="1" applyProtection="1">
      <alignment horizontal="center" vertical="center" wrapText="1"/>
      <protection/>
    </xf>
    <xf numFmtId="0" fontId="47" fillId="33" borderId="41" xfId="0" applyFont="1" applyFill="1" applyBorder="1" applyAlignment="1" applyProtection="1">
      <alignment horizontal="center" vertical="center" wrapText="1"/>
      <protection/>
    </xf>
    <xf numFmtId="0" fontId="47" fillId="33" borderId="18" xfId="0" applyFont="1" applyFill="1" applyBorder="1" applyAlignment="1" applyProtection="1">
      <alignment horizontal="center" vertical="center" wrapText="1"/>
      <protection/>
    </xf>
    <xf numFmtId="0" fontId="22" fillId="34" borderId="42" xfId="0" applyFont="1" applyFill="1" applyBorder="1" applyAlignment="1" applyProtection="1">
      <alignment vertical="center"/>
      <protection/>
    </xf>
    <xf numFmtId="0" fontId="73" fillId="0" borderId="13" xfId="0" applyNumberFormat="1" applyFont="1" applyFill="1" applyBorder="1" applyAlignment="1" applyProtection="1">
      <alignment horizontal="right" vertical="center"/>
      <protection/>
    </xf>
    <xf numFmtId="0" fontId="76" fillId="0" borderId="13" xfId="0" applyNumberFormat="1" applyFont="1" applyFill="1" applyBorder="1" applyAlignment="1">
      <alignment horizontal="right" vertical="center"/>
    </xf>
    <xf numFmtId="4" fontId="77" fillId="33" borderId="13" xfId="40" applyNumberFormat="1" applyFont="1" applyFill="1" applyBorder="1" applyAlignment="1">
      <alignment horizontal="right" vertical="center"/>
    </xf>
    <xf numFmtId="3" fontId="77" fillId="33" borderId="13" xfId="40" applyNumberFormat="1" applyFont="1" applyFill="1" applyBorder="1" applyAlignment="1">
      <alignment horizontal="right" vertical="center"/>
    </xf>
    <xf numFmtId="4" fontId="78" fillId="39" borderId="13" xfId="40" applyNumberFormat="1" applyFont="1" applyFill="1" applyBorder="1" applyAlignment="1" applyProtection="1">
      <alignment horizontal="right" vertical="center"/>
      <protection/>
    </xf>
    <xf numFmtId="3" fontId="78" fillId="39" borderId="13" xfId="40" applyNumberFormat="1" applyFont="1" applyFill="1" applyBorder="1" applyAlignment="1" applyProtection="1">
      <alignment horizontal="right" vertical="center"/>
      <protection/>
    </xf>
    <xf numFmtId="3" fontId="77" fillId="0" borderId="13" xfId="74" applyNumberFormat="1" applyFont="1" applyFill="1" applyBorder="1" applyAlignment="1" applyProtection="1">
      <alignment horizontal="right" vertical="center"/>
      <protection/>
    </xf>
    <xf numFmtId="4" fontId="77" fillId="0" borderId="13" xfId="74" applyNumberFormat="1" applyFont="1" applyFill="1" applyBorder="1" applyAlignment="1" applyProtection="1">
      <alignment horizontal="right" vertical="center"/>
      <protection/>
    </xf>
    <xf numFmtId="4" fontId="77" fillId="0" borderId="13" xfId="40" applyNumberFormat="1" applyFont="1" applyFill="1" applyBorder="1" applyAlignment="1" applyProtection="1">
      <alignment horizontal="right" vertical="center"/>
      <protection/>
    </xf>
    <xf numFmtId="192" fontId="77" fillId="0" borderId="13" xfId="74" applyNumberFormat="1" applyFont="1" applyFill="1" applyBorder="1" applyAlignment="1" applyProtection="1">
      <alignment horizontal="right" vertical="center"/>
      <protection/>
    </xf>
    <xf numFmtId="4" fontId="13" fillId="0" borderId="13" xfId="0" applyNumberFormat="1" applyFont="1" applyFill="1" applyBorder="1" applyAlignment="1">
      <alignment horizontal="right"/>
    </xf>
    <xf numFmtId="3" fontId="13" fillId="0" borderId="13" xfId="0" applyNumberFormat="1" applyFont="1" applyFill="1" applyBorder="1" applyAlignment="1">
      <alignment horizontal="right"/>
    </xf>
    <xf numFmtId="4" fontId="13" fillId="0" borderId="33" xfId="74" applyNumberFormat="1" applyFont="1" applyFill="1" applyBorder="1" applyAlignment="1" applyProtection="1">
      <alignment horizontal="right" vertical="center"/>
      <protection/>
    </xf>
    <xf numFmtId="0" fontId="79" fillId="35" borderId="24" xfId="0" applyFont="1" applyFill="1" applyBorder="1" applyAlignment="1" applyProtection="1">
      <alignment horizontal="center" vertical="center"/>
      <protection/>
    </xf>
    <xf numFmtId="0" fontId="75" fillId="33" borderId="11" xfId="0" applyFont="1" applyFill="1" applyBorder="1" applyAlignment="1" applyProtection="1">
      <alignment horizontal="left" vertical="center"/>
      <protection/>
    </xf>
    <xf numFmtId="190" fontId="73" fillId="37" borderId="11" xfId="0" applyNumberFormat="1" applyFont="1" applyFill="1" applyBorder="1" applyAlignment="1">
      <alignment horizontal="center" vertical="center" shrinkToFit="1"/>
    </xf>
    <xf numFmtId="4" fontId="77" fillId="0" borderId="11" xfId="40" applyNumberFormat="1" applyFont="1" applyFill="1" applyBorder="1" applyAlignment="1" applyProtection="1">
      <alignment horizontal="right" vertical="center"/>
      <protection locked="0"/>
    </xf>
    <xf numFmtId="3" fontId="77" fillId="0" borderId="11" xfId="40" applyNumberFormat="1" applyFont="1" applyFill="1" applyBorder="1" applyAlignment="1" applyProtection="1">
      <alignment horizontal="right" vertical="center"/>
      <protection locked="0"/>
    </xf>
    <xf numFmtId="4" fontId="78" fillId="39" borderId="11" xfId="40" applyNumberFormat="1" applyFont="1" applyFill="1" applyBorder="1" applyAlignment="1" applyProtection="1">
      <alignment horizontal="right" vertical="center"/>
      <protection/>
    </xf>
    <xf numFmtId="3" fontId="78" fillId="39" borderId="11" xfId="40" applyNumberFormat="1" applyFont="1" applyFill="1" applyBorder="1" applyAlignment="1" applyProtection="1">
      <alignment horizontal="right" vertical="center"/>
      <protection/>
    </xf>
    <xf numFmtId="3" fontId="77" fillId="0" borderId="11" xfId="74" applyNumberFormat="1" applyFont="1" applyFill="1" applyBorder="1" applyAlignment="1" applyProtection="1">
      <alignment horizontal="right" vertical="center"/>
      <protection/>
    </xf>
    <xf numFmtId="4" fontId="77" fillId="0" borderId="11" xfId="74" applyNumberFormat="1" applyFont="1" applyFill="1" applyBorder="1" applyAlignment="1" applyProtection="1">
      <alignment horizontal="right" vertical="center"/>
      <protection/>
    </xf>
    <xf numFmtId="4" fontId="77" fillId="0" borderId="11" xfId="40" applyNumberFormat="1" applyFont="1" applyFill="1" applyBorder="1" applyAlignment="1" applyProtection="1">
      <alignment horizontal="right" vertical="center"/>
      <protection/>
    </xf>
    <xf numFmtId="192" fontId="77" fillId="0" borderId="11" xfId="74" applyNumberFormat="1" applyFont="1" applyFill="1" applyBorder="1" applyAlignment="1" applyProtection="1">
      <alignment horizontal="right" vertical="center"/>
      <protection/>
    </xf>
    <xf numFmtId="204" fontId="73" fillId="37" borderId="11" xfId="0" applyNumberFormat="1" applyFont="1" applyFill="1" applyBorder="1" applyAlignment="1">
      <alignment horizontal="left" vertical="center" shrinkToFit="1"/>
    </xf>
    <xf numFmtId="0" fontId="73" fillId="37" borderId="11" xfId="0" applyNumberFormat="1" applyFont="1" applyFill="1" applyBorder="1" applyAlignment="1">
      <alignment horizontal="right" vertical="center"/>
    </xf>
    <xf numFmtId="0" fontId="73" fillId="0" borderId="11" xfId="0" applyNumberFormat="1" applyFont="1" applyFill="1" applyBorder="1" applyAlignment="1">
      <alignment horizontal="right" vertical="center"/>
    </xf>
    <xf numFmtId="0" fontId="13" fillId="37" borderId="11" xfId="0" applyNumberFormat="1" applyFont="1" applyFill="1" applyBorder="1" applyAlignment="1">
      <alignment horizontal="right" vertical="center"/>
    </xf>
    <xf numFmtId="4" fontId="77" fillId="37" borderId="11" xfId="43" applyNumberFormat="1" applyFont="1" applyFill="1" applyBorder="1" applyAlignment="1">
      <alignment horizontal="right" vertical="center"/>
    </xf>
    <xf numFmtId="3" fontId="77" fillId="37" borderId="11" xfId="43" applyNumberFormat="1" applyFont="1" applyFill="1" applyBorder="1" applyAlignment="1">
      <alignment horizontal="right" vertical="center"/>
    </xf>
    <xf numFmtId="4" fontId="77" fillId="0" borderId="11" xfId="0" applyNumberFormat="1" applyFont="1" applyFill="1" applyBorder="1" applyAlignment="1">
      <alignment horizontal="right" vertical="center"/>
    </xf>
    <xf numFmtId="0" fontId="75" fillId="33" borderId="24" xfId="0" applyNumberFormat="1" applyFont="1" applyFill="1" applyBorder="1" applyAlignment="1" applyProtection="1">
      <alignment horizontal="right" vertical="center"/>
      <protection/>
    </xf>
    <xf numFmtId="0" fontId="76" fillId="0" borderId="11" xfId="0" applyNumberFormat="1" applyFont="1" applyFill="1" applyBorder="1" applyAlignment="1">
      <alignment horizontal="right" vertical="center"/>
    </xf>
    <xf numFmtId="4" fontId="77" fillId="33" borderId="11" xfId="40" applyNumberFormat="1" applyFont="1" applyFill="1" applyBorder="1" applyAlignment="1">
      <alignment horizontal="right" vertical="center"/>
    </xf>
    <xf numFmtId="3" fontId="77" fillId="33" borderId="11" xfId="40" applyNumberFormat="1" applyFont="1" applyFill="1" applyBorder="1" applyAlignment="1">
      <alignment horizontal="right" vertical="center"/>
    </xf>
    <xf numFmtId="204" fontId="75" fillId="33" borderId="24" xfId="0" applyNumberFormat="1" applyFont="1" applyFill="1" applyBorder="1" applyAlignment="1" applyProtection="1">
      <alignment horizontal="right" vertical="center"/>
      <protection/>
    </xf>
    <xf numFmtId="0" fontId="75" fillId="33" borderId="24" xfId="0" applyFont="1" applyFill="1" applyBorder="1" applyAlignment="1" applyProtection="1">
      <alignment horizontal="right" vertical="center"/>
      <protection/>
    </xf>
    <xf numFmtId="4" fontId="13" fillId="0" borderId="26" xfId="0" applyNumberFormat="1" applyFont="1" applyFill="1" applyBorder="1" applyAlignment="1" applyProtection="1">
      <alignment horizontal="right" vertical="center"/>
      <protection/>
    </xf>
    <xf numFmtId="0" fontId="30" fillId="33" borderId="24" xfId="0" applyFont="1" applyFill="1" applyBorder="1" applyAlignment="1" applyProtection="1">
      <alignment horizontal="left" vertical="center"/>
      <protection/>
    </xf>
    <xf numFmtId="0" fontId="79" fillId="36" borderId="11" xfId="0" applyFont="1" applyFill="1" applyBorder="1" applyAlignment="1" applyProtection="1">
      <alignment horizontal="center" vertical="center"/>
      <protection/>
    </xf>
    <xf numFmtId="190" fontId="80" fillId="0" borderId="11" xfId="0" applyNumberFormat="1" applyFont="1" applyFill="1" applyBorder="1" applyAlignment="1">
      <alignment horizontal="center"/>
    </xf>
    <xf numFmtId="0" fontId="75" fillId="0" borderId="11" xfId="0" applyFont="1" applyFill="1" applyBorder="1" applyAlignment="1" applyProtection="1">
      <alignment horizontal="left" vertical="center"/>
      <protection/>
    </xf>
    <xf numFmtId="0" fontId="81" fillId="33" borderId="11" xfId="0" applyNumberFormat="1" applyFont="1" applyFill="1" applyBorder="1" applyAlignment="1">
      <alignment horizontal="right" vertical="center"/>
    </xf>
    <xf numFmtId="4" fontId="78" fillId="39" borderId="11" xfId="40" applyNumberFormat="1" applyFont="1" applyFill="1" applyBorder="1" applyAlignment="1">
      <alignment horizontal="right" vertical="center"/>
    </xf>
    <xf numFmtId="3" fontId="78" fillId="39" borderId="11" xfId="40" applyNumberFormat="1" applyFont="1" applyFill="1" applyBorder="1" applyAlignment="1">
      <alignment horizontal="right" vertical="center"/>
    </xf>
    <xf numFmtId="4" fontId="77" fillId="0" borderId="11" xfId="40" applyNumberFormat="1" applyFont="1" applyFill="1" applyBorder="1" applyAlignment="1">
      <alignment horizontal="right" vertical="center"/>
    </xf>
    <xf numFmtId="0" fontId="80" fillId="0" borderId="11" xfId="0" applyFont="1" applyFill="1" applyBorder="1" applyAlignment="1">
      <alignment/>
    </xf>
    <xf numFmtId="0" fontId="80" fillId="0" borderId="11" xfId="0" applyNumberFormat="1" applyFont="1" applyFill="1" applyBorder="1" applyAlignment="1">
      <alignment horizontal="right" vertical="center"/>
    </xf>
    <xf numFmtId="0" fontId="76" fillId="0" borderId="11" xfId="0" applyNumberFormat="1" applyFont="1" applyFill="1" applyBorder="1" applyAlignment="1">
      <alignment horizontal="right" vertical="center"/>
    </xf>
    <xf numFmtId="4" fontId="77" fillId="0" borderId="11" xfId="0" applyNumberFormat="1" applyFont="1" applyFill="1" applyBorder="1" applyAlignment="1">
      <alignment horizontal="right" vertical="center"/>
    </xf>
    <xf numFmtId="3" fontId="77" fillId="0" borderId="11" xfId="0" applyNumberFormat="1" applyFont="1" applyFill="1" applyBorder="1" applyAlignment="1">
      <alignment horizontal="right" vertical="center"/>
    </xf>
    <xf numFmtId="4" fontId="78" fillId="39" borderId="11" xfId="0" applyNumberFormat="1" applyFont="1" applyFill="1" applyBorder="1" applyAlignment="1">
      <alignment horizontal="right" vertical="center"/>
    </xf>
    <xf numFmtId="3" fontId="78" fillId="39" borderId="11" xfId="0" applyNumberFormat="1" applyFont="1" applyFill="1" applyBorder="1" applyAlignment="1">
      <alignment horizontal="right" vertical="center"/>
    </xf>
    <xf numFmtId="0" fontId="13" fillId="0" borderId="11" xfId="0" applyNumberFormat="1" applyFont="1" applyBorder="1" applyAlignment="1" applyProtection="1">
      <alignment horizontal="right" vertical="center"/>
      <protection locked="0"/>
    </xf>
    <xf numFmtId="4" fontId="77" fillId="0" borderId="11" xfId="40" applyNumberFormat="1" applyFont="1" applyBorder="1" applyAlignment="1" applyProtection="1">
      <alignment horizontal="right" vertical="center"/>
      <protection locked="0"/>
    </xf>
    <xf numFmtId="3" fontId="77" fillId="0" borderId="11" xfId="40" applyNumberFormat="1" applyFont="1" applyBorder="1" applyAlignment="1" applyProtection="1">
      <alignment horizontal="right" vertical="center"/>
      <protection locked="0"/>
    </xf>
    <xf numFmtId="3" fontId="77" fillId="0" borderId="11" xfId="75" applyNumberFormat="1" applyFont="1" applyFill="1" applyBorder="1" applyAlignment="1" applyProtection="1">
      <alignment horizontal="right" vertical="center"/>
      <protection/>
    </xf>
    <xf numFmtId="3" fontId="77" fillId="0" borderId="11" xfId="40" applyNumberFormat="1" applyFont="1" applyFill="1" applyBorder="1" applyAlignment="1">
      <alignment horizontal="right" vertical="center"/>
    </xf>
    <xf numFmtId="0" fontId="75" fillId="0" borderId="24" xfId="0" applyFont="1" applyFill="1" applyBorder="1" applyAlignment="1" applyProtection="1">
      <alignment horizontal="right" vertical="center"/>
      <protection/>
    </xf>
    <xf numFmtId="0" fontId="73" fillId="0" borderId="11" xfId="0" applyNumberFormat="1" applyFont="1" applyFill="1" applyBorder="1" applyAlignment="1" applyProtection="1">
      <alignment horizontal="right" vertical="center"/>
      <protection/>
    </xf>
    <xf numFmtId="0" fontId="75" fillId="33" borderId="24" xfId="57" applyFont="1" applyFill="1" applyBorder="1" applyAlignment="1" applyProtection="1">
      <alignment horizontal="right" vertical="center"/>
      <protection/>
    </xf>
    <xf numFmtId="3" fontId="77" fillId="0" borderId="11" xfId="0" applyNumberFormat="1" applyFont="1" applyFill="1" applyBorder="1" applyAlignment="1">
      <alignment horizontal="right" vertical="center"/>
    </xf>
    <xf numFmtId="4" fontId="78" fillId="39" borderId="11" xfId="0" applyNumberFormat="1" applyFont="1" applyFill="1" applyBorder="1" applyAlignment="1">
      <alignment horizontal="right" vertical="center"/>
    </xf>
    <xf numFmtId="3" fontId="78" fillId="39" borderId="11" xfId="0" applyNumberFormat="1" applyFont="1" applyFill="1" applyBorder="1" applyAlignment="1">
      <alignment horizontal="right" vertical="center"/>
    </xf>
    <xf numFmtId="0" fontId="75" fillId="33" borderId="24" xfId="0" applyFont="1" applyFill="1" applyBorder="1" applyAlignment="1" applyProtection="1">
      <alignment horizontal="left" vertical="center"/>
      <protection/>
    </xf>
    <xf numFmtId="4" fontId="77" fillId="0" borderId="11" xfId="0" applyNumberFormat="1" applyFont="1" applyFill="1" applyBorder="1" applyAlignment="1" applyProtection="1">
      <alignment horizontal="right" vertical="center"/>
      <protection/>
    </xf>
    <xf numFmtId="3" fontId="77" fillId="0" borderId="11" xfId="0" applyNumberFormat="1" applyFont="1" applyFill="1" applyBorder="1" applyAlignment="1" applyProtection="1">
      <alignment horizontal="right" vertical="center"/>
      <protection/>
    </xf>
    <xf numFmtId="0" fontId="73" fillId="37" borderId="11" xfId="0" applyFont="1" applyFill="1" applyBorder="1" applyAlignment="1">
      <alignment horizontal="left" vertical="center" shrinkToFit="1"/>
    </xf>
    <xf numFmtId="0" fontId="73" fillId="37" borderId="11" xfId="0" applyFont="1" applyFill="1" applyBorder="1" applyAlignment="1">
      <alignment horizontal="right" vertical="center" shrinkToFit="1"/>
    </xf>
    <xf numFmtId="0" fontId="13" fillId="37" borderId="11" xfId="0" applyFont="1" applyFill="1" applyBorder="1" applyAlignment="1">
      <alignment horizontal="right" vertical="center" shrinkToFit="1"/>
    </xf>
    <xf numFmtId="0" fontId="79" fillId="0" borderId="11" xfId="0" applyFont="1" applyFill="1" applyBorder="1" applyAlignment="1" applyProtection="1">
      <alignment horizontal="center" vertical="center"/>
      <protection/>
    </xf>
    <xf numFmtId="194" fontId="80" fillId="0" borderId="11" xfId="0" applyNumberFormat="1" applyFont="1" applyFill="1" applyBorder="1" applyAlignment="1">
      <alignment horizontal="center"/>
    </xf>
    <xf numFmtId="0" fontId="80" fillId="0" borderId="11" xfId="0" applyFont="1" applyFill="1" applyBorder="1" applyAlignment="1">
      <alignment horizontal="left"/>
    </xf>
    <xf numFmtId="0" fontId="80" fillId="0" borderId="11" xfId="0" applyFont="1" applyFill="1" applyBorder="1" applyAlignment="1">
      <alignment horizontal="right"/>
    </xf>
    <xf numFmtId="190" fontId="73" fillId="0" borderId="11" xfId="0" applyNumberFormat="1" applyFont="1" applyBorder="1" applyAlignment="1" applyProtection="1">
      <alignment horizontal="center" vertical="center"/>
      <protection locked="0"/>
    </xf>
    <xf numFmtId="0" fontId="73" fillId="0" borderId="11" xfId="0" applyFont="1" applyBorder="1" applyAlignment="1" applyProtection="1">
      <alignment horizontal="left" vertical="center"/>
      <protection locked="0"/>
    </xf>
    <xf numFmtId="0" fontId="73" fillId="0" borderId="11" xfId="0" applyFont="1" applyBorder="1" applyAlignment="1" applyProtection="1">
      <alignment horizontal="right" vertical="center"/>
      <protection locked="0"/>
    </xf>
    <xf numFmtId="0" fontId="80" fillId="0" borderId="11" xfId="0" applyNumberFormat="1" applyFont="1" applyFill="1" applyBorder="1" applyAlignment="1">
      <alignment horizontal="right" vertical="center"/>
    </xf>
    <xf numFmtId="0" fontId="76" fillId="0" borderId="11" xfId="0" applyNumberFormat="1" applyFont="1" applyFill="1" applyBorder="1" applyAlignment="1">
      <alignment horizontal="right" vertical="center"/>
    </xf>
    <xf numFmtId="0" fontId="13" fillId="33" borderId="11" xfId="0" applyNumberFormat="1" applyFont="1" applyFill="1" applyBorder="1" applyAlignment="1">
      <alignment horizontal="right" vertical="center"/>
    </xf>
    <xf numFmtId="0" fontId="73" fillId="33" borderId="11" xfId="0" applyFont="1" applyFill="1" applyBorder="1" applyAlignment="1">
      <alignment horizontal="left"/>
    </xf>
    <xf numFmtId="0" fontId="73" fillId="33" borderId="11" xfId="0" applyFont="1" applyFill="1" applyBorder="1" applyAlignment="1">
      <alignment horizontal="right"/>
    </xf>
    <xf numFmtId="0" fontId="75" fillId="33" borderId="29" xfId="57" applyFont="1" applyFill="1" applyBorder="1" applyAlignment="1" applyProtection="1">
      <alignment horizontal="right" vertical="center"/>
      <protection/>
    </xf>
    <xf numFmtId="190" fontId="73" fillId="37" borderId="12" xfId="0" applyNumberFormat="1" applyFont="1" applyFill="1" applyBorder="1" applyAlignment="1">
      <alignment horizontal="center" vertical="center" shrinkToFit="1"/>
    </xf>
    <xf numFmtId="0" fontId="73" fillId="37" borderId="12" xfId="0" applyFont="1" applyFill="1" applyBorder="1" applyAlignment="1">
      <alignment horizontal="left" vertical="center" shrinkToFit="1"/>
    </xf>
    <xf numFmtId="0" fontId="73" fillId="37" borderId="12" xfId="0" applyFont="1" applyFill="1" applyBorder="1" applyAlignment="1">
      <alignment horizontal="right" vertical="center" shrinkToFit="1"/>
    </xf>
    <xf numFmtId="0" fontId="73" fillId="0" borderId="12" xfId="0" applyFont="1" applyFill="1" applyBorder="1" applyAlignment="1">
      <alignment horizontal="right" vertical="center" shrinkToFit="1"/>
    </xf>
    <xf numFmtId="0" fontId="13" fillId="37" borderId="12" xfId="0" applyFont="1" applyFill="1" applyBorder="1" applyAlignment="1">
      <alignment horizontal="right" vertical="center" shrinkToFit="1"/>
    </xf>
    <xf numFmtId="4" fontId="77" fillId="37" borderId="12" xfId="43" applyNumberFormat="1" applyFont="1" applyFill="1" applyBorder="1" applyAlignment="1">
      <alignment horizontal="right" vertical="center"/>
    </xf>
    <xf numFmtId="3" fontId="77" fillId="37" borderId="12" xfId="43" applyNumberFormat="1" applyFont="1" applyFill="1" applyBorder="1" applyAlignment="1">
      <alignment horizontal="right" vertical="center"/>
    </xf>
    <xf numFmtId="4" fontId="78" fillId="39" borderId="12" xfId="40" applyNumberFormat="1" applyFont="1" applyFill="1" applyBorder="1" applyAlignment="1" applyProtection="1">
      <alignment horizontal="right" vertical="center"/>
      <protection/>
    </xf>
    <xf numFmtId="3" fontId="78" fillId="39" borderId="12" xfId="40" applyNumberFormat="1" applyFont="1" applyFill="1" applyBorder="1" applyAlignment="1" applyProtection="1">
      <alignment horizontal="right" vertical="center"/>
      <protection/>
    </xf>
    <xf numFmtId="3" fontId="77" fillId="0" borderId="12" xfId="74" applyNumberFormat="1" applyFont="1" applyFill="1" applyBorder="1" applyAlignment="1" applyProtection="1">
      <alignment horizontal="right" vertical="center"/>
      <protection/>
    </xf>
    <xf numFmtId="4" fontId="77" fillId="0" borderId="12" xfId="74" applyNumberFormat="1" applyFont="1" applyFill="1" applyBorder="1" applyAlignment="1" applyProtection="1">
      <alignment horizontal="right" vertical="center"/>
      <protection/>
    </xf>
    <xf numFmtId="4" fontId="77" fillId="0" borderId="12" xfId="40" applyNumberFormat="1" applyFont="1" applyFill="1" applyBorder="1" applyAlignment="1" applyProtection="1">
      <alignment horizontal="right" vertical="center"/>
      <protection/>
    </xf>
    <xf numFmtId="192" fontId="77" fillId="0" borderId="12" xfId="74" applyNumberFormat="1" applyFont="1" applyFill="1" applyBorder="1" applyAlignment="1" applyProtection="1">
      <alignment horizontal="right" vertical="center"/>
      <protection/>
    </xf>
    <xf numFmtId="4" fontId="13" fillId="0" borderId="12" xfId="43" applyNumberFormat="1" applyFont="1" applyFill="1" applyBorder="1" applyAlignment="1" applyProtection="1">
      <alignment horizontal="right" vertical="center"/>
      <protection locked="0"/>
    </xf>
    <xf numFmtId="3" fontId="13" fillId="0" borderId="12" xfId="43" applyNumberFormat="1" applyFont="1" applyFill="1" applyBorder="1" applyAlignment="1" applyProtection="1">
      <alignment horizontal="right" vertical="center"/>
      <protection locked="0"/>
    </xf>
    <xf numFmtId="4" fontId="13" fillId="0" borderId="31" xfId="74" applyNumberFormat="1" applyFont="1" applyFill="1" applyBorder="1" applyAlignment="1" applyProtection="1">
      <alignment horizontal="right" vertical="center"/>
      <protection/>
    </xf>
    <xf numFmtId="0" fontId="73" fillId="0" borderId="11" xfId="0" applyFont="1" applyFill="1" applyBorder="1" applyAlignment="1" applyProtection="1">
      <alignment vertical="center" shrinkToFit="1"/>
      <protection locked="0"/>
    </xf>
    <xf numFmtId="204" fontId="73" fillId="37" borderId="12" xfId="0" applyNumberFormat="1" applyFont="1" applyFill="1" applyBorder="1" applyAlignment="1">
      <alignment horizontal="left" vertical="center" shrinkToFit="1"/>
    </xf>
    <xf numFmtId="0" fontId="22" fillId="34" borderId="25" xfId="0" applyFont="1" applyFill="1" applyBorder="1" applyAlignment="1" applyProtection="1">
      <alignment vertical="center"/>
      <protection/>
    </xf>
    <xf numFmtId="0" fontId="22" fillId="34" borderId="43" xfId="0" applyFont="1" applyFill="1" applyBorder="1" applyAlignment="1" applyProtection="1">
      <alignment vertical="center"/>
      <protection/>
    </xf>
    <xf numFmtId="0" fontId="30" fillId="33" borderId="44" xfId="0" applyFont="1" applyFill="1" applyBorder="1" applyAlignment="1" applyProtection="1">
      <alignment horizontal="left" vertical="center"/>
      <protection/>
    </xf>
    <xf numFmtId="0" fontId="75" fillId="33" borderId="45" xfId="0" applyFont="1" applyFill="1" applyBorder="1" applyAlignment="1" applyProtection="1">
      <alignment horizontal="left" vertical="center"/>
      <protection/>
    </xf>
    <xf numFmtId="0" fontId="73" fillId="0" borderId="45" xfId="57" applyFont="1" applyFill="1" applyBorder="1" applyAlignment="1" applyProtection="1">
      <alignment horizontal="left" vertical="center"/>
      <protection/>
    </xf>
    <xf numFmtId="190" fontId="73" fillId="0" borderId="45" xfId="0" applyNumberFormat="1" applyFont="1" applyFill="1" applyBorder="1" applyAlignment="1" applyProtection="1">
      <alignment horizontal="center" vertical="center"/>
      <protection/>
    </xf>
    <xf numFmtId="0" fontId="73" fillId="0" borderId="45" xfId="0" applyFont="1" applyFill="1" applyBorder="1" applyAlignment="1" applyProtection="1">
      <alignment horizontal="left" vertical="center"/>
      <protection/>
    </xf>
    <xf numFmtId="0" fontId="73" fillId="0" borderId="45" xfId="0" applyNumberFormat="1" applyFont="1" applyFill="1" applyBorder="1" applyAlignment="1" applyProtection="1">
      <alignment horizontal="right" vertical="center"/>
      <protection/>
    </xf>
    <xf numFmtId="0" fontId="76" fillId="0" borderId="45" xfId="0" applyNumberFormat="1" applyFont="1" applyFill="1" applyBorder="1" applyAlignment="1">
      <alignment horizontal="right" vertical="center"/>
    </xf>
    <xf numFmtId="4" fontId="77" fillId="33" borderId="45" xfId="40" applyNumberFormat="1" applyFont="1" applyFill="1" applyBorder="1" applyAlignment="1">
      <alignment horizontal="right" vertical="center"/>
    </xf>
    <xf numFmtId="3" fontId="77" fillId="33" borderId="45" xfId="40" applyNumberFormat="1" applyFont="1" applyFill="1" applyBorder="1" applyAlignment="1">
      <alignment horizontal="right" vertical="center"/>
    </xf>
    <xf numFmtId="4" fontId="78" fillId="39" borderId="45" xfId="40" applyNumberFormat="1" applyFont="1" applyFill="1" applyBorder="1" applyAlignment="1" applyProtection="1">
      <alignment horizontal="right" vertical="center"/>
      <protection/>
    </xf>
    <xf numFmtId="3" fontId="78" fillId="39" borderId="45" xfId="40" applyNumberFormat="1" applyFont="1" applyFill="1" applyBorder="1" applyAlignment="1" applyProtection="1">
      <alignment horizontal="right" vertical="center"/>
      <protection/>
    </xf>
    <xf numFmtId="3" fontId="77" fillId="0" borderId="45" xfId="74" applyNumberFormat="1" applyFont="1" applyFill="1" applyBorder="1" applyAlignment="1" applyProtection="1">
      <alignment horizontal="right" vertical="center"/>
      <protection/>
    </xf>
    <xf numFmtId="4" fontId="77" fillId="0" borderId="45" xfId="74" applyNumberFormat="1" applyFont="1" applyFill="1" applyBorder="1" applyAlignment="1" applyProtection="1">
      <alignment horizontal="right" vertical="center"/>
      <protection/>
    </xf>
    <xf numFmtId="4" fontId="77" fillId="0" borderId="45" xfId="40" applyNumberFormat="1" applyFont="1" applyFill="1" applyBorder="1" applyAlignment="1" applyProtection="1">
      <alignment horizontal="right" vertical="center"/>
      <protection/>
    </xf>
    <xf numFmtId="192" fontId="77" fillId="0" borderId="45" xfId="74" applyNumberFormat="1" applyFont="1" applyFill="1" applyBorder="1" applyAlignment="1" applyProtection="1">
      <alignment horizontal="right" vertical="center"/>
      <protection/>
    </xf>
    <xf numFmtId="4" fontId="13" fillId="0" borderId="45" xfId="74" applyNumberFormat="1" applyFont="1" applyFill="1" applyBorder="1" applyAlignment="1" applyProtection="1">
      <alignment vertical="center"/>
      <protection/>
    </xf>
    <xf numFmtId="3" fontId="13" fillId="0" borderId="45" xfId="74" applyNumberFormat="1" applyFont="1" applyFill="1" applyBorder="1" applyAlignment="1" applyProtection="1">
      <alignment vertical="center"/>
      <protection/>
    </xf>
    <xf numFmtId="4" fontId="13" fillId="0" borderId="45" xfId="0" applyNumberFormat="1" applyFont="1" applyFill="1" applyBorder="1" applyAlignment="1">
      <alignment horizontal="right"/>
    </xf>
    <xf numFmtId="192" fontId="13" fillId="0" borderId="45" xfId="74" applyNumberFormat="1" applyFont="1" applyFill="1" applyBorder="1" applyAlignment="1" applyProtection="1">
      <alignment vertical="center"/>
      <protection/>
    </xf>
    <xf numFmtId="3" fontId="13" fillId="0" borderId="45" xfId="0" applyNumberFormat="1" applyFont="1" applyFill="1" applyBorder="1" applyAlignment="1">
      <alignment horizontal="right"/>
    </xf>
    <xf numFmtId="4" fontId="13" fillId="0" borderId="46" xfId="74" applyNumberFormat="1" applyFont="1" applyFill="1" applyBorder="1" applyAlignment="1" applyProtection="1">
      <alignment horizontal="right" vertical="center"/>
      <protection/>
    </xf>
    <xf numFmtId="4" fontId="20" fillId="33" borderId="18" xfId="0" applyNumberFormat="1" applyFont="1" applyFill="1" applyBorder="1" applyAlignment="1" applyProtection="1">
      <alignment horizontal="center" vertical="center" wrapText="1"/>
      <protection/>
    </xf>
    <xf numFmtId="192" fontId="20" fillId="33" borderId="18" xfId="0" applyNumberFormat="1" applyFont="1" applyFill="1" applyBorder="1" applyAlignment="1" applyProtection="1">
      <alignment horizontal="center" vertical="center" wrapText="1"/>
      <protection/>
    </xf>
    <xf numFmtId="4" fontId="32" fillId="33" borderId="18" xfId="0" applyNumberFormat="1" applyFont="1" applyFill="1" applyBorder="1" applyAlignment="1" applyProtection="1">
      <alignment horizontal="center" vertical="center" wrapText="1"/>
      <protection/>
    </xf>
    <xf numFmtId="3" fontId="32" fillId="33" borderId="18" xfId="0" applyNumberFormat="1" applyFont="1" applyFill="1" applyBorder="1" applyAlignment="1" applyProtection="1">
      <alignment horizontal="center" vertical="center" wrapText="1"/>
      <protection/>
    </xf>
    <xf numFmtId="4" fontId="30" fillId="40" borderId="45" xfId="0" applyNumberFormat="1" applyFont="1" applyFill="1" applyBorder="1" applyAlignment="1">
      <alignment horizontal="right"/>
    </xf>
    <xf numFmtId="3" fontId="30" fillId="40" borderId="45" xfId="0" applyNumberFormat="1" applyFont="1" applyFill="1" applyBorder="1" applyAlignment="1">
      <alignment horizontal="right"/>
    </xf>
    <xf numFmtId="4" fontId="30" fillId="40" borderId="11" xfId="42" applyNumberFormat="1" applyFont="1" applyFill="1" applyBorder="1" applyAlignment="1" applyProtection="1">
      <alignment horizontal="right" vertical="center"/>
      <protection locked="0"/>
    </xf>
    <xf numFmtId="3" fontId="30" fillId="40" borderId="11" xfId="42" applyNumberFormat="1" applyFont="1" applyFill="1" applyBorder="1" applyAlignment="1" applyProtection="1">
      <alignment horizontal="right" vertical="center"/>
      <protection locked="0"/>
    </xf>
    <xf numFmtId="4" fontId="30" fillId="40" borderId="11" xfId="43" applyNumberFormat="1" applyFont="1" applyFill="1" applyBorder="1" applyAlignment="1" applyProtection="1">
      <alignment horizontal="right" vertical="center"/>
      <protection locked="0"/>
    </xf>
    <xf numFmtId="3" fontId="30" fillId="40" borderId="11" xfId="43" applyNumberFormat="1" applyFont="1" applyFill="1" applyBorder="1" applyAlignment="1" applyProtection="1">
      <alignment horizontal="right" vertical="center"/>
      <protection locked="0"/>
    </xf>
    <xf numFmtId="4" fontId="30" fillId="40" borderId="11" xfId="0" applyNumberFormat="1" applyFont="1" applyFill="1" applyBorder="1" applyAlignment="1">
      <alignment horizontal="right"/>
    </xf>
    <xf numFmtId="3" fontId="30" fillId="40" borderId="11" xfId="0" applyNumberFormat="1" applyFont="1" applyFill="1" applyBorder="1" applyAlignment="1">
      <alignment horizontal="right"/>
    </xf>
    <xf numFmtId="4" fontId="30" fillId="40" borderId="11" xfId="0" applyNumberFormat="1" applyFont="1" applyFill="1" applyBorder="1" applyAlignment="1">
      <alignment horizontal="right" vertical="center"/>
    </xf>
    <xf numFmtId="3" fontId="30" fillId="40" borderId="11" xfId="0" applyNumberFormat="1" applyFont="1" applyFill="1" applyBorder="1" applyAlignment="1">
      <alignment horizontal="right" vertical="center"/>
    </xf>
    <xf numFmtId="4" fontId="30" fillId="40" borderId="11" xfId="0" applyNumberFormat="1" applyFont="1" applyFill="1" applyBorder="1" applyAlignment="1">
      <alignment horizontal="right" wrapText="1"/>
    </xf>
    <xf numFmtId="4" fontId="30" fillId="40" borderId="11" xfId="0" applyNumberFormat="1" applyFont="1" applyFill="1" applyBorder="1" applyAlignment="1">
      <alignment horizontal="right"/>
    </xf>
    <xf numFmtId="3" fontId="30" fillId="40" borderId="11" xfId="0" applyNumberFormat="1" applyFont="1" applyFill="1" applyBorder="1" applyAlignment="1">
      <alignment horizontal="right"/>
    </xf>
    <xf numFmtId="4" fontId="30" fillId="40" borderId="11" xfId="40" applyNumberFormat="1" applyFont="1" applyFill="1" applyBorder="1" applyAlignment="1" applyProtection="1">
      <alignment horizontal="right" vertical="center"/>
      <protection/>
    </xf>
    <xf numFmtId="3" fontId="30" fillId="40" borderId="11" xfId="40" applyNumberFormat="1" applyFont="1" applyFill="1" applyBorder="1" applyAlignment="1" applyProtection="1">
      <alignment horizontal="right" vertical="center"/>
      <protection/>
    </xf>
    <xf numFmtId="4" fontId="30" fillId="40" borderId="11" xfId="40" applyNumberFormat="1" applyFont="1" applyFill="1" applyBorder="1" applyAlignment="1" applyProtection="1">
      <alignment horizontal="right" vertical="center"/>
      <protection locked="0"/>
    </xf>
    <xf numFmtId="3" fontId="30" fillId="40" borderId="11" xfId="40" applyNumberFormat="1" applyFont="1" applyFill="1" applyBorder="1" applyAlignment="1" applyProtection="1">
      <alignment horizontal="right" vertical="center"/>
      <protection locked="0"/>
    </xf>
    <xf numFmtId="4" fontId="30" fillId="40" borderId="11" xfId="74" applyNumberFormat="1" applyFont="1" applyFill="1" applyBorder="1" applyAlignment="1" applyProtection="1">
      <alignment horizontal="right" vertical="center"/>
      <protection/>
    </xf>
    <xf numFmtId="3" fontId="30" fillId="40" borderId="11" xfId="74" applyNumberFormat="1" applyFont="1" applyFill="1" applyBorder="1" applyAlignment="1" applyProtection="1">
      <alignment horizontal="right" vertical="center"/>
      <protection/>
    </xf>
    <xf numFmtId="3" fontId="30" fillId="40" borderId="11" xfId="0" applyNumberFormat="1" applyFont="1" applyFill="1" applyBorder="1" applyAlignment="1">
      <alignment horizontal="right"/>
    </xf>
    <xf numFmtId="0" fontId="24" fillId="33" borderId="44" xfId="0" applyFont="1" applyFill="1" applyBorder="1" applyAlignment="1" applyProtection="1">
      <alignment horizontal="right" vertical="center"/>
      <protection/>
    </xf>
    <xf numFmtId="0" fontId="24" fillId="33" borderId="45" xfId="0" applyFont="1" applyFill="1" applyBorder="1" applyAlignment="1" applyProtection="1">
      <alignment horizontal="left" vertical="center"/>
      <protection/>
    </xf>
    <xf numFmtId="0" fontId="13" fillId="0" borderId="45" xfId="0" applyNumberFormat="1" applyFont="1" applyFill="1" applyBorder="1" applyAlignment="1" applyProtection="1">
      <alignment horizontal="left" vertical="center"/>
      <protection/>
    </xf>
    <xf numFmtId="190" fontId="13" fillId="0" borderId="45" xfId="0" applyNumberFormat="1" applyFont="1" applyFill="1" applyBorder="1" applyAlignment="1" applyProtection="1">
      <alignment horizontal="center" vertical="center"/>
      <protection/>
    </xf>
    <xf numFmtId="0" fontId="13" fillId="0" borderId="45" xfId="0" applyNumberFormat="1" applyFont="1" applyFill="1" applyBorder="1" applyAlignment="1" applyProtection="1">
      <alignment horizontal="right" vertical="center"/>
      <protection/>
    </xf>
    <xf numFmtId="4" fontId="13" fillId="0" borderId="45" xfId="40" applyNumberFormat="1" applyFont="1" applyFill="1" applyBorder="1" applyAlignment="1" applyProtection="1">
      <alignment horizontal="right" vertical="center"/>
      <protection/>
    </xf>
    <xf numFmtId="3" fontId="13" fillId="0" borderId="45" xfId="40" applyNumberFormat="1" applyFont="1" applyFill="1" applyBorder="1" applyAlignment="1" applyProtection="1">
      <alignment horizontal="right" vertical="center"/>
      <protection/>
    </xf>
    <xf numFmtId="3" fontId="13" fillId="0" borderId="45" xfId="74" applyNumberFormat="1" applyFont="1" applyFill="1" applyBorder="1" applyAlignment="1" applyProtection="1">
      <alignment horizontal="right" vertical="center"/>
      <protection/>
    </xf>
    <xf numFmtId="4" fontId="13" fillId="0" borderId="45" xfId="74" applyNumberFormat="1" applyFont="1" applyFill="1" applyBorder="1" applyAlignment="1" applyProtection="1">
      <alignment horizontal="right" vertical="center"/>
      <protection/>
    </xf>
    <xf numFmtId="192" fontId="13" fillId="0" borderId="45" xfId="74" applyNumberFormat="1" applyFont="1" applyFill="1" applyBorder="1" applyAlignment="1" applyProtection="1">
      <alignment horizontal="right" vertical="center"/>
      <protection/>
    </xf>
    <xf numFmtId="4" fontId="30" fillId="0" borderId="45" xfId="74" applyNumberFormat="1" applyFont="1" applyFill="1" applyBorder="1" applyAlignment="1" applyProtection="1">
      <alignment horizontal="right" vertical="center"/>
      <protection/>
    </xf>
    <xf numFmtId="3" fontId="30" fillId="0" borderId="45" xfId="74" applyNumberFormat="1" applyFont="1" applyFill="1" applyBorder="1" applyAlignment="1" applyProtection="1">
      <alignment horizontal="right" vertical="center"/>
      <protection/>
    </xf>
    <xf numFmtId="0" fontId="79" fillId="36" borderId="12" xfId="0" applyFont="1" applyFill="1" applyBorder="1" applyAlignment="1" applyProtection="1">
      <alignment horizontal="center" vertical="center"/>
      <protection/>
    </xf>
    <xf numFmtId="4" fontId="30" fillId="40" borderId="12" xfId="43" applyNumberFormat="1" applyFont="1" applyFill="1" applyBorder="1" applyAlignment="1" applyProtection="1">
      <alignment horizontal="right" vertical="center"/>
      <protection locked="0"/>
    </xf>
    <xf numFmtId="3" fontId="30" fillId="40" borderId="12" xfId="43" applyNumberFormat="1" applyFont="1" applyFill="1" applyBorder="1" applyAlignment="1" applyProtection="1">
      <alignment horizontal="right" vertical="center"/>
      <protection locked="0"/>
    </xf>
    <xf numFmtId="0" fontId="22" fillId="34" borderId="47" xfId="0" applyFont="1" applyFill="1" applyBorder="1" applyAlignment="1" applyProtection="1">
      <alignment vertical="center"/>
      <protection/>
    </xf>
    <xf numFmtId="4" fontId="13" fillId="0" borderId="45" xfId="43" applyNumberFormat="1" applyFont="1" applyFill="1" applyBorder="1" applyAlignment="1" applyProtection="1">
      <alignment horizontal="right" vertical="center"/>
      <protection locked="0"/>
    </xf>
    <xf numFmtId="3" fontId="13" fillId="0" borderId="45" xfId="43" applyNumberFormat="1" applyFont="1" applyFill="1" applyBorder="1" applyAlignment="1" applyProtection="1">
      <alignment horizontal="right" vertical="center"/>
      <protection locked="0"/>
    </xf>
    <xf numFmtId="0" fontId="73" fillId="0" borderId="11" xfId="0" applyFont="1" applyFill="1" applyBorder="1" applyAlignment="1" applyProtection="1">
      <alignment horizontal="left" vertical="center"/>
      <protection/>
    </xf>
    <xf numFmtId="4" fontId="30" fillId="38" borderId="11" xfId="43" applyNumberFormat="1" applyFont="1" applyFill="1" applyBorder="1" applyAlignment="1" applyProtection="1">
      <alignment horizontal="right" vertical="center"/>
      <protection locked="0"/>
    </xf>
    <xf numFmtId="3" fontId="30" fillId="38" borderId="11" xfId="43" applyNumberFormat="1" applyFont="1" applyFill="1" applyBorder="1" applyAlignment="1" applyProtection="1">
      <alignment horizontal="right" vertical="center"/>
      <protection locked="0"/>
    </xf>
    <xf numFmtId="204" fontId="13" fillId="37" borderId="24" xfId="0" applyNumberFormat="1" applyFont="1" applyFill="1" applyBorder="1" applyAlignment="1">
      <alignment horizontal="left" vertical="center" shrinkToFit="1"/>
    </xf>
    <xf numFmtId="190" fontId="13" fillId="37" borderId="11" xfId="0" applyNumberFormat="1" applyFont="1" applyFill="1" applyBorder="1" applyAlignment="1">
      <alignment horizontal="center" vertical="center" shrinkToFit="1"/>
    </xf>
    <xf numFmtId="190" fontId="13" fillId="0" borderId="45" xfId="0" applyNumberFormat="1" applyFont="1" applyFill="1" applyBorder="1" applyAlignment="1">
      <alignment horizontal="center" vertical="center"/>
    </xf>
    <xf numFmtId="0" fontId="13" fillId="37" borderId="11" xfId="0" applyFont="1" applyFill="1" applyBorder="1" applyAlignment="1">
      <alignment horizontal="left" vertical="center" shrinkToFit="1"/>
    </xf>
    <xf numFmtId="0" fontId="13" fillId="0" borderId="45" xfId="0" applyNumberFormat="1" applyFont="1" applyFill="1" applyBorder="1" applyAlignment="1">
      <alignment horizontal="left" vertical="center"/>
    </xf>
    <xf numFmtId="0" fontId="13" fillId="0" borderId="45" xfId="0" applyFont="1" applyFill="1" applyBorder="1" applyAlignment="1">
      <alignment horizontal="right" vertical="center"/>
    </xf>
    <xf numFmtId="4" fontId="30" fillId="38" borderId="11" xfId="0" applyNumberFormat="1" applyFont="1" applyFill="1" applyBorder="1" applyAlignment="1">
      <alignment horizontal="right"/>
    </xf>
    <xf numFmtId="4" fontId="30" fillId="38" borderId="11" xfId="40" applyNumberFormat="1" applyFont="1" applyFill="1" applyBorder="1" applyAlignment="1" applyProtection="1">
      <alignment horizontal="right" vertical="center"/>
      <protection/>
    </xf>
    <xf numFmtId="4" fontId="13" fillId="38" borderId="11" xfId="0" applyNumberFormat="1" applyFont="1" applyFill="1" applyBorder="1" applyAlignment="1">
      <alignment horizontal="right" wrapText="1"/>
    </xf>
    <xf numFmtId="4" fontId="13" fillId="38" borderId="45" xfId="43" applyNumberFormat="1" applyFont="1" applyFill="1" applyBorder="1" applyAlignment="1" applyProtection="1">
      <alignment horizontal="right" vertical="center"/>
      <protection locked="0"/>
    </xf>
    <xf numFmtId="3" fontId="30" fillId="38" borderId="11" xfId="0" applyNumberFormat="1" applyFont="1" applyFill="1" applyBorder="1" applyAlignment="1">
      <alignment horizontal="right"/>
    </xf>
    <xf numFmtId="3" fontId="30" fillId="38" borderId="11" xfId="40" applyNumberFormat="1" applyFont="1" applyFill="1" applyBorder="1" applyAlignment="1" applyProtection="1">
      <alignment horizontal="right" vertical="center"/>
      <protection/>
    </xf>
    <xf numFmtId="3" fontId="13" fillId="38" borderId="45" xfId="43" applyNumberFormat="1" applyFont="1" applyFill="1" applyBorder="1" applyAlignment="1" applyProtection="1">
      <alignment horizontal="right" vertical="center"/>
      <protection locked="0"/>
    </xf>
    <xf numFmtId="3" fontId="13" fillId="0" borderId="45" xfId="43" applyNumberFormat="1" applyFont="1" applyFill="1" applyBorder="1" applyAlignment="1" applyProtection="1">
      <alignment horizontal="right" vertical="center"/>
      <protection/>
    </xf>
    <xf numFmtId="2" fontId="13" fillId="0" borderId="11" xfId="53" applyNumberFormat="1" applyFont="1" applyFill="1" applyBorder="1" applyAlignment="1" applyProtection="1">
      <alignment horizontal="right" vertical="center"/>
      <protection/>
    </xf>
    <xf numFmtId="2" fontId="13" fillId="0" borderId="45" xfId="43" applyNumberFormat="1" applyFont="1" applyFill="1" applyBorder="1" applyAlignment="1" applyProtection="1">
      <alignment horizontal="right" vertical="center"/>
      <protection/>
    </xf>
    <xf numFmtId="2" fontId="13" fillId="0" borderId="46" xfId="43" applyNumberFormat="1" applyFont="1" applyFill="1" applyBorder="1" applyAlignment="1" applyProtection="1">
      <alignment horizontal="right" vertical="center"/>
      <protection/>
    </xf>
    <xf numFmtId="0" fontId="13" fillId="0" borderId="44" xfId="0" applyFont="1" applyFill="1" applyBorder="1" applyAlignment="1">
      <alignment horizontal="left" vertical="center"/>
    </xf>
    <xf numFmtId="4" fontId="30" fillId="40" borderId="13" xfId="0" applyNumberFormat="1" applyFont="1" applyFill="1" applyBorder="1" applyAlignment="1">
      <alignment horizontal="right"/>
    </xf>
    <xf numFmtId="3" fontId="30" fillId="40" borderId="13" xfId="0" applyNumberFormat="1" applyFont="1" applyFill="1" applyBorder="1" applyAlignment="1">
      <alignment horizontal="right"/>
    </xf>
    <xf numFmtId="204" fontId="73" fillId="37" borderId="24" xfId="0" applyNumberFormat="1" applyFont="1" applyFill="1" applyBorder="1" applyAlignment="1">
      <alignment horizontal="left" vertical="center" shrinkToFit="1"/>
    </xf>
    <xf numFmtId="0" fontId="73" fillId="0" borderId="24" xfId="0" applyNumberFormat="1" applyFont="1" applyFill="1" applyBorder="1" applyAlignment="1" applyProtection="1">
      <alignment horizontal="left" vertical="center"/>
      <protection/>
    </xf>
    <xf numFmtId="0" fontId="80" fillId="0" borderId="24" xfId="0" applyFont="1" applyFill="1" applyBorder="1" applyAlignment="1">
      <alignment/>
    </xf>
    <xf numFmtId="0" fontId="73" fillId="0" borderId="12" xfId="0" applyNumberFormat="1" applyFont="1" applyFill="1" applyBorder="1" applyAlignment="1" applyProtection="1">
      <alignment horizontal="right" vertical="center"/>
      <protection/>
    </xf>
    <xf numFmtId="0" fontId="13" fillId="0" borderId="12" xfId="0" applyNumberFormat="1" applyFont="1" applyBorder="1" applyAlignment="1" applyProtection="1">
      <alignment horizontal="right" vertical="center"/>
      <protection locked="0"/>
    </xf>
    <xf numFmtId="4" fontId="77" fillId="0" borderId="12" xfId="40" applyNumberFormat="1" applyFont="1" applyBorder="1" applyAlignment="1" applyProtection="1">
      <alignment horizontal="right" vertical="center"/>
      <protection locked="0"/>
    </xf>
    <xf numFmtId="3" fontId="77" fillId="0" borderId="12" xfId="40" applyNumberFormat="1" applyFont="1" applyBorder="1" applyAlignment="1" applyProtection="1">
      <alignment horizontal="right" vertical="center"/>
      <protection locked="0"/>
    </xf>
    <xf numFmtId="4" fontId="78" fillId="39" borderId="12" xfId="0" applyNumberFormat="1" applyFont="1" applyFill="1" applyBorder="1" applyAlignment="1">
      <alignment horizontal="right" vertical="center"/>
    </xf>
    <xf numFmtId="3" fontId="78" fillId="39" borderId="12" xfId="0" applyNumberFormat="1" applyFont="1" applyFill="1" applyBorder="1" applyAlignment="1">
      <alignment horizontal="right" vertical="center"/>
    </xf>
    <xf numFmtId="3" fontId="77" fillId="0" borderId="12" xfId="75" applyNumberFormat="1" applyFont="1" applyFill="1" applyBorder="1" applyAlignment="1" applyProtection="1">
      <alignment horizontal="right" vertical="center"/>
      <protection/>
    </xf>
    <xf numFmtId="4" fontId="30" fillId="40" borderId="12" xfId="40" applyNumberFormat="1" applyFont="1" applyFill="1" applyBorder="1" applyAlignment="1" applyProtection="1">
      <alignment horizontal="right" vertical="center"/>
      <protection/>
    </xf>
    <xf numFmtId="3" fontId="30" fillId="40" borderId="12" xfId="40" applyNumberFormat="1" applyFont="1" applyFill="1" applyBorder="1" applyAlignment="1" applyProtection="1">
      <alignment horizontal="right" vertical="center"/>
      <protection/>
    </xf>
    <xf numFmtId="3" fontId="13" fillId="0" borderId="12" xfId="0" applyNumberFormat="1" applyFont="1" applyFill="1" applyBorder="1" applyAlignment="1">
      <alignment horizontal="right" vertical="center"/>
    </xf>
    <xf numFmtId="0" fontId="74" fillId="0" borderId="24" xfId="0" applyFont="1" applyFill="1" applyBorder="1" applyAlignment="1" applyProtection="1">
      <alignment horizontal="left" vertical="center"/>
      <protection/>
    </xf>
    <xf numFmtId="0" fontId="74" fillId="0" borderId="29" xfId="0" applyFont="1" applyFill="1" applyBorder="1" applyAlignment="1" applyProtection="1">
      <alignment horizontal="left" vertical="center"/>
      <protection/>
    </xf>
    <xf numFmtId="4" fontId="30" fillId="0" borderId="11" xfId="0" applyNumberFormat="1" applyFont="1" applyFill="1" applyBorder="1" applyAlignment="1">
      <alignment horizontal="right"/>
    </xf>
    <xf numFmtId="3" fontId="30" fillId="0" borderId="11" xfId="0" applyNumberFormat="1" applyFont="1" applyFill="1" applyBorder="1" applyAlignment="1">
      <alignment horizontal="right"/>
    </xf>
    <xf numFmtId="0" fontId="73" fillId="0" borderId="11" xfId="0" applyFont="1" applyFill="1" applyBorder="1" applyAlignment="1">
      <alignment horizontal="left" vertical="center"/>
    </xf>
    <xf numFmtId="190" fontId="73" fillId="0" borderId="11" xfId="0" applyNumberFormat="1" applyFont="1" applyFill="1" applyBorder="1" applyAlignment="1">
      <alignment horizontal="center" vertical="center"/>
    </xf>
    <xf numFmtId="0" fontId="73" fillId="0" borderId="11" xfId="0" applyFont="1" applyFill="1" applyBorder="1" applyAlignment="1">
      <alignment horizontal="right" vertical="center"/>
    </xf>
    <xf numFmtId="14" fontId="73" fillId="0" borderId="11" xfId="0" applyNumberFormat="1" applyFont="1" applyFill="1" applyBorder="1" applyAlignment="1">
      <alignment horizontal="left" vertical="center"/>
    </xf>
    <xf numFmtId="0" fontId="73" fillId="0" borderId="11" xfId="60" applyFont="1" applyFill="1" applyBorder="1" applyAlignment="1" applyProtection="1">
      <alignment horizontal="left" vertical="center"/>
      <protection locked="0"/>
    </xf>
    <xf numFmtId="190" fontId="73" fillId="0" borderId="11" xfId="60" applyNumberFormat="1" applyFont="1" applyFill="1" applyBorder="1" applyAlignment="1" applyProtection="1">
      <alignment horizontal="center" vertical="center"/>
      <protection locked="0"/>
    </xf>
    <xf numFmtId="0" fontId="73" fillId="0" borderId="11" xfId="60" applyFont="1" applyFill="1" applyBorder="1" applyAlignment="1" applyProtection="1">
      <alignment horizontal="right" vertical="center"/>
      <protection locked="0"/>
    </xf>
    <xf numFmtId="0" fontId="73" fillId="0" borderId="11" xfId="0" applyNumberFormat="1" applyFont="1" applyFill="1" applyBorder="1" applyAlignment="1" applyProtection="1">
      <alignment horizontal="left" vertical="center"/>
      <protection locked="0"/>
    </xf>
    <xf numFmtId="49" fontId="73" fillId="0" borderId="11" xfId="0" applyNumberFormat="1" applyFont="1" applyFill="1" applyBorder="1" applyAlignment="1" applyProtection="1">
      <alignment horizontal="left" vertical="center"/>
      <protection locked="0"/>
    </xf>
    <xf numFmtId="0" fontId="73" fillId="0" borderId="11" xfId="0" applyNumberFormat="1" applyFont="1" applyFill="1" applyBorder="1" applyAlignment="1" applyProtection="1">
      <alignment horizontal="right" vertical="center"/>
      <protection locked="0"/>
    </xf>
    <xf numFmtId="0" fontId="73" fillId="0" borderId="11" xfId="0" applyFont="1" applyFill="1" applyBorder="1" applyAlignment="1" applyProtection="1">
      <alignment horizontal="left" vertical="center"/>
      <protection locked="0"/>
    </xf>
    <xf numFmtId="0" fontId="73" fillId="0" borderId="11" xfId="0" applyFont="1" applyFill="1" applyBorder="1" applyAlignment="1" applyProtection="1">
      <alignment horizontal="right" vertical="center"/>
      <protection locked="0"/>
    </xf>
    <xf numFmtId="0" fontId="73" fillId="0" borderId="11" xfId="0" applyFont="1" applyFill="1" applyBorder="1" applyAlignment="1">
      <alignment horizontal="left"/>
    </xf>
    <xf numFmtId="0" fontId="73" fillId="0" borderId="11" xfId="0" applyFont="1" applyFill="1" applyBorder="1" applyAlignment="1">
      <alignment horizontal="left" vertical="center"/>
    </xf>
    <xf numFmtId="3" fontId="30" fillId="0" borderId="11" xfId="0" applyNumberFormat="1" applyFont="1" applyFill="1" applyBorder="1" applyAlignment="1">
      <alignment horizontal="right"/>
    </xf>
    <xf numFmtId="190" fontId="73" fillId="0" borderId="11" xfId="60" applyNumberFormat="1" applyFont="1" applyFill="1" applyBorder="1" applyAlignment="1">
      <alignment horizontal="center" wrapText="1"/>
      <protection/>
    </xf>
    <xf numFmtId="14" fontId="73" fillId="0" borderId="11" xfId="60" applyNumberFormat="1" applyFont="1" applyFill="1" applyBorder="1" applyAlignment="1">
      <alignment horizontal="left"/>
      <protection/>
    </xf>
    <xf numFmtId="0" fontId="73" fillId="0" borderId="11" xfId="60" applyFont="1" applyFill="1" applyBorder="1" applyAlignment="1">
      <alignment horizontal="right"/>
      <protection/>
    </xf>
    <xf numFmtId="4" fontId="30" fillId="0" borderId="11" xfId="0" applyNumberFormat="1" applyFont="1" applyFill="1" applyBorder="1" applyAlignment="1">
      <alignment horizontal="right"/>
    </xf>
    <xf numFmtId="49" fontId="73" fillId="0" borderId="11" xfId="0" applyNumberFormat="1" applyFont="1" applyFill="1" applyBorder="1" applyAlignment="1" applyProtection="1">
      <alignment horizontal="right" vertical="center"/>
      <protection locked="0"/>
    </xf>
    <xf numFmtId="0" fontId="73" fillId="0" borderId="11" xfId="60" applyNumberFormat="1" applyFont="1" applyFill="1" applyBorder="1" applyAlignment="1">
      <alignment horizontal="left" vertical="center"/>
      <protection/>
    </xf>
    <xf numFmtId="190" fontId="73" fillId="0" borderId="11" xfId="60" applyNumberFormat="1" applyFont="1" applyFill="1" applyBorder="1" applyAlignment="1">
      <alignment horizontal="center" vertical="center"/>
      <protection/>
    </xf>
    <xf numFmtId="0" fontId="73" fillId="0" borderId="11" xfId="60" applyNumberFormat="1" applyFont="1" applyFill="1" applyBorder="1" applyAlignment="1">
      <alignment horizontal="right" vertical="center"/>
      <protection/>
    </xf>
    <xf numFmtId="49" fontId="73" fillId="0" borderId="11" xfId="60" applyNumberFormat="1" applyFont="1" applyFill="1" applyBorder="1" applyAlignment="1" applyProtection="1">
      <alignment horizontal="left" vertical="center"/>
      <protection locked="0"/>
    </xf>
    <xf numFmtId="0" fontId="73" fillId="0" borderId="11" xfId="60" applyNumberFormat="1" applyFont="1" applyFill="1" applyBorder="1" applyAlignment="1" applyProtection="1">
      <alignment horizontal="right" vertical="center"/>
      <protection locked="0"/>
    </xf>
    <xf numFmtId="0" fontId="73" fillId="0" borderId="11" xfId="0" applyNumberFormat="1" applyFont="1" applyFill="1" applyBorder="1" applyAlignment="1">
      <alignment horizontal="right" vertical="center"/>
    </xf>
    <xf numFmtId="4" fontId="30" fillId="0" borderId="11" xfId="0" applyNumberFormat="1" applyFont="1" applyFill="1" applyBorder="1" applyAlignment="1">
      <alignment horizontal="right" wrapText="1"/>
    </xf>
    <xf numFmtId="190" fontId="73" fillId="0" borderId="11" xfId="0" applyNumberFormat="1" applyFont="1" applyFill="1" applyBorder="1" applyAlignment="1">
      <alignment horizontal="center" vertical="center"/>
    </xf>
    <xf numFmtId="0" fontId="73" fillId="0" borderId="11" xfId="0" applyFont="1" applyFill="1" applyBorder="1" applyAlignment="1">
      <alignment horizontal="right" vertical="center"/>
    </xf>
    <xf numFmtId="194" fontId="73" fillId="0" borderId="11" xfId="0" applyNumberFormat="1" applyFont="1" applyFill="1" applyBorder="1" applyAlignment="1">
      <alignment horizontal="center"/>
    </xf>
    <xf numFmtId="0" fontId="73" fillId="0" borderId="11" xfId="60" applyNumberFormat="1" applyFont="1" applyFill="1" applyBorder="1" applyAlignment="1">
      <alignment horizontal="left" vertical="center"/>
      <protection/>
    </xf>
    <xf numFmtId="4" fontId="30" fillId="0" borderId="11" xfId="0" applyNumberFormat="1" applyFont="1" applyFill="1" applyBorder="1" applyAlignment="1">
      <alignment horizontal="right"/>
    </xf>
    <xf numFmtId="190" fontId="73" fillId="0" borderId="11" xfId="0" applyNumberFormat="1" applyFont="1" applyFill="1" applyBorder="1" applyAlignment="1" applyProtection="1">
      <alignment horizontal="center" vertical="center"/>
      <protection/>
    </xf>
    <xf numFmtId="0" fontId="73" fillId="0" borderId="11" xfId="0" applyNumberFormat="1" applyFont="1" applyFill="1" applyBorder="1" applyAlignment="1" applyProtection="1">
      <alignment horizontal="right" vertical="center"/>
      <protection/>
    </xf>
    <xf numFmtId="0" fontId="13" fillId="0" borderId="11" xfId="0" applyNumberFormat="1" applyFont="1" applyFill="1" applyBorder="1" applyAlignment="1">
      <alignment horizontal="right" vertical="center"/>
    </xf>
    <xf numFmtId="0" fontId="73" fillId="0" borderId="11" xfId="58" applyFont="1" applyFill="1" applyBorder="1" applyAlignment="1">
      <alignment horizontal="left" vertical="center"/>
      <protection/>
    </xf>
    <xf numFmtId="190" fontId="73" fillId="0" borderId="11" xfId="58" applyNumberFormat="1" applyFont="1" applyFill="1" applyBorder="1" applyAlignment="1">
      <alignment horizontal="center" vertical="center"/>
      <protection/>
    </xf>
    <xf numFmtId="0" fontId="73" fillId="0" borderId="11" xfId="58" applyFont="1" applyFill="1" applyBorder="1" applyAlignment="1">
      <alignment horizontal="right" vertical="center"/>
      <protection/>
    </xf>
    <xf numFmtId="0" fontId="13" fillId="0" borderId="11" xfId="58" applyFont="1" applyFill="1" applyBorder="1" applyAlignment="1">
      <alignment horizontal="right" vertical="center"/>
      <protection/>
    </xf>
    <xf numFmtId="3" fontId="30" fillId="0" borderId="11" xfId="58" applyNumberFormat="1" applyFont="1" applyFill="1" applyBorder="1" applyAlignment="1">
      <alignment horizontal="right" vertical="center"/>
      <protection/>
    </xf>
    <xf numFmtId="190" fontId="73" fillId="0" borderId="11" xfId="60" applyNumberFormat="1" applyFont="1" applyFill="1" applyBorder="1" applyAlignment="1">
      <alignment horizontal="center" vertical="center"/>
      <protection/>
    </xf>
    <xf numFmtId="0" fontId="73" fillId="0" borderId="11" xfId="60" applyNumberFormat="1" applyFont="1" applyFill="1" applyBorder="1" applyAlignment="1">
      <alignment horizontal="right" vertical="center"/>
      <protection/>
    </xf>
    <xf numFmtId="0" fontId="13" fillId="0" borderId="11" xfId="60" applyNumberFormat="1" applyFont="1" applyFill="1" applyBorder="1" applyAlignment="1">
      <alignment horizontal="right" vertical="center"/>
      <protection/>
    </xf>
    <xf numFmtId="0" fontId="73" fillId="0" borderId="20" xfId="0" applyFont="1" applyFill="1" applyBorder="1" applyAlignment="1" applyProtection="1">
      <alignment horizontal="left" vertical="center"/>
      <protection/>
    </xf>
    <xf numFmtId="0" fontId="13" fillId="0" borderId="13" xfId="0" applyNumberFormat="1" applyFont="1" applyFill="1" applyBorder="1" applyAlignment="1">
      <alignment horizontal="right" vertical="center"/>
    </xf>
    <xf numFmtId="4" fontId="30" fillId="0" borderId="13" xfId="0" applyNumberFormat="1" applyFont="1" applyFill="1" applyBorder="1" applyAlignment="1">
      <alignment horizontal="right"/>
    </xf>
    <xf numFmtId="3" fontId="30" fillId="0" borderId="13" xfId="0" applyNumberFormat="1" applyFont="1" applyFill="1" applyBorder="1" applyAlignment="1">
      <alignment horizontal="right"/>
    </xf>
    <xf numFmtId="0" fontId="73" fillId="0" borderId="24" xfId="0" applyFont="1" applyFill="1" applyBorder="1" applyAlignment="1">
      <alignment horizontal="left" vertical="center"/>
    </xf>
    <xf numFmtId="0" fontId="73" fillId="0" borderId="24" xfId="60" applyFont="1" applyFill="1" applyBorder="1" applyAlignment="1" applyProtection="1">
      <alignment horizontal="left" vertical="center"/>
      <protection locked="0"/>
    </xf>
    <xf numFmtId="0" fontId="73" fillId="0" borderId="24" xfId="0" applyNumberFormat="1" applyFont="1" applyFill="1" applyBorder="1" applyAlignment="1" applyProtection="1">
      <alignment horizontal="left" vertical="center"/>
      <protection locked="0"/>
    </xf>
    <xf numFmtId="0" fontId="73" fillId="0" borderId="24" xfId="0" applyFont="1" applyFill="1" applyBorder="1" applyAlignment="1" applyProtection="1">
      <alignment vertical="center" shrinkToFit="1"/>
      <protection locked="0"/>
    </xf>
    <xf numFmtId="204" fontId="73" fillId="0" borderId="24" xfId="0" applyNumberFormat="1" applyFont="1" applyFill="1" applyBorder="1" applyAlignment="1">
      <alignment horizontal="left" vertical="center" shrinkToFit="1"/>
    </xf>
    <xf numFmtId="0" fontId="73" fillId="0" borderId="24" xfId="0" applyFont="1" applyFill="1" applyBorder="1" applyAlignment="1" applyProtection="1">
      <alignment horizontal="left" vertical="center"/>
      <protection locked="0"/>
    </xf>
    <xf numFmtId="0" fontId="73" fillId="0" borderId="24" xfId="0" applyFont="1" applyFill="1" applyBorder="1" applyAlignment="1">
      <alignment horizontal="left"/>
    </xf>
    <xf numFmtId="0" fontId="73" fillId="0" borderId="24" xfId="0" applyFont="1" applyFill="1" applyBorder="1" applyAlignment="1">
      <alignment horizontal="left" vertical="center"/>
    </xf>
    <xf numFmtId="0" fontId="73" fillId="0" borderId="24" xfId="60" applyFont="1" applyFill="1" applyBorder="1" applyAlignment="1">
      <alignment horizontal="left"/>
      <protection/>
    </xf>
    <xf numFmtId="49" fontId="73" fillId="0" borderId="24" xfId="0" applyNumberFormat="1" applyFont="1" applyFill="1" applyBorder="1" applyAlignment="1" applyProtection="1">
      <alignment horizontal="left" vertical="center"/>
      <protection locked="0"/>
    </xf>
    <xf numFmtId="0" fontId="73" fillId="0" borderId="24" xfId="60" applyNumberFormat="1" applyFont="1" applyFill="1" applyBorder="1" applyAlignment="1">
      <alignment horizontal="left" vertical="center"/>
      <protection/>
    </xf>
    <xf numFmtId="0" fontId="73" fillId="0" borderId="24" xfId="60" applyNumberFormat="1" applyFont="1" applyFill="1" applyBorder="1" applyAlignment="1" applyProtection="1">
      <alignment horizontal="left" vertical="center"/>
      <protection locked="0"/>
    </xf>
    <xf numFmtId="0" fontId="73" fillId="0" borderId="24" xfId="0" applyFont="1" applyFill="1" applyBorder="1" applyAlignment="1">
      <alignment/>
    </xf>
    <xf numFmtId="204" fontId="73" fillId="0" borderId="24" xfId="0" applyNumberFormat="1" applyFont="1" applyFill="1" applyBorder="1" applyAlignment="1">
      <alignment horizontal="left" vertical="center"/>
    </xf>
    <xf numFmtId="0" fontId="73" fillId="0" borderId="24" xfId="60" applyNumberFormat="1" applyFont="1" applyFill="1" applyBorder="1" applyAlignment="1">
      <alignment horizontal="left" vertical="center"/>
      <protection/>
    </xf>
    <xf numFmtId="0" fontId="73" fillId="0" borderId="24" xfId="0" applyFont="1" applyFill="1" applyBorder="1" applyAlignment="1" applyProtection="1">
      <alignment horizontal="left" vertical="center"/>
      <protection/>
    </xf>
    <xf numFmtId="0" fontId="73" fillId="0" borderId="24" xfId="58" applyFont="1" applyFill="1" applyBorder="1" applyAlignment="1">
      <alignment horizontal="left" vertical="center"/>
      <protection/>
    </xf>
    <xf numFmtId="204" fontId="73" fillId="0" borderId="29" xfId="0" applyNumberFormat="1" applyFont="1" applyFill="1" applyBorder="1" applyAlignment="1">
      <alignment horizontal="left" vertical="center" shrinkToFit="1"/>
    </xf>
    <xf numFmtId="190" fontId="73" fillId="0" borderId="12" xfId="0" applyNumberFormat="1" applyFont="1" applyFill="1" applyBorder="1" applyAlignment="1">
      <alignment horizontal="center" vertical="center" shrinkToFit="1"/>
    </xf>
    <xf numFmtId="0" fontId="13" fillId="0" borderId="12" xfId="0" applyFont="1" applyFill="1" applyBorder="1" applyAlignment="1">
      <alignment horizontal="right" vertical="center" shrinkToFit="1"/>
    </xf>
    <xf numFmtId="4" fontId="30" fillId="0" borderId="12" xfId="43" applyNumberFormat="1" applyFont="1" applyFill="1" applyBorder="1" applyAlignment="1" applyProtection="1">
      <alignment horizontal="right" vertical="center"/>
      <protection locked="0"/>
    </xf>
    <xf numFmtId="3" fontId="30" fillId="0" borderId="12" xfId="43" applyNumberFormat="1" applyFont="1" applyFill="1" applyBorder="1" applyAlignment="1" applyProtection="1">
      <alignment horizontal="right" vertical="center"/>
      <protection locked="0"/>
    </xf>
    <xf numFmtId="0" fontId="18" fillId="33" borderId="10" xfId="0" applyFont="1" applyFill="1" applyBorder="1" applyAlignment="1" applyProtection="1">
      <alignment horizontal="center" vertical="center" wrapText="1"/>
      <protection/>
    </xf>
    <xf numFmtId="0" fontId="20" fillId="33" borderId="10" xfId="0" applyFont="1" applyFill="1" applyBorder="1" applyAlignment="1" applyProtection="1">
      <alignment horizontal="center" vertical="center" wrapText="1"/>
      <protection/>
    </xf>
    <xf numFmtId="0" fontId="19" fillId="33" borderId="17" xfId="0" applyFont="1" applyFill="1" applyBorder="1" applyAlignment="1" applyProtection="1">
      <alignment horizontal="center" vertical="center" wrapText="1"/>
      <protection/>
    </xf>
    <xf numFmtId="0" fontId="31" fillId="33" borderId="10" xfId="0" applyFont="1" applyFill="1" applyBorder="1" applyAlignment="1" applyProtection="1">
      <alignment horizontal="center" vertical="center" wrapText="1"/>
      <protection/>
    </xf>
    <xf numFmtId="0" fontId="20" fillId="33" borderId="48" xfId="0" applyFont="1" applyFill="1" applyBorder="1" applyAlignment="1" applyProtection="1">
      <alignment horizontal="center" vertical="center" wrapText="1"/>
      <protection/>
    </xf>
    <xf numFmtId="0" fontId="20" fillId="33" borderId="49" xfId="0" applyFont="1" applyFill="1" applyBorder="1" applyAlignment="1" applyProtection="1">
      <alignment horizontal="center" vertical="center" wrapText="1"/>
      <protection/>
    </xf>
    <xf numFmtId="190" fontId="16" fillId="33" borderId="50" xfId="0" applyNumberFormat="1" applyFont="1" applyFill="1" applyBorder="1" applyAlignment="1" applyProtection="1">
      <alignment horizontal="left" vertical="center" wrapText="1"/>
      <protection/>
    </xf>
    <xf numFmtId="0" fontId="0" fillId="33" borderId="51" xfId="0" applyFill="1" applyBorder="1" applyAlignment="1" applyProtection="1">
      <alignment vertical="center" wrapText="1"/>
      <protection/>
    </xf>
    <xf numFmtId="0" fontId="0" fillId="33" borderId="52" xfId="0" applyFill="1" applyBorder="1" applyAlignment="1" applyProtection="1">
      <alignment vertical="center" wrapText="1"/>
      <protection/>
    </xf>
    <xf numFmtId="0" fontId="0" fillId="33" borderId="53"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54" xfId="0" applyFill="1" applyBorder="1" applyAlignment="1" applyProtection="1">
      <alignment vertical="center" wrapText="1"/>
      <protection/>
    </xf>
    <xf numFmtId="0" fontId="0" fillId="33" borderId="55" xfId="0" applyFill="1" applyBorder="1" applyAlignment="1" applyProtection="1">
      <alignment vertical="center" wrapText="1"/>
      <protection/>
    </xf>
    <xf numFmtId="0" fontId="0" fillId="33" borderId="16" xfId="0" applyFill="1" applyBorder="1" applyAlignment="1" applyProtection="1">
      <alignment vertical="center" wrapText="1"/>
      <protection/>
    </xf>
    <xf numFmtId="0" fontId="0" fillId="33" borderId="56" xfId="0" applyFill="1" applyBorder="1" applyAlignment="1" applyProtection="1">
      <alignment vertical="center" wrapText="1"/>
      <protection/>
    </xf>
    <xf numFmtId="0" fontId="18" fillId="33" borderId="48" xfId="0" applyFont="1" applyFill="1" applyBorder="1" applyAlignment="1" applyProtection="1">
      <alignment horizontal="center" vertical="center" wrapText="1"/>
      <protection/>
    </xf>
    <xf numFmtId="0" fontId="18" fillId="33" borderId="49" xfId="0" applyFont="1" applyFill="1" applyBorder="1" applyAlignment="1" applyProtection="1">
      <alignment horizontal="center" vertical="center" wrapText="1"/>
      <protection/>
    </xf>
    <xf numFmtId="0" fontId="33" fillId="34" borderId="16" xfId="0" applyFont="1" applyFill="1" applyBorder="1" applyAlignment="1" applyProtection="1">
      <alignment horizontal="right" vertical="center" wrapText="1"/>
      <protection/>
    </xf>
    <xf numFmtId="0" fontId="34" fillId="34" borderId="16" xfId="0" applyFont="1" applyFill="1" applyBorder="1" applyAlignment="1" applyProtection="1">
      <alignment horizontal="right" vertical="center" wrapText="1"/>
      <protection/>
    </xf>
    <xf numFmtId="0" fontId="48" fillId="0" borderId="57" xfId="0" applyFont="1" applyFill="1" applyBorder="1" applyAlignment="1" applyProtection="1">
      <alignment horizontal="center" vertical="center" wrapText="1"/>
      <protection/>
    </xf>
    <xf numFmtId="0" fontId="48" fillId="0" borderId="58" xfId="0" applyFont="1" applyFill="1" applyBorder="1" applyAlignment="1" applyProtection="1">
      <alignment horizontal="center" vertical="center" wrapText="1"/>
      <protection/>
    </xf>
    <xf numFmtId="0" fontId="48" fillId="0" borderId="48" xfId="0" applyFont="1" applyFill="1" applyBorder="1" applyAlignment="1" applyProtection="1">
      <alignment horizontal="center" vertical="center" wrapText="1"/>
      <protection/>
    </xf>
    <xf numFmtId="0" fontId="48" fillId="0" borderId="59" xfId="0" applyFont="1" applyFill="1" applyBorder="1" applyAlignment="1" applyProtection="1">
      <alignment horizontal="center" vertical="center" wrapText="1"/>
      <protection/>
    </xf>
    <xf numFmtId="0" fontId="2" fillId="33" borderId="60" xfId="51" applyFill="1" applyBorder="1" applyAlignment="1" applyProtection="1">
      <alignment horizontal="center" vertical="center" wrapText="1"/>
      <protection/>
    </xf>
    <xf numFmtId="0" fontId="53" fillId="0" borderId="61" xfId="0" applyFont="1" applyBorder="1" applyAlignment="1">
      <alignment horizontal="center" vertical="center" wrapText="1"/>
    </xf>
    <xf numFmtId="1" fontId="11" fillId="33" borderId="0"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wrapText="1"/>
      <protection/>
    </xf>
    <xf numFmtId="1" fontId="27" fillId="33" borderId="0" xfId="0" applyNumberFormat="1" applyFont="1" applyFill="1" applyBorder="1" applyAlignment="1" applyProtection="1">
      <alignment horizontal="center" vertical="center" wrapText="1"/>
      <protection/>
    </xf>
    <xf numFmtId="0" fontId="28" fillId="33" borderId="0" xfId="0" applyFont="1" applyFill="1" applyBorder="1" applyAlignment="1" applyProtection="1">
      <alignment horizontal="center" vertical="center" wrapText="1"/>
      <protection/>
    </xf>
    <xf numFmtId="1" fontId="60" fillId="33" borderId="16" xfId="51" applyNumberFormat="1" applyFont="1" applyFill="1" applyBorder="1" applyAlignment="1" applyProtection="1">
      <alignment horizontal="center" vertical="center" wrapText="1"/>
      <protection/>
    </xf>
    <xf numFmtId="0" fontId="59" fillId="33" borderId="16" xfId="0" applyFont="1" applyFill="1" applyBorder="1" applyAlignment="1" applyProtection="1">
      <alignment horizontal="center" vertical="center" wrapText="1"/>
      <protection/>
    </xf>
    <xf numFmtId="0" fontId="33" fillId="34" borderId="51" xfId="0" applyFont="1" applyFill="1" applyBorder="1" applyAlignment="1" applyProtection="1">
      <alignment horizontal="right" vertical="center" wrapText="1"/>
      <protection/>
    </xf>
    <xf numFmtId="0" fontId="34" fillId="34" borderId="51" xfId="0" applyFont="1" applyFill="1" applyBorder="1" applyAlignment="1" applyProtection="1">
      <alignment horizontal="right" vertical="center" wrapText="1"/>
      <protection/>
    </xf>
    <xf numFmtId="0" fontId="51" fillId="33" borderId="17" xfId="0"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64" fillId="34" borderId="0" xfId="0" applyFont="1" applyFill="1" applyBorder="1" applyAlignment="1" applyProtection="1">
      <alignment horizontal="right" vertical="center" wrapText="1"/>
      <protection/>
    </xf>
    <xf numFmtId="0" fontId="58" fillId="34" borderId="0" xfId="0" applyFont="1" applyFill="1" applyBorder="1" applyAlignment="1" applyProtection="1">
      <alignment horizontal="right" vertical="center" wrapText="1"/>
      <protection/>
    </xf>
    <xf numFmtId="0" fontId="57" fillId="34" borderId="16" xfId="0" applyFont="1" applyFill="1" applyBorder="1" applyAlignment="1" applyProtection="1">
      <alignment horizontal="right" vertical="center" wrapText="1"/>
      <protection/>
    </xf>
    <xf numFmtId="0" fontId="58" fillId="34" borderId="16" xfId="0" applyFont="1" applyFill="1" applyBorder="1" applyAlignment="1" applyProtection="1">
      <alignment horizontal="right" vertical="center" wrapText="1"/>
      <protection/>
    </xf>
    <xf numFmtId="0" fontId="0" fillId="33" borderId="16" xfId="0" applyFill="1" applyBorder="1" applyAlignment="1" applyProtection="1">
      <alignment horizontal="center" vertical="center" wrapText="1"/>
      <protection/>
    </xf>
    <xf numFmtId="1" fontId="38" fillId="33" borderId="0" xfId="0" applyNumberFormat="1" applyFont="1" applyFill="1" applyBorder="1" applyAlignment="1" applyProtection="1">
      <alignment horizontal="center" vertical="center" wrapText="1"/>
      <protection/>
    </xf>
    <xf numFmtId="0" fontId="61" fillId="33" borderId="0" xfId="0" applyFont="1" applyFill="1" applyBorder="1" applyAlignment="1" applyProtection="1">
      <alignment horizontal="center" vertical="center" wrapText="1"/>
      <protection/>
    </xf>
    <xf numFmtId="0" fontId="0" fillId="0" borderId="0" xfId="0" applyAlignment="1">
      <alignment horizontal="center" vertical="center" wrapText="1"/>
    </xf>
    <xf numFmtId="1" fontId="65"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48" fillId="33" borderId="0" xfId="0" applyFont="1" applyFill="1" applyBorder="1" applyAlignment="1" applyProtection="1">
      <alignment horizontal="center" vertical="center" wrapText="1"/>
      <protection/>
    </xf>
    <xf numFmtId="0" fontId="52" fillId="33" borderId="0" xfId="51" applyFont="1" applyFill="1" applyBorder="1" applyAlignment="1" applyProtection="1">
      <alignment horizontal="center" vertical="center" wrapText="1"/>
      <protection/>
    </xf>
    <xf numFmtId="0" fontId="53" fillId="33" borderId="0" xfId="0" applyFont="1" applyFill="1" applyBorder="1" applyAlignment="1">
      <alignment horizontal="center" vertical="center" wrapText="1"/>
    </xf>
    <xf numFmtId="0" fontId="51" fillId="33" borderId="16" xfId="0" applyFont="1" applyFill="1" applyBorder="1" applyAlignment="1" applyProtection="1">
      <alignment horizontal="center" vertical="center" wrapText="1"/>
      <protection/>
    </xf>
    <xf numFmtId="1" fontId="54" fillId="33" borderId="0" xfId="0" applyNumberFormat="1" applyFont="1" applyFill="1" applyBorder="1" applyAlignment="1" applyProtection="1">
      <alignment horizontal="center" vertical="center" wrapText="1"/>
      <protection/>
    </xf>
    <xf numFmtId="0" fontId="56" fillId="33" borderId="0" xfId="0" applyFont="1" applyFill="1" applyBorder="1" applyAlignment="1" applyProtection="1">
      <alignment horizontal="center" vertical="center" wrapText="1"/>
      <protection/>
    </xf>
    <xf numFmtId="0" fontId="66" fillId="33" borderId="0" xfId="0" applyFont="1" applyFill="1" applyBorder="1" applyAlignment="1" applyProtection="1">
      <alignment horizontal="center" vertical="center" wrapText="1"/>
      <protection/>
    </xf>
    <xf numFmtId="0" fontId="64" fillId="34" borderId="51" xfId="0" applyFont="1" applyFill="1" applyBorder="1" applyAlignment="1" applyProtection="1">
      <alignment horizontal="right" vertical="center" wrapText="1"/>
      <protection/>
    </xf>
    <xf numFmtId="0" fontId="58" fillId="34" borderId="51" xfId="0" applyFont="1" applyFill="1" applyBorder="1" applyAlignment="1" applyProtection="1">
      <alignment horizontal="right" vertical="center" wrapText="1"/>
      <protection/>
    </xf>
    <xf numFmtId="0" fontId="69" fillId="34" borderId="16" xfId="0" applyFont="1" applyFill="1" applyBorder="1" applyAlignment="1" applyProtection="1">
      <alignment horizontal="right" vertical="center" wrapText="1"/>
      <protection/>
    </xf>
    <xf numFmtId="0" fontId="71" fillId="34" borderId="16" xfId="0" applyFont="1" applyFill="1" applyBorder="1" applyAlignment="1" applyProtection="1">
      <alignment horizontal="right" vertical="center" wrapText="1"/>
      <protection/>
    </xf>
    <xf numFmtId="1" fontId="37" fillId="33" borderId="0" xfId="0" applyNumberFormat="1" applyFont="1" applyFill="1" applyBorder="1" applyAlignment="1" applyProtection="1">
      <alignment horizontal="center" vertical="center" wrapText="1"/>
      <protection/>
    </xf>
    <xf numFmtId="0" fontId="69" fillId="34" borderId="51" xfId="0" applyFont="1" applyFill="1" applyBorder="1" applyAlignment="1" applyProtection="1">
      <alignment horizontal="right" vertical="center" wrapText="1"/>
      <protection/>
    </xf>
    <xf numFmtId="0" fontId="71" fillId="34" borderId="51" xfId="0" applyFont="1" applyFill="1" applyBorder="1" applyAlignment="1" applyProtection="1">
      <alignment horizontal="right" vertical="center" wrapText="1"/>
      <protection/>
    </xf>
    <xf numFmtId="0" fontId="67" fillId="33" borderId="16" xfId="0" applyFont="1" applyFill="1" applyBorder="1" applyAlignment="1" applyProtection="1">
      <alignment horizontal="center" vertical="center" wrapText="1"/>
      <protection/>
    </xf>
  </cellXfs>
  <cellStyles count="6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rmal_31 Dec 10'-14 Apr' 11 (Annual)" xfId="58"/>
    <cellStyle name="Normal_Ex years releases (Annual)" xfId="59"/>
    <cellStyle name="Normal_Sayfa1" xfId="60"/>
    <cellStyle name="Normal_Sayfa1_2" xfId="61"/>
    <cellStyle name="Not" xfId="62"/>
    <cellStyle name="Nötr" xfId="63"/>
    <cellStyle name="Currency" xfId="64"/>
    <cellStyle name="Currency [0]" xfId="65"/>
    <cellStyle name="Toplam" xfId="66"/>
    <cellStyle name="Uyarı Metni" xfId="67"/>
    <cellStyle name="Vurgu1" xfId="68"/>
    <cellStyle name="Vurgu2" xfId="69"/>
    <cellStyle name="Vurgu3" xfId="70"/>
    <cellStyle name="Vurgu4" xfId="71"/>
    <cellStyle name="Vurgu5" xfId="72"/>
    <cellStyle name="Vurgu6" xfId="73"/>
    <cellStyle name="Percent" xfId="74"/>
    <cellStyle name="Yüzde 2"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7440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 Box 2"/>
        <xdr:cNvSpPr txBox="1">
          <a:spLocks noChangeArrowheads="1"/>
        </xdr:cNvSpPr>
      </xdr:nvSpPr>
      <xdr:spPr>
        <a:xfrm>
          <a:off x="14706600" y="0"/>
          <a:ext cx="2228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609600</xdr:colOff>
      <xdr:row>3</xdr:row>
      <xdr:rowOff>123825</xdr:rowOff>
    </xdr:from>
    <xdr:to>
      <xdr:col>7</xdr:col>
      <xdr:colOff>47625</xdr:colOff>
      <xdr:row>4</xdr:row>
      <xdr:rowOff>323850</xdr:rowOff>
    </xdr:to>
    <xdr:pic>
      <xdr:nvPicPr>
        <xdr:cNvPr id="3" name="Picture 13" descr="LOGO"/>
        <xdr:cNvPicPr preferRelativeResize="1">
          <a:picLocks noChangeAspect="1"/>
        </xdr:cNvPicPr>
      </xdr:nvPicPr>
      <xdr:blipFill>
        <a:blip r:embed="rId1"/>
        <a:stretch>
          <a:fillRect/>
        </a:stretch>
      </xdr:blipFill>
      <xdr:spPr>
        <a:xfrm>
          <a:off x="6000750" y="1428750"/>
          <a:ext cx="17240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0</xdr:colOff>
      <xdr:row>0</xdr:row>
      <xdr:rowOff>0</xdr:rowOff>
    </xdr:to>
    <xdr:sp fLocksText="0">
      <xdr:nvSpPr>
        <xdr:cNvPr id="1" name="Text Box 1"/>
        <xdr:cNvSpPr txBox="1">
          <a:spLocks noChangeArrowheads="1"/>
        </xdr:cNvSpPr>
      </xdr:nvSpPr>
      <xdr:spPr>
        <a:xfrm>
          <a:off x="0" y="0"/>
          <a:ext cx="120396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0</xdr:row>
      <xdr:rowOff>0</xdr:rowOff>
    </xdr:from>
    <xdr:to>
      <xdr:col>16</xdr:col>
      <xdr:colOff>295275</xdr:colOff>
      <xdr:row>0</xdr:row>
      <xdr:rowOff>0</xdr:rowOff>
    </xdr:to>
    <xdr:sp fLocksText="0">
      <xdr:nvSpPr>
        <xdr:cNvPr id="2" name="Text Box 2"/>
        <xdr:cNvSpPr txBox="1">
          <a:spLocks noChangeArrowheads="1"/>
        </xdr:cNvSpPr>
      </xdr:nvSpPr>
      <xdr:spPr>
        <a:xfrm>
          <a:off x="10668000" y="0"/>
          <a:ext cx="13716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17</xdr:col>
      <xdr:colOff>0</xdr:colOff>
      <xdr:row>0</xdr:row>
      <xdr:rowOff>0</xdr:rowOff>
    </xdr:to>
    <xdr:sp fLocksText="0">
      <xdr:nvSpPr>
        <xdr:cNvPr id="3" name="Text Box 5"/>
        <xdr:cNvSpPr txBox="1">
          <a:spLocks noChangeArrowheads="1"/>
        </xdr:cNvSpPr>
      </xdr:nvSpPr>
      <xdr:spPr>
        <a:xfrm>
          <a:off x="0" y="0"/>
          <a:ext cx="120396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0</xdr:row>
      <xdr:rowOff>0</xdr:rowOff>
    </xdr:from>
    <xdr:to>
      <xdr:col>16</xdr:col>
      <xdr:colOff>295275</xdr:colOff>
      <xdr:row>0</xdr:row>
      <xdr:rowOff>0</xdr:rowOff>
    </xdr:to>
    <xdr:sp fLocksText="0">
      <xdr:nvSpPr>
        <xdr:cNvPr id="4" name="Text Box 6"/>
        <xdr:cNvSpPr txBox="1">
          <a:spLocks noChangeArrowheads="1"/>
        </xdr:cNvSpPr>
      </xdr:nvSpPr>
      <xdr:spPr>
        <a:xfrm>
          <a:off x="10668000" y="0"/>
          <a:ext cx="13716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 name="Text Box 9"/>
        <xdr:cNvSpPr txBox="1">
          <a:spLocks noChangeArrowheads="1"/>
        </xdr:cNvSpPr>
      </xdr:nvSpPr>
      <xdr:spPr>
        <a:xfrm>
          <a:off x="0" y="0"/>
          <a:ext cx="6848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10"/>
        <xdr:cNvSpPr txBox="1">
          <a:spLocks noChangeArrowheads="1"/>
        </xdr:cNvSpPr>
      </xdr:nvSpPr>
      <xdr:spPr>
        <a:xfrm>
          <a:off x="684847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228600</xdr:colOff>
      <xdr:row>3</xdr:row>
      <xdr:rowOff>28575</xdr:rowOff>
    </xdr:from>
    <xdr:to>
      <xdr:col>10</xdr:col>
      <xdr:colOff>0</xdr:colOff>
      <xdr:row>4</xdr:row>
      <xdr:rowOff>409575</xdr:rowOff>
    </xdr:to>
    <xdr:pic>
      <xdr:nvPicPr>
        <xdr:cNvPr id="7" name="Picture 11" descr="LOGO"/>
        <xdr:cNvPicPr preferRelativeResize="1">
          <a:picLocks noChangeAspect="1"/>
        </xdr:cNvPicPr>
      </xdr:nvPicPr>
      <xdr:blipFill>
        <a:blip r:embed="rId1"/>
        <a:stretch>
          <a:fillRect/>
        </a:stretch>
      </xdr:blipFill>
      <xdr:spPr>
        <a:xfrm>
          <a:off x="7077075" y="933450"/>
          <a:ext cx="2085975" cy="790575"/>
        </a:xfrm>
        <a:prstGeom prst="rect">
          <a:avLst/>
        </a:prstGeom>
        <a:noFill/>
        <a:ln w="9525" cmpd="sng">
          <a:noFill/>
        </a:ln>
      </xdr:spPr>
    </xdr:pic>
    <xdr:clientData/>
  </xdr:twoCellAnchor>
  <xdr:twoCellAnchor>
    <xdr:from>
      <xdr:col>0</xdr:col>
      <xdr:colOff>0</xdr:colOff>
      <xdr:row>0</xdr:row>
      <xdr:rowOff>0</xdr:rowOff>
    </xdr:from>
    <xdr:to>
      <xdr:col>6</xdr:col>
      <xdr:colOff>0</xdr:colOff>
      <xdr:row>0</xdr:row>
      <xdr:rowOff>0</xdr:rowOff>
    </xdr:to>
    <xdr:sp fLocksText="0">
      <xdr:nvSpPr>
        <xdr:cNvPr id="8" name="Text Box 12"/>
        <xdr:cNvSpPr txBox="1">
          <a:spLocks noChangeArrowheads="1"/>
        </xdr:cNvSpPr>
      </xdr:nvSpPr>
      <xdr:spPr>
        <a:xfrm>
          <a:off x="0" y="0"/>
          <a:ext cx="6848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9" name="Text Box 13"/>
        <xdr:cNvSpPr txBox="1">
          <a:spLocks noChangeArrowheads="1"/>
        </xdr:cNvSpPr>
      </xdr:nvSpPr>
      <xdr:spPr>
        <a:xfrm>
          <a:off x="684847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0" name="Text Box 14"/>
        <xdr:cNvSpPr txBox="1">
          <a:spLocks noChangeArrowheads="1"/>
        </xdr:cNvSpPr>
      </xdr:nvSpPr>
      <xdr:spPr>
        <a:xfrm>
          <a:off x="0" y="0"/>
          <a:ext cx="6848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1" name="Text Box 15"/>
        <xdr:cNvSpPr txBox="1">
          <a:spLocks noChangeArrowheads="1"/>
        </xdr:cNvSpPr>
      </xdr:nvSpPr>
      <xdr:spPr>
        <a:xfrm>
          <a:off x="684847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fLocksText="0">
      <xdr:nvSpPr>
        <xdr:cNvPr id="1" name="Text Box 1"/>
        <xdr:cNvSpPr txBox="1">
          <a:spLocks noChangeArrowheads="1"/>
        </xdr:cNvSpPr>
      </xdr:nvSpPr>
      <xdr:spPr>
        <a:xfrm>
          <a:off x="0" y="0"/>
          <a:ext cx="60960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xt Box 2"/>
        <xdr:cNvSpPr txBox="1">
          <a:spLocks noChangeArrowheads="1"/>
        </xdr:cNvSpPr>
      </xdr:nvSpPr>
      <xdr:spPr>
        <a:xfrm>
          <a:off x="60960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314325</xdr:colOff>
      <xdr:row>3</xdr:row>
      <xdr:rowOff>28575</xdr:rowOff>
    </xdr:from>
    <xdr:to>
      <xdr:col>6</xdr:col>
      <xdr:colOff>285750</xdr:colOff>
      <xdr:row>4</xdr:row>
      <xdr:rowOff>390525</xdr:rowOff>
    </xdr:to>
    <xdr:pic>
      <xdr:nvPicPr>
        <xdr:cNvPr id="3" name="Picture 3" descr="LOGO"/>
        <xdr:cNvPicPr preferRelativeResize="1">
          <a:picLocks noChangeAspect="1"/>
        </xdr:cNvPicPr>
      </xdr:nvPicPr>
      <xdr:blipFill>
        <a:blip r:embed="rId1"/>
        <a:stretch>
          <a:fillRect/>
        </a:stretch>
      </xdr:blipFill>
      <xdr:spPr>
        <a:xfrm>
          <a:off x="3752850" y="1047750"/>
          <a:ext cx="2085975" cy="771525"/>
        </a:xfrm>
        <a:prstGeom prst="rect">
          <a:avLst/>
        </a:prstGeom>
        <a:noFill/>
        <a:ln w="9525" cmpd="sng">
          <a:noFill/>
        </a:ln>
      </xdr:spPr>
    </xdr:pic>
    <xdr:clientData/>
  </xdr:twoCellAnchor>
  <xdr:twoCellAnchor>
    <xdr:from>
      <xdr:col>0</xdr:col>
      <xdr:colOff>0</xdr:colOff>
      <xdr:row>0</xdr:row>
      <xdr:rowOff>0</xdr:rowOff>
    </xdr:from>
    <xdr:to>
      <xdr:col>7</xdr:col>
      <xdr:colOff>0</xdr:colOff>
      <xdr:row>0</xdr:row>
      <xdr:rowOff>0</xdr:rowOff>
    </xdr:to>
    <xdr:sp fLocksText="0">
      <xdr:nvSpPr>
        <xdr:cNvPr id="4" name="Text Box 4"/>
        <xdr:cNvSpPr txBox="1">
          <a:spLocks noChangeArrowheads="1"/>
        </xdr:cNvSpPr>
      </xdr:nvSpPr>
      <xdr:spPr>
        <a:xfrm>
          <a:off x="0" y="0"/>
          <a:ext cx="60960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xt Box 5"/>
        <xdr:cNvSpPr txBox="1">
          <a:spLocks noChangeArrowheads="1"/>
        </xdr:cNvSpPr>
      </xdr:nvSpPr>
      <xdr:spPr>
        <a:xfrm>
          <a:off x="60960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6" name="Text Box 6"/>
        <xdr:cNvSpPr txBox="1">
          <a:spLocks noChangeArrowheads="1"/>
        </xdr:cNvSpPr>
      </xdr:nvSpPr>
      <xdr:spPr>
        <a:xfrm>
          <a:off x="0" y="0"/>
          <a:ext cx="60960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xt Box 7"/>
        <xdr:cNvSpPr txBox="1">
          <a:spLocks noChangeArrowheads="1"/>
        </xdr:cNvSpPr>
      </xdr:nvSpPr>
      <xdr:spPr>
        <a:xfrm>
          <a:off x="60960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2" name="Text Box 2"/>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 name="Text Box 4"/>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63627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8" name="Text Box 8"/>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6362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6381750" y="0"/>
          <a:ext cx="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12" name="Text Box 12"/>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4" name="Text Box 14"/>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7" name="Text Box 18"/>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438150</xdr:colOff>
      <xdr:row>0</xdr:row>
      <xdr:rowOff>0</xdr:rowOff>
    </xdr:to>
    <xdr:sp>
      <xdr:nvSpPr>
        <xdr:cNvPr id="18" name="Text Box 19"/>
        <xdr:cNvSpPr txBox="1">
          <a:spLocks noChangeArrowheads="1"/>
        </xdr:cNvSpPr>
      </xdr:nvSpPr>
      <xdr:spPr>
        <a:xfrm>
          <a:off x="19050" y="0"/>
          <a:ext cx="6362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752475</xdr:colOff>
      <xdr:row>0</xdr:row>
      <xdr:rowOff>0</xdr:rowOff>
    </xdr:to>
    <xdr:sp>
      <xdr:nvSpPr>
        <xdr:cNvPr id="19" name="Text Box 21"/>
        <xdr:cNvSpPr txBox="1">
          <a:spLocks noChangeArrowheads="1"/>
        </xdr:cNvSpPr>
      </xdr:nvSpPr>
      <xdr:spPr>
        <a:xfrm>
          <a:off x="19050" y="0"/>
          <a:ext cx="6362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752475</xdr:colOff>
      <xdr:row>0</xdr:row>
      <xdr:rowOff>0</xdr:rowOff>
    </xdr:to>
    <xdr:sp fLocksText="0">
      <xdr:nvSpPr>
        <xdr:cNvPr id="20" name="Text Box 22"/>
        <xdr:cNvSpPr txBox="1">
          <a:spLocks noChangeArrowheads="1"/>
        </xdr:cNvSpPr>
      </xdr:nvSpPr>
      <xdr:spPr>
        <a:xfrm>
          <a:off x="63817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2" name="Text Box 24"/>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4" name="Text Box 28"/>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6" name="Text Box 32"/>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8" name="Text Box 36"/>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0" name="Text Box 40"/>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2" name="Text Box 44"/>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4" name="Text Box 48"/>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6" name="Text Box 52"/>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8" name="Text Box 56"/>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42</xdr:col>
      <xdr:colOff>104775</xdr:colOff>
      <xdr:row>0</xdr:row>
      <xdr:rowOff>0</xdr:rowOff>
    </xdr:to>
    <xdr:sp>
      <xdr:nvSpPr>
        <xdr:cNvPr id="39" name="Text Box 57"/>
        <xdr:cNvSpPr txBox="1">
          <a:spLocks noChangeArrowheads="1"/>
        </xdr:cNvSpPr>
      </xdr:nvSpPr>
      <xdr:spPr>
        <a:xfrm>
          <a:off x="19050" y="0"/>
          <a:ext cx="15097125"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1" name="Text Box 60"/>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3" name="Text Box 64"/>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5" name="Text Box 68"/>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13</xdr:col>
      <xdr:colOff>657225</xdr:colOff>
      <xdr:row>0</xdr:row>
      <xdr:rowOff>0</xdr:rowOff>
    </xdr:to>
    <xdr:sp>
      <xdr:nvSpPr>
        <xdr:cNvPr id="46" name="Text Box 71"/>
        <xdr:cNvSpPr txBox="1">
          <a:spLocks noChangeArrowheads="1"/>
        </xdr:cNvSpPr>
      </xdr:nvSpPr>
      <xdr:spPr>
        <a:xfrm>
          <a:off x="28575" y="0"/>
          <a:ext cx="6353175"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0</xdr:rowOff>
    </xdr:from>
    <xdr:to>
      <xdr:col>21</xdr:col>
      <xdr:colOff>400050</xdr:colOff>
      <xdr:row>0</xdr:row>
      <xdr:rowOff>0</xdr:rowOff>
    </xdr:to>
    <xdr:sp fLocksText="0">
      <xdr:nvSpPr>
        <xdr:cNvPr id="47" name="Text Box 72"/>
        <xdr:cNvSpPr txBox="1">
          <a:spLocks noChangeArrowheads="1"/>
        </xdr:cNvSpPr>
      </xdr:nvSpPr>
      <xdr:spPr>
        <a:xfrm>
          <a:off x="6381750" y="0"/>
          <a:ext cx="0"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22</xdr:col>
      <xdr:colOff>0</xdr:colOff>
      <xdr:row>0</xdr:row>
      <xdr:rowOff>0</xdr:rowOff>
    </xdr:to>
    <xdr:sp fLocksText="0">
      <xdr:nvSpPr>
        <xdr:cNvPr id="48" name="Text Box 73"/>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49" name="Text Box 74"/>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50" name="Text Box 77"/>
        <xdr:cNvSpPr txBox="1">
          <a:spLocks noChangeArrowheads="1"/>
        </xdr:cNvSpPr>
      </xdr:nvSpPr>
      <xdr:spPr>
        <a:xfrm>
          <a:off x="0" y="0"/>
          <a:ext cx="638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51" name="Text Box 78"/>
        <xdr:cNvSpPr txBox="1">
          <a:spLocks noChangeArrowheads="1"/>
        </xdr:cNvSpPr>
      </xdr:nvSpPr>
      <xdr:spPr>
        <a:xfrm>
          <a:off x="6381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247650</xdr:colOff>
      <xdr:row>3</xdr:row>
      <xdr:rowOff>28575</xdr:rowOff>
    </xdr:from>
    <xdr:to>
      <xdr:col>8</xdr:col>
      <xdr:colOff>123825</xdr:colOff>
      <xdr:row>4</xdr:row>
      <xdr:rowOff>390525</xdr:rowOff>
    </xdr:to>
    <xdr:pic>
      <xdr:nvPicPr>
        <xdr:cNvPr id="52" name="Picture 80" descr="LOGO"/>
        <xdr:cNvPicPr preferRelativeResize="1">
          <a:picLocks noChangeAspect="1"/>
        </xdr:cNvPicPr>
      </xdr:nvPicPr>
      <xdr:blipFill>
        <a:blip r:embed="rId1"/>
        <a:stretch>
          <a:fillRect/>
        </a:stretch>
      </xdr:blipFill>
      <xdr:spPr>
        <a:xfrm>
          <a:off x="3838575" y="1066800"/>
          <a:ext cx="208597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20(week%202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boxoffice-rapor.php" TargetMode="External" /><Relationship Id="rId2" Type="http://schemas.openxmlformats.org/officeDocument/2006/relationships/hyperlink" Target="http://www.antraktsinem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111"/>
  <sheetViews>
    <sheetView tabSelected="1" zoomScale="80" zoomScaleNormal="80" zoomScalePageLayoutView="0" workbookViewId="0" topLeftCell="A1">
      <pane xSplit="9" ySplit="11" topLeftCell="J12" activePane="bottomRight" state="frozen"/>
      <selection pane="topLeft" activeCell="A1" sqref="A1"/>
      <selection pane="topRight" activeCell="J1" sqref="J1"/>
      <selection pane="bottomLeft" activeCell="A12" sqref="A12"/>
      <selection pane="bottomRight" activeCell="A22" sqref="A22:IV22"/>
    </sheetView>
  </sheetViews>
  <sheetFormatPr defaultColWidth="4.421875" defaultRowHeight="12.75"/>
  <cols>
    <col min="1" max="1" width="4.00390625" style="159" bestFit="1" customWidth="1"/>
    <col min="2" max="2" width="4.28125" style="160" bestFit="1" customWidth="1"/>
    <col min="3" max="3" width="5.7109375" style="161" bestFit="1" customWidth="1"/>
    <col min="4" max="4" width="56.7109375" style="162" customWidth="1"/>
    <col min="5" max="5" width="10.140625" style="163" bestFit="1" customWidth="1"/>
    <col min="6" max="6" width="27.8515625" style="163" bestFit="1" customWidth="1"/>
    <col min="7" max="7" width="6.421875" style="163" bestFit="1" customWidth="1"/>
    <col min="8" max="8" width="8.8515625" style="164" customWidth="1"/>
    <col min="9" max="9" width="8.7109375" style="165" bestFit="1" customWidth="1"/>
    <col min="10" max="10" width="10.8515625" style="164" bestFit="1" customWidth="1"/>
    <col min="11" max="11" width="7.140625" style="165" bestFit="1" customWidth="1"/>
    <col min="12" max="12" width="10.8515625" style="164" bestFit="1" customWidth="1"/>
    <col min="13" max="13" width="7.140625" style="165" bestFit="1" customWidth="1"/>
    <col min="14" max="14" width="10.8515625" style="166" bestFit="1" customWidth="1"/>
    <col min="15" max="15" width="7.140625" style="167" bestFit="1" customWidth="1"/>
    <col min="16" max="16" width="12.421875" style="170" bestFit="1" customWidth="1"/>
    <col min="17" max="17" width="8.140625" style="168" bestFit="1" customWidth="1"/>
    <col min="18" max="18" width="11.28125" style="168" bestFit="1" customWidth="1"/>
    <col min="19" max="19" width="8.140625" style="170" bestFit="1" customWidth="1"/>
    <col min="20" max="20" width="12.421875" style="170" bestFit="1" customWidth="1"/>
    <col min="21" max="21" width="7.8515625" style="171" bestFit="1" customWidth="1"/>
    <col min="22" max="22" width="14.57421875" style="170" customWidth="1"/>
    <col min="23" max="23" width="14.57421875" style="408" customWidth="1"/>
    <col min="24" max="24" width="13.7109375" style="422" customWidth="1"/>
    <col min="25" max="25" width="9.421875" style="406" customWidth="1"/>
    <col min="26" max="26" width="12.7109375" style="467" customWidth="1"/>
    <col min="27" max="27" width="12.7109375" style="467" bestFit="1" customWidth="1"/>
    <col min="28" max="28" width="9.57421875" style="174" bestFit="1" customWidth="1"/>
    <col min="29" max="29" width="12.421875" style="424" customWidth="1"/>
    <col min="30" max="30" width="13.57421875" style="424" customWidth="1"/>
    <col min="31" max="31" width="12.28125" style="174" bestFit="1" customWidth="1"/>
    <col min="32" max="32" width="12.421875" style="424" customWidth="1"/>
    <col min="33" max="33" width="9.421875" style="162" customWidth="1"/>
    <col min="34" max="34" width="6.8515625" style="162" customWidth="1"/>
    <col min="35" max="35" width="8.421875" style="162" bestFit="1" customWidth="1"/>
    <col min="36" max="38" width="6.8515625" style="162" customWidth="1"/>
    <col min="39" max="16384" width="4.421875" style="162" customWidth="1"/>
  </cols>
  <sheetData>
    <row r="1" spans="1:33" s="56" customFormat="1" ht="49.5">
      <c r="A1" s="841" t="s">
        <v>358</v>
      </c>
      <c r="B1" s="842"/>
      <c r="C1" s="842"/>
      <c r="D1" s="842"/>
      <c r="E1" s="842"/>
      <c r="F1" s="842"/>
      <c r="G1" s="842"/>
      <c r="H1" s="842"/>
      <c r="I1" s="842"/>
      <c r="J1" s="410"/>
      <c r="K1" s="397"/>
      <c r="L1" s="410"/>
      <c r="M1" s="397"/>
      <c r="N1" s="410"/>
      <c r="O1" s="397"/>
      <c r="P1" s="410"/>
      <c r="Q1" s="397"/>
      <c r="R1" s="397"/>
      <c r="S1" s="410"/>
      <c r="T1" s="410"/>
      <c r="U1" s="455"/>
      <c r="V1" s="410"/>
      <c r="W1" s="397"/>
      <c r="X1" s="835" t="s">
        <v>340</v>
      </c>
      <c r="Y1" s="836"/>
      <c r="Z1" s="836"/>
      <c r="AA1" s="836"/>
      <c r="AB1" s="837"/>
      <c r="AC1" s="835" t="s">
        <v>341</v>
      </c>
      <c r="AD1" s="836"/>
      <c r="AE1" s="836"/>
      <c r="AF1" s="836"/>
      <c r="AG1" s="838"/>
    </row>
    <row r="2" spans="1:33" s="56" customFormat="1" ht="26.25">
      <c r="A2" s="843" t="s">
        <v>95</v>
      </c>
      <c r="B2" s="844"/>
      <c r="C2" s="844"/>
      <c r="D2" s="844"/>
      <c r="E2" s="844"/>
      <c r="F2" s="844"/>
      <c r="G2" s="844"/>
      <c r="H2" s="844"/>
      <c r="I2" s="844"/>
      <c r="J2" s="411"/>
      <c r="K2" s="398"/>
      <c r="L2" s="411"/>
      <c r="M2" s="398"/>
      <c r="N2" s="411"/>
      <c r="O2" s="398"/>
      <c r="P2" s="411"/>
      <c r="Q2" s="398"/>
      <c r="R2" s="398"/>
      <c r="S2" s="411"/>
      <c r="T2" s="411"/>
      <c r="U2" s="456"/>
      <c r="V2" s="411"/>
      <c r="W2" s="398"/>
      <c r="X2" s="418" t="s">
        <v>334</v>
      </c>
      <c r="Y2" s="407" t="s">
        <v>150</v>
      </c>
      <c r="Z2" s="465" t="s">
        <v>151</v>
      </c>
      <c r="AA2" s="465" t="s">
        <v>336</v>
      </c>
      <c r="AB2" s="536" t="s">
        <v>337</v>
      </c>
      <c r="AC2" s="418" t="s">
        <v>335</v>
      </c>
      <c r="AD2" s="423" t="s">
        <v>152</v>
      </c>
      <c r="AE2" s="407" t="s">
        <v>151</v>
      </c>
      <c r="AF2" s="423" t="s">
        <v>356</v>
      </c>
      <c r="AG2" s="58" t="s">
        <v>357</v>
      </c>
    </row>
    <row r="3" spans="1:33" s="56" customFormat="1" ht="27" thickBot="1">
      <c r="A3" s="845" t="s">
        <v>154</v>
      </c>
      <c r="B3" s="846"/>
      <c r="C3" s="846"/>
      <c r="D3" s="846"/>
      <c r="E3" s="846"/>
      <c r="F3" s="846"/>
      <c r="G3" s="846"/>
      <c r="H3" s="846"/>
      <c r="I3" s="846"/>
      <c r="J3" s="412"/>
      <c r="K3" s="399"/>
      <c r="L3" s="412"/>
      <c r="M3" s="399"/>
      <c r="N3" s="412"/>
      <c r="O3" s="399"/>
      <c r="P3" s="412"/>
      <c r="Q3" s="399"/>
      <c r="R3" s="399"/>
      <c r="S3" s="412"/>
      <c r="T3" s="412"/>
      <c r="U3" s="457"/>
      <c r="V3" s="412"/>
      <c r="W3" s="399"/>
      <c r="X3" s="385">
        <v>204017662.65</v>
      </c>
      <c r="Y3" s="386">
        <v>22744151</v>
      </c>
      <c r="Z3" s="388">
        <v>8.97</v>
      </c>
      <c r="AA3" s="535">
        <v>123823024.1</v>
      </c>
      <c r="AB3" s="537">
        <v>14723246</v>
      </c>
      <c r="AC3" s="385">
        <v>199492949.04</v>
      </c>
      <c r="AD3" s="386">
        <v>20730668</v>
      </c>
      <c r="AE3" s="388">
        <v>9.62</v>
      </c>
      <c r="AF3" s="387">
        <v>119012286.3</v>
      </c>
      <c r="AG3" s="389">
        <v>13481502</v>
      </c>
    </row>
    <row r="4" spans="1:33" s="56" customFormat="1" ht="33" thickBot="1">
      <c r="A4" s="847" t="s">
        <v>338</v>
      </c>
      <c r="B4" s="848"/>
      <c r="C4" s="848"/>
      <c r="D4" s="848"/>
      <c r="E4" s="848"/>
      <c r="F4" s="60"/>
      <c r="G4" s="60"/>
      <c r="H4" s="60"/>
      <c r="I4" s="60"/>
      <c r="J4" s="413"/>
      <c r="K4" s="400"/>
      <c r="L4" s="413"/>
      <c r="M4" s="400"/>
      <c r="N4" s="413"/>
      <c r="O4" s="400"/>
      <c r="P4" s="413"/>
      <c r="Q4" s="400"/>
      <c r="R4" s="400"/>
      <c r="S4" s="413"/>
      <c r="T4" s="413"/>
      <c r="U4" s="458"/>
      <c r="V4" s="413"/>
      <c r="W4" s="400"/>
      <c r="X4" s="839" t="s">
        <v>155</v>
      </c>
      <c r="Y4" s="840"/>
      <c r="Z4" s="840"/>
      <c r="AA4" s="840"/>
      <c r="AB4" s="840"/>
      <c r="AC4" s="538">
        <v>6</v>
      </c>
      <c r="AD4" s="539">
        <v>6</v>
      </c>
      <c r="AE4" s="409">
        <v>5</v>
      </c>
      <c r="AF4" s="539">
        <v>6</v>
      </c>
      <c r="AG4" s="61">
        <v>6</v>
      </c>
    </row>
    <row r="5" spans="1:33" s="56" customFormat="1" ht="33" thickBot="1">
      <c r="A5" s="833" t="s">
        <v>339</v>
      </c>
      <c r="B5" s="834"/>
      <c r="C5" s="834"/>
      <c r="D5" s="834"/>
      <c r="E5" s="834"/>
      <c r="F5" s="62"/>
      <c r="G5" s="62"/>
      <c r="H5" s="62"/>
      <c r="I5" s="62"/>
      <c r="J5" s="414"/>
      <c r="K5" s="401"/>
      <c r="L5" s="414"/>
      <c r="M5" s="401"/>
      <c r="N5" s="414"/>
      <c r="O5" s="401"/>
      <c r="P5" s="414"/>
      <c r="Q5" s="401"/>
      <c r="R5" s="401"/>
      <c r="S5" s="414"/>
      <c r="T5" s="414"/>
      <c r="U5" s="459"/>
      <c r="V5" s="414"/>
      <c r="W5" s="401"/>
      <c r="X5" s="849" t="s">
        <v>153</v>
      </c>
      <c r="Y5" s="850"/>
      <c r="Z5" s="850"/>
      <c r="AA5" s="850"/>
      <c r="AB5" s="850"/>
      <c r="AC5" s="850"/>
      <c r="AD5" s="850"/>
      <c r="AE5" s="850"/>
      <c r="AF5" s="850"/>
      <c r="AG5" s="850"/>
    </row>
    <row r="6" spans="1:33" s="65" customFormat="1" ht="15.75" thickBot="1">
      <c r="A6" s="63"/>
      <c r="B6" s="64"/>
      <c r="C6" s="64"/>
      <c r="D6" s="818" t="s">
        <v>130</v>
      </c>
      <c r="E6" s="818"/>
      <c r="F6" s="818"/>
      <c r="G6" s="818"/>
      <c r="H6" s="818" t="s">
        <v>129</v>
      </c>
      <c r="I6" s="818"/>
      <c r="J6" s="818" t="s">
        <v>126</v>
      </c>
      <c r="K6" s="818"/>
      <c r="L6" s="818"/>
      <c r="M6" s="818"/>
      <c r="N6" s="818"/>
      <c r="O6" s="818"/>
      <c r="P6" s="818"/>
      <c r="Q6" s="818"/>
      <c r="R6" s="818"/>
      <c r="S6" s="818"/>
      <c r="T6" s="818"/>
      <c r="U6" s="818"/>
      <c r="V6" s="818" t="s">
        <v>127</v>
      </c>
      <c r="W6" s="818"/>
      <c r="X6" s="818" t="s">
        <v>132</v>
      </c>
      <c r="Y6" s="818"/>
      <c r="Z6" s="818" t="s">
        <v>131</v>
      </c>
      <c r="AA6" s="818"/>
      <c r="AB6" s="818" t="s">
        <v>136</v>
      </c>
      <c r="AC6" s="818"/>
      <c r="AD6" s="818" t="s">
        <v>128</v>
      </c>
      <c r="AE6" s="818"/>
      <c r="AF6" s="818"/>
      <c r="AG6" s="818"/>
    </row>
    <row r="7" spans="1:33" s="69" customFormat="1" ht="12.75">
      <c r="A7" s="66"/>
      <c r="B7" s="67"/>
      <c r="C7" s="67"/>
      <c r="D7" s="1"/>
      <c r="E7" s="68" t="s">
        <v>99</v>
      </c>
      <c r="F7" s="1"/>
      <c r="G7" s="1" t="s">
        <v>102</v>
      </c>
      <c r="H7" s="1" t="s">
        <v>102</v>
      </c>
      <c r="I7" s="1" t="s">
        <v>104</v>
      </c>
      <c r="J7" s="831" t="s">
        <v>2</v>
      </c>
      <c r="K7" s="832"/>
      <c r="L7" s="831" t="s">
        <v>3</v>
      </c>
      <c r="M7" s="832"/>
      <c r="N7" s="831" t="s">
        <v>4</v>
      </c>
      <c r="O7" s="832"/>
      <c r="P7" s="816" t="s">
        <v>11</v>
      </c>
      <c r="Q7" s="816"/>
      <c r="R7" s="816" t="s">
        <v>114</v>
      </c>
      <c r="S7" s="816"/>
      <c r="T7" s="816" t="s">
        <v>0</v>
      </c>
      <c r="U7" s="816"/>
      <c r="V7" s="816"/>
      <c r="W7" s="816"/>
      <c r="X7" s="819"/>
      <c r="Y7" s="819"/>
      <c r="Z7" s="816" t="s">
        <v>125</v>
      </c>
      <c r="AA7" s="816"/>
      <c r="AB7" s="816" t="s">
        <v>137</v>
      </c>
      <c r="AC7" s="816"/>
      <c r="AD7" s="816"/>
      <c r="AE7" s="816"/>
      <c r="AF7" s="426" t="s">
        <v>114</v>
      </c>
      <c r="AG7" s="67"/>
    </row>
    <row r="8" spans="1:33" s="69" customFormat="1" ht="13.5" thickBot="1">
      <c r="A8" s="70"/>
      <c r="B8" s="71"/>
      <c r="C8" s="71"/>
      <c r="D8" s="72" t="s">
        <v>9</v>
      </c>
      <c r="E8" s="73" t="s">
        <v>100</v>
      </c>
      <c r="F8" s="74" t="s">
        <v>1</v>
      </c>
      <c r="G8" s="74" t="s">
        <v>101</v>
      </c>
      <c r="H8" s="74" t="s">
        <v>103</v>
      </c>
      <c r="I8" s="74" t="s">
        <v>99</v>
      </c>
      <c r="J8" s="415" t="s">
        <v>7</v>
      </c>
      <c r="K8" s="76" t="s">
        <v>6</v>
      </c>
      <c r="L8" s="415" t="s">
        <v>7</v>
      </c>
      <c r="M8" s="76" t="s">
        <v>6</v>
      </c>
      <c r="N8" s="415" t="s">
        <v>7</v>
      </c>
      <c r="O8" s="76" t="s">
        <v>6</v>
      </c>
      <c r="P8" s="415" t="s">
        <v>7</v>
      </c>
      <c r="Q8" s="76" t="s">
        <v>6</v>
      </c>
      <c r="R8" s="76" t="s">
        <v>133</v>
      </c>
      <c r="S8" s="415" t="s">
        <v>115</v>
      </c>
      <c r="T8" s="415" t="s">
        <v>7</v>
      </c>
      <c r="U8" s="460" t="s">
        <v>5</v>
      </c>
      <c r="V8" s="415" t="s">
        <v>7</v>
      </c>
      <c r="W8" s="76" t="s">
        <v>6</v>
      </c>
      <c r="X8" s="419" t="s">
        <v>7</v>
      </c>
      <c r="Y8" s="403" t="s">
        <v>6</v>
      </c>
      <c r="Z8" s="460" t="s">
        <v>6</v>
      </c>
      <c r="AA8" s="460" t="s">
        <v>6</v>
      </c>
      <c r="AB8" s="76" t="s">
        <v>6</v>
      </c>
      <c r="AC8" s="415" t="s">
        <v>115</v>
      </c>
      <c r="AD8" s="415" t="s">
        <v>7</v>
      </c>
      <c r="AE8" s="76" t="s">
        <v>6</v>
      </c>
      <c r="AF8" s="415" t="s">
        <v>115</v>
      </c>
      <c r="AG8" s="71"/>
    </row>
    <row r="9" spans="1:33" s="83" customFormat="1" ht="12.75">
      <c r="A9" s="78"/>
      <c r="B9" s="78"/>
      <c r="C9" s="78"/>
      <c r="D9" s="78"/>
      <c r="E9" s="79" t="s">
        <v>106</v>
      </c>
      <c r="F9" s="78"/>
      <c r="G9" s="78" t="s">
        <v>109</v>
      </c>
      <c r="H9" s="78" t="s">
        <v>111</v>
      </c>
      <c r="I9" s="78" t="s">
        <v>112</v>
      </c>
      <c r="J9" s="820" t="s">
        <v>116</v>
      </c>
      <c r="K9" s="821"/>
      <c r="L9" s="820" t="s">
        <v>117</v>
      </c>
      <c r="M9" s="821"/>
      <c r="N9" s="820" t="s">
        <v>118</v>
      </c>
      <c r="O9" s="821"/>
      <c r="P9" s="817" t="s">
        <v>134</v>
      </c>
      <c r="Q9" s="817"/>
      <c r="R9" s="817" t="s">
        <v>120</v>
      </c>
      <c r="S9" s="817"/>
      <c r="T9" s="817" t="s">
        <v>135</v>
      </c>
      <c r="U9" s="817"/>
      <c r="V9" s="416"/>
      <c r="W9" s="402"/>
      <c r="X9" s="420"/>
      <c r="Y9" s="404"/>
      <c r="Z9" s="817" t="s">
        <v>124</v>
      </c>
      <c r="AA9" s="817"/>
      <c r="AB9" s="817" t="s">
        <v>138</v>
      </c>
      <c r="AC9" s="817"/>
      <c r="AD9" s="416"/>
      <c r="AE9" s="402"/>
      <c r="AF9" s="427" t="s">
        <v>120</v>
      </c>
      <c r="AG9" s="80"/>
    </row>
    <row r="10" spans="1:33" s="83" customFormat="1" ht="13.5" thickBot="1">
      <c r="A10" s="84"/>
      <c r="B10" s="85"/>
      <c r="C10" s="84"/>
      <c r="D10" s="85" t="s">
        <v>105</v>
      </c>
      <c r="E10" s="86" t="s">
        <v>107</v>
      </c>
      <c r="F10" s="84" t="s">
        <v>108</v>
      </c>
      <c r="G10" s="84" t="s">
        <v>110</v>
      </c>
      <c r="H10" s="84" t="s">
        <v>110</v>
      </c>
      <c r="I10" s="84" t="s">
        <v>113</v>
      </c>
      <c r="J10" s="665" t="s">
        <v>122</v>
      </c>
      <c r="K10" s="89" t="s">
        <v>119</v>
      </c>
      <c r="L10" s="665" t="s">
        <v>122</v>
      </c>
      <c r="M10" s="89" t="s">
        <v>119</v>
      </c>
      <c r="N10" s="665" t="s">
        <v>122</v>
      </c>
      <c r="O10" s="89" t="s">
        <v>119</v>
      </c>
      <c r="P10" s="665" t="s">
        <v>122</v>
      </c>
      <c r="Q10" s="89" t="s">
        <v>119</v>
      </c>
      <c r="R10" s="89" t="s">
        <v>119</v>
      </c>
      <c r="S10" s="665" t="s">
        <v>121</v>
      </c>
      <c r="T10" s="665" t="s">
        <v>122</v>
      </c>
      <c r="U10" s="666" t="s">
        <v>123</v>
      </c>
      <c r="V10" s="665" t="s">
        <v>122</v>
      </c>
      <c r="W10" s="89" t="s">
        <v>119</v>
      </c>
      <c r="X10" s="667" t="s">
        <v>122</v>
      </c>
      <c r="Y10" s="668" t="s">
        <v>119</v>
      </c>
      <c r="Z10" s="666" t="s">
        <v>119</v>
      </c>
      <c r="AA10" s="666" t="s">
        <v>119</v>
      </c>
      <c r="AB10" s="89" t="s">
        <v>119</v>
      </c>
      <c r="AC10" s="665" t="s">
        <v>121</v>
      </c>
      <c r="AD10" s="665" t="s">
        <v>119</v>
      </c>
      <c r="AE10" s="89" t="s">
        <v>121</v>
      </c>
      <c r="AF10" s="665" t="s">
        <v>121</v>
      </c>
      <c r="AG10" s="84"/>
    </row>
    <row r="11" spans="1:33" s="95" customFormat="1" ht="12.75" customHeight="1">
      <c r="A11" s="643">
        <v>1</v>
      </c>
      <c r="B11" s="644"/>
      <c r="C11" s="645"/>
      <c r="D11" s="646" t="s">
        <v>74</v>
      </c>
      <c r="E11" s="647">
        <v>40682</v>
      </c>
      <c r="F11" s="648" t="s">
        <v>24</v>
      </c>
      <c r="G11" s="649">
        <v>115</v>
      </c>
      <c r="H11" s="649">
        <v>428</v>
      </c>
      <c r="I11" s="650">
        <v>3</v>
      </c>
      <c r="J11" s="651">
        <v>246066</v>
      </c>
      <c r="K11" s="652">
        <v>20670</v>
      </c>
      <c r="L11" s="651">
        <v>462327</v>
      </c>
      <c r="M11" s="652">
        <v>36595</v>
      </c>
      <c r="N11" s="651">
        <v>380006</v>
      </c>
      <c r="O11" s="652">
        <v>31324</v>
      </c>
      <c r="P11" s="653">
        <f>SUM(J11+L11+N11)</f>
        <v>1088399</v>
      </c>
      <c r="Q11" s="654">
        <f>SUM(K11+M11+O11)</f>
        <v>88589</v>
      </c>
      <c r="R11" s="655">
        <f aca="true" t="shared" si="0" ref="R11:R25">IF(P11&lt;&gt;0,Q11/H11,"")</f>
        <v>206.9836448598131</v>
      </c>
      <c r="S11" s="656">
        <f>+P11/Q11</f>
        <v>12.285938434794387</v>
      </c>
      <c r="T11" s="657">
        <v>1906377</v>
      </c>
      <c r="U11" s="658">
        <f aca="true" t="shared" si="1" ref="U11:U25">IF(T11&lt;&gt;0,-(T11-P11)/T11,"")</f>
        <v>-0.4290746268969884</v>
      </c>
      <c r="V11" s="659">
        <f aca="true" t="shared" si="2" ref="V11:V42">X11-P11</f>
        <v>639008</v>
      </c>
      <c r="W11" s="660">
        <f aca="true" t="shared" si="3" ref="W11:W42">Y11-Q11</f>
        <v>63718</v>
      </c>
      <c r="X11" s="669">
        <v>1727407</v>
      </c>
      <c r="Y11" s="670">
        <v>152307</v>
      </c>
      <c r="Z11" s="662">
        <f aca="true" t="shared" si="4" ref="Z11:Z42">Q11*1/Y11</f>
        <v>0.5816475933476465</v>
      </c>
      <c r="AA11" s="662">
        <f aca="true" t="shared" si="5" ref="AA11:AA42">W11*1/Y11</f>
        <v>0.41835240665235346</v>
      </c>
      <c r="AB11" s="660">
        <f aca="true" t="shared" si="6" ref="AB11:AB42">Y11/H11</f>
        <v>355.85747663551405</v>
      </c>
      <c r="AC11" s="659">
        <f aca="true" t="shared" si="7" ref="AC11:AC42">X11/Y11</f>
        <v>11.341612663895948</v>
      </c>
      <c r="AD11" s="661">
        <v>10032693</v>
      </c>
      <c r="AE11" s="663">
        <v>858362</v>
      </c>
      <c r="AF11" s="664">
        <f>+AD11/AE11</f>
        <v>11.688184006281732</v>
      </c>
      <c r="AG11" s="540">
        <v>1</v>
      </c>
    </row>
    <row r="12" spans="1:33" s="95" customFormat="1" ht="12.75" customHeight="1">
      <c r="A12" s="642">
        <v>2</v>
      </c>
      <c r="B12" s="554" t="s">
        <v>97</v>
      </c>
      <c r="C12" s="555"/>
      <c r="D12" s="432" t="s">
        <v>346</v>
      </c>
      <c r="E12" s="556">
        <v>40697</v>
      </c>
      <c r="F12" s="432" t="s">
        <v>10</v>
      </c>
      <c r="G12" s="434">
        <v>101</v>
      </c>
      <c r="H12" s="434">
        <v>144</v>
      </c>
      <c r="I12" s="4">
        <v>1</v>
      </c>
      <c r="J12" s="557">
        <v>205722</v>
      </c>
      <c r="K12" s="558">
        <v>17085</v>
      </c>
      <c r="L12" s="557">
        <v>251541</v>
      </c>
      <c r="M12" s="558">
        <v>20594</v>
      </c>
      <c r="N12" s="557">
        <v>220244</v>
      </c>
      <c r="O12" s="558">
        <v>17739</v>
      </c>
      <c r="P12" s="559">
        <f>+J12+L12+N12</f>
        <v>677507</v>
      </c>
      <c r="Q12" s="560">
        <f>+K12+M12+O12</f>
        <v>55418</v>
      </c>
      <c r="R12" s="561">
        <f t="shared" si="0"/>
        <v>384.84722222222223</v>
      </c>
      <c r="S12" s="562">
        <f>IF(P12&lt;&gt;0,P12/Q12,"")</f>
        <v>12.225396080695802</v>
      </c>
      <c r="T12" s="563"/>
      <c r="U12" s="564">
        <f t="shared" si="1"/>
      </c>
      <c r="V12" s="451">
        <f t="shared" si="2"/>
        <v>445068</v>
      </c>
      <c r="W12" s="284">
        <f t="shared" si="3"/>
        <v>47492</v>
      </c>
      <c r="X12" s="671">
        <v>1122575</v>
      </c>
      <c r="Y12" s="672">
        <v>102910</v>
      </c>
      <c r="Z12" s="462">
        <f t="shared" si="4"/>
        <v>0.5385093771256437</v>
      </c>
      <c r="AA12" s="462">
        <f t="shared" si="5"/>
        <v>0.4614906228743562</v>
      </c>
      <c r="AB12" s="284">
        <f t="shared" si="6"/>
        <v>714.6527777777778</v>
      </c>
      <c r="AC12" s="451">
        <f t="shared" si="7"/>
        <v>10.90831794772131</v>
      </c>
      <c r="AD12" s="42">
        <v>1126764</v>
      </c>
      <c r="AE12" s="47">
        <v>103130</v>
      </c>
      <c r="AF12" s="110">
        <f>AD12/AE12</f>
        <v>10.925666634345001</v>
      </c>
      <c r="AG12" s="395">
        <v>2</v>
      </c>
    </row>
    <row r="13" spans="1:33" s="95" customFormat="1" ht="12.75" customHeight="1">
      <c r="A13" s="642">
        <v>3</v>
      </c>
      <c r="B13" s="554" t="s">
        <v>97</v>
      </c>
      <c r="C13" s="555"/>
      <c r="D13" s="565" t="s">
        <v>347</v>
      </c>
      <c r="E13" s="556">
        <v>40697</v>
      </c>
      <c r="F13" s="432" t="s">
        <v>36</v>
      </c>
      <c r="G13" s="566">
        <v>111</v>
      </c>
      <c r="H13" s="567">
        <v>167</v>
      </c>
      <c r="I13" s="568">
        <v>1</v>
      </c>
      <c r="J13" s="569">
        <v>128719.5</v>
      </c>
      <c r="K13" s="570">
        <v>11527</v>
      </c>
      <c r="L13" s="569">
        <v>200187.5</v>
      </c>
      <c r="M13" s="570">
        <v>17576</v>
      </c>
      <c r="N13" s="569">
        <v>175465.5</v>
      </c>
      <c r="O13" s="570">
        <v>15521</v>
      </c>
      <c r="P13" s="559">
        <f aca="true" t="shared" si="8" ref="P13:Q15">SUM(J13+L13+N13)</f>
        <v>504372.5</v>
      </c>
      <c r="Q13" s="560">
        <f t="shared" si="8"/>
        <v>44624</v>
      </c>
      <c r="R13" s="561">
        <f t="shared" si="0"/>
        <v>267.20958083832335</v>
      </c>
      <c r="S13" s="562">
        <f>+P13/Q13</f>
        <v>11.302718268196486</v>
      </c>
      <c r="T13" s="563"/>
      <c r="U13" s="564">
        <f t="shared" si="1"/>
      </c>
      <c r="V13" s="451">
        <f t="shared" si="2"/>
        <v>308416.5</v>
      </c>
      <c r="W13" s="284">
        <f t="shared" si="3"/>
        <v>34647</v>
      </c>
      <c r="X13" s="673">
        <v>812789</v>
      </c>
      <c r="Y13" s="674">
        <v>79271</v>
      </c>
      <c r="Z13" s="462">
        <f t="shared" si="4"/>
        <v>0.562929696862661</v>
      </c>
      <c r="AA13" s="462">
        <f t="shared" si="5"/>
        <v>0.437070303137339</v>
      </c>
      <c r="AB13" s="284">
        <f t="shared" si="6"/>
        <v>474.67664670658684</v>
      </c>
      <c r="AC13" s="451">
        <f t="shared" si="7"/>
        <v>10.253295656671419</v>
      </c>
      <c r="AD13" s="9">
        <f>1292+812789</f>
        <v>814081</v>
      </c>
      <c r="AE13" s="8">
        <f>124+79271</f>
        <v>79395</v>
      </c>
      <c r="AF13" s="107">
        <f>+AD13/AE13</f>
        <v>10.25355500976132</v>
      </c>
      <c r="AG13" s="395">
        <v>3</v>
      </c>
    </row>
    <row r="14" spans="1:33" s="95" customFormat="1" ht="12.75" customHeight="1">
      <c r="A14" s="642">
        <v>4</v>
      </c>
      <c r="B14" s="554" t="s">
        <v>97</v>
      </c>
      <c r="C14" s="555"/>
      <c r="D14" s="565" t="s">
        <v>348</v>
      </c>
      <c r="E14" s="556">
        <v>40697</v>
      </c>
      <c r="F14" s="432" t="s">
        <v>36</v>
      </c>
      <c r="G14" s="566">
        <v>71</v>
      </c>
      <c r="H14" s="567">
        <v>107</v>
      </c>
      <c r="I14" s="568">
        <v>1</v>
      </c>
      <c r="J14" s="569">
        <v>19887.5</v>
      </c>
      <c r="K14" s="570">
        <v>2084</v>
      </c>
      <c r="L14" s="569">
        <v>63576</v>
      </c>
      <c r="M14" s="570">
        <v>5881</v>
      </c>
      <c r="N14" s="569">
        <v>55927</v>
      </c>
      <c r="O14" s="570">
        <v>5198</v>
      </c>
      <c r="P14" s="559">
        <f t="shared" si="8"/>
        <v>139390.5</v>
      </c>
      <c r="Q14" s="560">
        <f t="shared" si="8"/>
        <v>13163</v>
      </c>
      <c r="R14" s="561">
        <f t="shared" si="0"/>
        <v>123.01869158878505</v>
      </c>
      <c r="S14" s="571">
        <f>P14/Q14</f>
        <v>10.589569247132113</v>
      </c>
      <c r="T14" s="563"/>
      <c r="U14" s="564">
        <f t="shared" si="1"/>
      </c>
      <c r="V14" s="451">
        <f t="shared" si="2"/>
        <v>64628</v>
      </c>
      <c r="W14" s="284">
        <f t="shared" si="3"/>
        <v>7752</v>
      </c>
      <c r="X14" s="673">
        <v>204018.5</v>
      </c>
      <c r="Y14" s="674">
        <v>20915</v>
      </c>
      <c r="Z14" s="462">
        <f t="shared" si="4"/>
        <v>0.6293569208701889</v>
      </c>
      <c r="AA14" s="462">
        <f t="shared" si="5"/>
        <v>0.37064307912981115</v>
      </c>
      <c r="AB14" s="284">
        <f t="shared" si="6"/>
        <v>195.46728971962617</v>
      </c>
      <c r="AC14" s="451">
        <f t="shared" si="7"/>
        <v>9.75464977289027</v>
      </c>
      <c r="AD14" s="9">
        <f>204018.5</f>
        <v>204018.5</v>
      </c>
      <c r="AE14" s="8">
        <f>20915</f>
        <v>20915</v>
      </c>
      <c r="AF14" s="110">
        <f>AD14/AE14</f>
        <v>9.75464977289027</v>
      </c>
      <c r="AG14" s="395">
        <v>4</v>
      </c>
    </row>
    <row r="15" spans="1:33" s="95" customFormat="1" ht="12.75" customHeight="1">
      <c r="A15" s="642">
        <v>5</v>
      </c>
      <c r="B15" s="572"/>
      <c r="C15" s="555"/>
      <c r="D15" s="430" t="s">
        <v>59</v>
      </c>
      <c r="E15" s="431">
        <v>40662</v>
      </c>
      <c r="F15" s="432" t="s">
        <v>24</v>
      </c>
      <c r="G15" s="434">
        <v>172</v>
      </c>
      <c r="H15" s="434">
        <v>171</v>
      </c>
      <c r="I15" s="573">
        <v>6</v>
      </c>
      <c r="J15" s="574">
        <v>22965</v>
      </c>
      <c r="K15" s="575">
        <v>3027</v>
      </c>
      <c r="L15" s="574">
        <v>39606</v>
      </c>
      <c r="M15" s="575">
        <v>5138</v>
      </c>
      <c r="N15" s="574">
        <v>39412</v>
      </c>
      <c r="O15" s="575">
        <v>4960</v>
      </c>
      <c r="P15" s="559">
        <f t="shared" si="8"/>
        <v>101983</v>
      </c>
      <c r="Q15" s="560">
        <f t="shared" si="8"/>
        <v>13125</v>
      </c>
      <c r="R15" s="561">
        <f t="shared" si="0"/>
        <v>76.75438596491227</v>
      </c>
      <c r="S15" s="562">
        <f>+P15/Q15</f>
        <v>7.770133333333333</v>
      </c>
      <c r="T15" s="563">
        <v>238287</v>
      </c>
      <c r="U15" s="564">
        <f t="shared" si="1"/>
        <v>-0.572016098234482</v>
      </c>
      <c r="V15" s="451">
        <f t="shared" si="2"/>
        <v>99597</v>
      </c>
      <c r="W15" s="284">
        <f t="shared" si="3"/>
        <v>14443</v>
      </c>
      <c r="X15" s="675">
        <v>201580</v>
      </c>
      <c r="Y15" s="676">
        <v>27568</v>
      </c>
      <c r="Z15" s="462">
        <f t="shared" si="4"/>
        <v>0.476095473012188</v>
      </c>
      <c r="AA15" s="462">
        <f t="shared" si="5"/>
        <v>0.523904526987812</v>
      </c>
      <c r="AB15" s="284">
        <f t="shared" si="6"/>
        <v>161.21637426900585</v>
      </c>
      <c r="AC15" s="451">
        <f t="shared" si="7"/>
        <v>7.31210098665119</v>
      </c>
      <c r="AD15" s="242">
        <v>5851867</v>
      </c>
      <c r="AE15" s="240">
        <v>638749</v>
      </c>
      <c r="AF15" s="107">
        <f>+AD15/AE15</f>
        <v>9.161449959217157</v>
      </c>
      <c r="AG15" s="395">
        <v>5</v>
      </c>
    </row>
    <row r="16" spans="1:33" s="95" customFormat="1" ht="12.75" customHeight="1">
      <c r="A16" s="642">
        <v>6</v>
      </c>
      <c r="B16" s="576"/>
      <c r="C16" s="555"/>
      <c r="D16" s="432" t="s">
        <v>327</v>
      </c>
      <c r="E16" s="431">
        <v>40690</v>
      </c>
      <c r="F16" s="432" t="s">
        <v>10</v>
      </c>
      <c r="G16" s="434">
        <v>65</v>
      </c>
      <c r="H16" s="434">
        <v>65</v>
      </c>
      <c r="I16" s="4">
        <v>2</v>
      </c>
      <c r="J16" s="557">
        <v>26299</v>
      </c>
      <c r="K16" s="558">
        <v>2444</v>
      </c>
      <c r="L16" s="557">
        <v>43218</v>
      </c>
      <c r="M16" s="558">
        <v>3874</v>
      </c>
      <c r="N16" s="557">
        <v>36833</v>
      </c>
      <c r="O16" s="558">
        <v>3264</v>
      </c>
      <c r="P16" s="559">
        <f>+J16+L16+N16</f>
        <v>106350</v>
      </c>
      <c r="Q16" s="560">
        <f>+K16+M16+O16</f>
        <v>9582</v>
      </c>
      <c r="R16" s="561">
        <f t="shared" si="0"/>
        <v>147.41538461538462</v>
      </c>
      <c r="S16" s="562">
        <f>IF(P16&lt;&gt;0,P16/Q16,"")</f>
        <v>11.098935504070132</v>
      </c>
      <c r="T16" s="563">
        <v>192232</v>
      </c>
      <c r="U16" s="564">
        <f t="shared" si="1"/>
        <v>-0.446762245619876</v>
      </c>
      <c r="V16" s="451">
        <f t="shared" si="2"/>
        <v>82461</v>
      </c>
      <c r="W16" s="284">
        <f t="shared" si="3"/>
        <v>9336</v>
      </c>
      <c r="X16" s="671">
        <v>188811</v>
      </c>
      <c r="Y16" s="672">
        <v>18918</v>
      </c>
      <c r="Z16" s="462">
        <f t="shared" si="4"/>
        <v>0.5065017443704408</v>
      </c>
      <c r="AA16" s="462">
        <f t="shared" si="5"/>
        <v>0.4934982556295591</v>
      </c>
      <c r="AB16" s="284">
        <f t="shared" si="6"/>
        <v>291.04615384615386</v>
      </c>
      <c r="AC16" s="451">
        <f t="shared" si="7"/>
        <v>9.980494766888677</v>
      </c>
      <c r="AD16" s="42">
        <v>478523</v>
      </c>
      <c r="AE16" s="47">
        <v>45743</v>
      </c>
      <c r="AF16" s="128">
        <f>+AD16/AE16</f>
        <v>10.461119734166976</v>
      </c>
      <c r="AG16" s="395">
        <v>6</v>
      </c>
    </row>
    <row r="17" spans="1:33" s="95" customFormat="1" ht="12.75" customHeight="1">
      <c r="A17" s="642">
        <v>7</v>
      </c>
      <c r="B17" s="554" t="s">
        <v>97</v>
      </c>
      <c r="C17" s="555"/>
      <c r="D17" s="430" t="s">
        <v>349</v>
      </c>
      <c r="E17" s="556">
        <v>40697</v>
      </c>
      <c r="F17" s="432" t="s">
        <v>24</v>
      </c>
      <c r="G17" s="434">
        <v>20</v>
      </c>
      <c r="H17" s="434">
        <v>20</v>
      </c>
      <c r="I17" s="573">
        <v>1</v>
      </c>
      <c r="J17" s="574">
        <v>15899</v>
      </c>
      <c r="K17" s="575">
        <v>1224</v>
      </c>
      <c r="L17" s="574">
        <v>27279</v>
      </c>
      <c r="M17" s="575">
        <v>2076</v>
      </c>
      <c r="N17" s="574">
        <v>28194</v>
      </c>
      <c r="O17" s="575">
        <v>2135</v>
      </c>
      <c r="P17" s="559">
        <f aca="true" t="shared" si="9" ref="P17:Q20">SUM(J17+L17+N17)</f>
        <v>71372</v>
      </c>
      <c r="Q17" s="560">
        <f t="shared" si="9"/>
        <v>5435</v>
      </c>
      <c r="R17" s="561">
        <f t="shared" si="0"/>
        <v>271.75</v>
      </c>
      <c r="S17" s="562">
        <f>+P17/Q17</f>
        <v>13.131922723091076</v>
      </c>
      <c r="T17" s="563"/>
      <c r="U17" s="564">
        <f t="shared" si="1"/>
      </c>
      <c r="V17" s="451">
        <f t="shared" si="2"/>
        <v>53466</v>
      </c>
      <c r="W17" s="284">
        <f t="shared" si="3"/>
        <v>4978</v>
      </c>
      <c r="X17" s="675">
        <v>124838</v>
      </c>
      <c r="Y17" s="676">
        <v>10413</v>
      </c>
      <c r="Z17" s="462">
        <f t="shared" si="4"/>
        <v>0.5219437241909152</v>
      </c>
      <c r="AA17" s="462">
        <f t="shared" si="5"/>
        <v>0.4780562758090848</v>
      </c>
      <c r="AB17" s="284">
        <f t="shared" si="6"/>
        <v>520.65</v>
      </c>
      <c r="AC17" s="451">
        <f t="shared" si="7"/>
        <v>11.988668011139922</v>
      </c>
      <c r="AD17" s="242">
        <v>124838</v>
      </c>
      <c r="AE17" s="240">
        <v>10413</v>
      </c>
      <c r="AF17" s="110">
        <f>AD17/AE17</f>
        <v>11.988668011139922</v>
      </c>
      <c r="AG17" s="395">
        <v>7</v>
      </c>
    </row>
    <row r="18" spans="1:33" s="95" customFormat="1" ht="12.75" customHeight="1">
      <c r="A18" s="642">
        <v>8</v>
      </c>
      <c r="B18" s="577"/>
      <c r="C18" s="555"/>
      <c r="D18" s="430" t="s">
        <v>67</v>
      </c>
      <c r="E18" s="431">
        <v>40676</v>
      </c>
      <c r="F18" s="432" t="s">
        <v>24</v>
      </c>
      <c r="G18" s="434">
        <v>100</v>
      </c>
      <c r="H18" s="434">
        <v>101</v>
      </c>
      <c r="I18" s="573">
        <v>4</v>
      </c>
      <c r="J18" s="574">
        <v>6259</v>
      </c>
      <c r="K18" s="575">
        <v>748</v>
      </c>
      <c r="L18" s="574">
        <v>19565</v>
      </c>
      <c r="M18" s="575">
        <v>2081</v>
      </c>
      <c r="N18" s="574">
        <v>15023</v>
      </c>
      <c r="O18" s="575">
        <v>1931</v>
      </c>
      <c r="P18" s="559">
        <f t="shared" si="9"/>
        <v>40847</v>
      </c>
      <c r="Q18" s="560">
        <f t="shared" si="9"/>
        <v>4760</v>
      </c>
      <c r="R18" s="561">
        <f t="shared" si="0"/>
        <v>47.12871287128713</v>
      </c>
      <c r="S18" s="562">
        <f>+P18/Q18</f>
        <v>8.581302521008404</v>
      </c>
      <c r="T18" s="563">
        <v>133502</v>
      </c>
      <c r="U18" s="564">
        <f t="shared" si="1"/>
        <v>-0.6940345462989318</v>
      </c>
      <c r="V18" s="451">
        <f t="shared" si="2"/>
        <v>63890</v>
      </c>
      <c r="W18" s="284">
        <f t="shared" si="3"/>
        <v>8818</v>
      </c>
      <c r="X18" s="675">
        <v>104737</v>
      </c>
      <c r="Y18" s="676">
        <v>13578</v>
      </c>
      <c r="Z18" s="462">
        <f t="shared" si="4"/>
        <v>0.3505670938282516</v>
      </c>
      <c r="AA18" s="462">
        <f t="shared" si="5"/>
        <v>0.6494329061717484</v>
      </c>
      <c r="AB18" s="284">
        <f t="shared" si="6"/>
        <v>134.43564356435644</v>
      </c>
      <c r="AC18" s="451">
        <f t="shared" si="7"/>
        <v>7.713728089556636</v>
      </c>
      <c r="AD18" s="242">
        <v>1077477</v>
      </c>
      <c r="AE18" s="240">
        <v>112800</v>
      </c>
      <c r="AF18" s="110">
        <f>AD18/AE18</f>
        <v>9.552101063829788</v>
      </c>
      <c r="AG18" s="395">
        <v>8</v>
      </c>
    </row>
    <row r="19" spans="1:33" s="95" customFormat="1" ht="12.75" customHeight="1">
      <c r="A19" s="642">
        <v>9</v>
      </c>
      <c r="B19" s="577"/>
      <c r="C19" s="555"/>
      <c r="D19" s="430" t="s">
        <v>328</v>
      </c>
      <c r="E19" s="431">
        <v>40690</v>
      </c>
      <c r="F19" s="432" t="s">
        <v>24</v>
      </c>
      <c r="G19" s="434">
        <v>35</v>
      </c>
      <c r="H19" s="434">
        <v>35</v>
      </c>
      <c r="I19" s="201">
        <v>2</v>
      </c>
      <c r="J19" s="574">
        <v>7563</v>
      </c>
      <c r="K19" s="575">
        <v>598</v>
      </c>
      <c r="L19" s="574">
        <v>11518</v>
      </c>
      <c r="M19" s="575">
        <v>890</v>
      </c>
      <c r="N19" s="574">
        <v>10448</v>
      </c>
      <c r="O19" s="575">
        <v>810</v>
      </c>
      <c r="P19" s="559">
        <f t="shared" si="9"/>
        <v>29529</v>
      </c>
      <c r="Q19" s="560">
        <f t="shared" si="9"/>
        <v>2298</v>
      </c>
      <c r="R19" s="561">
        <f t="shared" si="0"/>
        <v>65.65714285714286</v>
      </c>
      <c r="S19" s="562">
        <f>+P19/Q19</f>
        <v>12.849869451697128</v>
      </c>
      <c r="T19" s="563">
        <v>62373</v>
      </c>
      <c r="U19" s="564">
        <f t="shared" si="1"/>
        <v>-0.526573998364677</v>
      </c>
      <c r="V19" s="451">
        <f t="shared" si="2"/>
        <v>21279</v>
      </c>
      <c r="W19" s="284">
        <f t="shared" si="3"/>
        <v>2077</v>
      </c>
      <c r="X19" s="675">
        <v>50808</v>
      </c>
      <c r="Y19" s="676">
        <v>4375</v>
      </c>
      <c r="Z19" s="462">
        <f t="shared" si="4"/>
        <v>0.5252571428571429</v>
      </c>
      <c r="AA19" s="462">
        <f t="shared" si="5"/>
        <v>0.47474285714285713</v>
      </c>
      <c r="AB19" s="284">
        <f t="shared" si="6"/>
        <v>125</v>
      </c>
      <c r="AC19" s="451">
        <f t="shared" si="7"/>
        <v>11.613257142857142</v>
      </c>
      <c r="AD19" s="242">
        <v>145812</v>
      </c>
      <c r="AE19" s="240">
        <v>12100</v>
      </c>
      <c r="AF19" s="107">
        <f>+AD19/AE19</f>
        <v>12.050578512396694</v>
      </c>
      <c r="AG19" s="395">
        <v>9</v>
      </c>
    </row>
    <row r="20" spans="1:33" s="95" customFormat="1" ht="12.75" customHeight="1">
      <c r="A20" s="642">
        <v>10</v>
      </c>
      <c r="B20" s="577"/>
      <c r="C20" s="555"/>
      <c r="D20" s="430" t="s">
        <v>77</v>
      </c>
      <c r="E20" s="431">
        <v>40662</v>
      </c>
      <c r="F20" s="432" t="s">
        <v>24</v>
      </c>
      <c r="G20" s="434">
        <v>241</v>
      </c>
      <c r="H20" s="434">
        <v>227</v>
      </c>
      <c r="I20" s="573">
        <v>6</v>
      </c>
      <c r="J20" s="574">
        <v>2986</v>
      </c>
      <c r="K20" s="575">
        <v>434</v>
      </c>
      <c r="L20" s="574">
        <v>5943</v>
      </c>
      <c r="M20" s="575">
        <v>850</v>
      </c>
      <c r="N20" s="574">
        <v>5966</v>
      </c>
      <c r="O20" s="575">
        <v>858</v>
      </c>
      <c r="P20" s="559">
        <f t="shared" si="9"/>
        <v>14895</v>
      </c>
      <c r="Q20" s="560">
        <f t="shared" si="9"/>
        <v>2142</v>
      </c>
      <c r="R20" s="561">
        <f t="shared" si="0"/>
        <v>9.43612334801762</v>
      </c>
      <c r="S20" s="562">
        <f>+P20/Q20</f>
        <v>6.953781512605042</v>
      </c>
      <c r="T20" s="563">
        <v>34355</v>
      </c>
      <c r="U20" s="564">
        <f t="shared" si="1"/>
        <v>-0.5664386552175812</v>
      </c>
      <c r="V20" s="451">
        <f t="shared" si="2"/>
        <v>28325</v>
      </c>
      <c r="W20" s="284">
        <f t="shared" si="3"/>
        <v>4179</v>
      </c>
      <c r="X20" s="675">
        <v>43220</v>
      </c>
      <c r="Y20" s="676">
        <v>6321</v>
      </c>
      <c r="Z20" s="462">
        <f t="shared" si="4"/>
        <v>0.3388704318936877</v>
      </c>
      <c r="AA20" s="462">
        <f t="shared" si="5"/>
        <v>0.6611295681063123</v>
      </c>
      <c r="AB20" s="284">
        <f t="shared" si="6"/>
        <v>27.845814977973568</v>
      </c>
      <c r="AC20" s="451">
        <f t="shared" si="7"/>
        <v>6.837525707957601</v>
      </c>
      <c r="AD20" s="242">
        <v>3573790</v>
      </c>
      <c r="AE20" s="240">
        <v>308278</v>
      </c>
      <c r="AF20" s="110">
        <f>AD20/AE20</f>
        <v>11.59275069904437</v>
      </c>
      <c r="AG20" s="395">
        <v>10</v>
      </c>
    </row>
    <row r="21" spans="1:35" s="95" customFormat="1" ht="12.75" customHeight="1">
      <c r="A21" s="642">
        <v>11</v>
      </c>
      <c r="B21" s="576"/>
      <c r="C21" s="555"/>
      <c r="D21" s="432" t="s">
        <v>66</v>
      </c>
      <c r="E21" s="431">
        <v>40676</v>
      </c>
      <c r="F21" s="432" t="s">
        <v>10</v>
      </c>
      <c r="G21" s="434">
        <v>112</v>
      </c>
      <c r="H21" s="434">
        <v>82</v>
      </c>
      <c r="I21" s="4">
        <v>4</v>
      </c>
      <c r="J21" s="557">
        <v>4731</v>
      </c>
      <c r="K21" s="558">
        <v>756</v>
      </c>
      <c r="L21" s="557">
        <v>8748</v>
      </c>
      <c r="M21" s="558">
        <v>1278</v>
      </c>
      <c r="N21" s="557">
        <v>8747</v>
      </c>
      <c r="O21" s="558">
        <v>1217</v>
      </c>
      <c r="P21" s="559">
        <f>+J21+L21+N21</f>
        <v>22226</v>
      </c>
      <c r="Q21" s="560">
        <f>+K21+M21+O21</f>
        <v>3251</v>
      </c>
      <c r="R21" s="561">
        <f t="shared" si="0"/>
        <v>39.646341463414636</v>
      </c>
      <c r="S21" s="562">
        <f>IF(P21&lt;&gt;0,P21/Q21,"")</f>
        <v>6.836665641341126</v>
      </c>
      <c r="T21" s="563">
        <v>64000</v>
      </c>
      <c r="U21" s="564">
        <f t="shared" si="1"/>
        <v>-0.65271875</v>
      </c>
      <c r="V21" s="451">
        <f t="shared" si="2"/>
        <v>19780</v>
      </c>
      <c r="W21" s="284">
        <f t="shared" si="3"/>
        <v>2994</v>
      </c>
      <c r="X21" s="671">
        <v>42006</v>
      </c>
      <c r="Y21" s="672">
        <v>6245</v>
      </c>
      <c r="Z21" s="462">
        <f t="shared" si="4"/>
        <v>0.5205764611689352</v>
      </c>
      <c r="AA21" s="462">
        <f t="shared" si="5"/>
        <v>0.47942353883106487</v>
      </c>
      <c r="AB21" s="284">
        <f t="shared" si="6"/>
        <v>76.15853658536585</v>
      </c>
      <c r="AC21" s="451">
        <f t="shared" si="7"/>
        <v>6.726341072858286</v>
      </c>
      <c r="AD21" s="42">
        <v>853187</v>
      </c>
      <c r="AE21" s="47">
        <v>88842</v>
      </c>
      <c r="AF21" s="578">
        <f>AD21/AE21</f>
        <v>9.603419553814637</v>
      </c>
      <c r="AG21" s="395">
        <v>11</v>
      </c>
      <c r="AI21" s="155"/>
    </row>
    <row r="22" spans="1:35" s="95" customFormat="1" ht="12.75" customHeight="1">
      <c r="A22" s="642">
        <v>12</v>
      </c>
      <c r="B22" s="579"/>
      <c r="C22" s="580" t="s">
        <v>96</v>
      </c>
      <c r="D22" s="432" t="s">
        <v>75</v>
      </c>
      <c r="E22" s="431">
        <v>40682</v>
      </c>
      <c r="F22" s="432" t="s">
        <v>10</v>
      </c>
      <c r="G22" s="434">
        <v>164</v>
      </c>
      <c r="H22" s="434">
        <v>164</v>
      </c>
      <c r="I22" s="4">
        <v>3</v>
      </c>
      <c r="J22" s="557">
        <v>6844</v>
      </c>
      <c r="K22" s="558">
        <v>808</v>
      </c>
      <c r="L22" s="557">
        <v>8257</v>
      </c>
      <c r="M22" s="558">
        <v>967</v>
      </c>
      <c r="N22" s="557">
        <v>6988</v>
      </c>
      <c r="O22" s="558">
        <v>814</v>
      </c>
      <c r="P22" s="559">
        <f>+J22+L22+N22</f>
        <v>22089</v>
      </c>
      <c r="Q22" s="560">
        <f>+K22+M22+O22</f>
        <v>2589</v>
      </c>
      <c r="R22" s="561">
        <f t="shared" si="0"/>
        <v>15.786585365853659</v>
      </c>
      <c r="S22" s="562">
        <f>IF(P22&lt;&gt;0,P22/Q22,"")</f>
        <v>8.531865585168019</v>
      </c>
      <c r="T22" s="563">
        <v>103411</v>
      </c>
      <c r="U22" s="564">
        <f t="shared" si="1"/>
        <v>-0.7863960313699703</v>
      </c>
      <c r="V22" s="451">
        <f t="shared" si="2"/>
        <v>17264</v>
      </c>
      <c r="W22" s="284">
        <f t="shared" si="3"/>
        <v>2393</v>
      </c>
      <c r="X22" s="671">
        <v>39353</v>
      </c>
      <c r="Y22" s="672">
        <v>4982</v>
      </c>
      <c r="Z22" s="462">
        <f t="shared" si="4"/>
        <v>0.5196708149337615</v>
      </c>
      <c r="AA22" s="462">
        <f t="shared" si="5"/>
        <v>0.48032918506623845</v>
      </c>
      <c r="AB22" s="284">
        <f t="shared" si="6"/>
        <v>30.378048780487806</v>
      </c>
      <c r="AC22" s="451">
        <f t="shared" si="7"/>
        <v>7.899036531513448</v>
      </c>
      <c r="AD22" s="42">
        <v>555014</v>
      </c>
      <c r="AE22" s="47">
        <v>60106</v>
      </c>
      <c r="AF22" s="107">
        <f>+AD22/AE22</f>
        <v>9.233920074534987</v>
      </c>
      <c r="AG22" s="395">
        <v>12</v>
      </c>
      <c r="AI22" s="155"/>
    </row>
    <row r="23" spans="1:35" s="95" customFormat="1" ht="12.75" customHeight="1">
      <c r="A23" s="642">
        <v>13</v>
      </c>
      <c r="B23" s="554" t="s">
        <v>97</v>
      </c>
      <c r="C23" s="580" t="s">
        <v>96</v>
      </c>
      <c r="D23" s="432" t="s">
        <v>350</v>
      </c>
      <c r="E23" s="581">
        <v>40697</v>
      </c>
      <c r="F23" s="432" t="s">
        <v>52</v>
      </c>
      <c r="G23" s="434">
        <v>49</v>
      </c>
      <c r="H23" s="434">
        <v>49</v>
      </c>
      <c r="I23" s="125">
        <v>1</v>
      </c>
      <c r="J23" s="574">
        <v>4442.5</v>
      </c>
      <c r="K23" s="575">
        <v>519</v>
      </c>
      <c r="L23" s="574">
        <v>7072</v>
      </c>
      <c r="M23" s="575">
        <v>770</v>
      </c>
      <c r="N23" s="574">
        <v>8455</v>
      </c>
      <c r="O23" s="575">
        <v>902</v>
      </c>
      <c r="P23" s="559">
        <f aca="true" t="shared" si="10" ref="P23:P32">SUM(J23+L23+N23)</f>
        <v>19969.5</v>
      </c>
      <c r="Q23" s="560">
        <f aca="true" t="shared" si="11" ref="Q23:Q32">SUM(K23+M23+O23)</f>
        <v>2191</v>
      </c>
      <c r="R23" s="561">
        <f t="shared" si="0"/>
        <v>44.714285714285715</v>
      </c>
      <c r="S23" s="562">
        <f>+P23/Q23</f>
        <v>9.114331355545414</v>
      </c>
      <c r="T23" s="563"/>
      <c r="U23" s="564">
        <f t="shared" si="1"/>
      </c>
      <c r="V23" s="451">
        <f t="shared" si="2"/>
        <v>19125</v>
      </c>
      <c r="W23" s="284">
        <f t="shared" si="3"/>
        <v>2491</v>
      </c>
      <c r="X23" s="677">
        <v>39094.5</v>
      </c>
      <c r="Y23" s="678">
        <v>4682</v>
      </c>
      <c r="Z23" s="462">
        <f t="shared" si="4"/>
        <v>0.46796240922682614</v>
      </c>
      <c r="AA23" s="462">
        <f t="shared" si="5"/>
        <v>0.5320375907731738</v>
      </c>
      <c r="AB23" s="284">
        <f t="shared" si="6"/>
        <v>95.55102040816327</v>
      </c>
      <c r="AC23" s="451">
        <f t="shared" si="7"/>
        <v>8.349957283212303</v>
      </c>
      <c r="AD23" s="41">
        <v>39094.5</v>
      </c>
      <c r="AE23" s="44">
        <v>4682</v>
      </c>
      <c r="AF23" s="128">
        <f>+AD23/AE23</f>
        <v>8.349957283212303</v>
      </c>
      <c r="AG23" s="395">
        <v>13</v>
      </c>
      <c r="AI23" s="155"/>
    </row>
    <row r="24" spans="1:33" s="95" customFormat="1" ht="12.75" customHeight="1">
      <c r="A24" s="642">
        <v>14</v>
      </c>
      <c r="B24" s="572"/>
      <c r="C24" s="555"/>
      <c r="D24" s="436" t="s">
        <v>68</v>
      </c>
      <c r="E24" s="431">
        <v>40669</v>
      </c>
      <c r="F24" s="432" t="s">
        <v>36</v>
      </c>
      <c r="G24" s="434">
        <v>58</v>
      </c>
      <c r="H24" s="434">
        <v>48</v>
      </c>
      <c r="I24" s="568">
        <v>5</v>
      </c>
      <c r="J24" s="569">
        <v>4517</v>
      </c>
      <c r="K24" s="570">
        <v>663</v>
      </c>
      <c r="L24" s="569">
        <v>7974.5</v>
      </c>
      <c r="M24" s="570">
        <v>1164</v>
      </c>
      <c r="N24" s="569">
        <v>6748.5</v>
      </c>
      <c r="O24" s="570">
        <v>972</v>
      </c>
      <c r="P24" s="559">
        <f t="shared" si="10"/>
        <v>19240</v>
      </c>
      <c r="Q24" s="560">
        <f t="shared" si="11"/>
        <v>2799</v>
      </c>
      <c r="R24" s="561">
        <f t="shared" si="0"/>
        <v>58.3125</v>
      </c>
      <c r="S24" s="562">
        <f>+P24/Q24</f>
        <v>6.873883529832083</v>
      </c>
      <c r="T24" s="563">
        <v>35839</v>
      </c>
      <c r="U24" s="564">
        <f t="shared" si="1"/>
        <v>-0.46315466391361365</v>
      </c>
      <c r="V24" s="451">
        <f t="shared" si="2"/>
        <v>18736</v>
      </c>
      <c r="W24" s="284">
        <f t="shared" si="3"/>
        <v>2872</v>
      </c>
      <c r="X24" s="673">
        <v>37976</v>
      </c>
      <c r="Y24" s="674">
        <v>5671</v>
      </c>
      <c r="Z24" s="462">
        <f t="shared" si="4"/>
        <v>0.49356374537118675</v>
      </c>
      <c r="AA24" s="462">
        <f t="shared" si="5"/>
        <v>0.5064362546288133</v>
      </c>
      <c r="AB24" s="284">
        <f t="shared" si="6"/>
        <v>118.14583333333333</v>
      </c>
      <c r="AC24" s="451">
        <f t="shared" si="7"/>
        <v>6.6965261858578735</v>
      </c>
      <c r="AD24" s="9">
        <f>283662.5+204713+63694+61522.5+37976</f>
        <v>651568</v>
      </c>
      <c r="AE24" s="8">
        <f>29595+21640+7444+8447+5671</f>
        <v>72797</v>
      </c>
      <c r="AF24" s="107">
        <f>+AD24/AE24</f>
        <v>8.950478728519032</v>
      </c>
      <c r="AG24" s="395">
        <v>14</v>
      </c>
    </row>
    <row r="25" spans="1:35" s="95" customFormat="1" ht="12.75" customHeight="1">
      <c r="A25" s="642">
        <v>15</v>
      </c>
      <c r="B25" s="579"/>
      <c r="C25" s="582"/>
      <c r="D25" s="439" t="s">
        <v>329</v>
      </c>
      <c r="E25" s="431">
        <v>40690</v>
      </c>
      <c r="F25" s="440" t="s">
        <v>32</v>
      </c>
      <c r="G25" s="434">
        <v>50</v>
      </c>
      <c r="H25" s="434">
        <v>50</v>
      </c>
      <c r="I25" s="620">
        <v>2</v>
      </c>
      <c r="J25" s="574">
        <v>4187.5</v>
      </c>
      <c r="K25" s="575">
        <v>424</v>
      </c>
      <c r="L25" s="574">
        <v>8419.5</v>
      </c>
      <c r="M25" s="575">
        <v>801</v>
      </c>
      <c r="N25" s="574">
        <v>7430.5</v>
      </c>
      <c r="O25" s="575">
        <v>696</v>
      </c>
      <c r="P25" s="584">
        <f t="shared" si="10"/>
        <v>20037.5</v>
      </c>
      <c r="Q25" s="585">
        <f t="shared" si="11"/>
        <v>1921</v>
      </c>
      <c r="R25" s="561">
        <f t="shared" si="0"/>
        <v>38.42</v>
      </c>
      <c r="S25" s="562">
        <f>+P25/Q25</f>
        <v>10.43076522644456</v>
      </c>
      <c r="T25" s="586">
        <v>49160.5</v>
      </c>
      <c r="U25" s="564">
        <f t="shared" si="1"/>
        <v>-0.5924065052226889</v>
      </c>
      <c r="V25" s="451">
        <f t="shared" si="2"/>
        <v>15901.75</v>
      </c>
      <c r="W25" s="284">
        <f t="shared" si="3"/>
        <v>1906</v>
      </c>
      <c r="X25" s="679">
        <v>35939.25</v>
      </c>
      <c r="Y25" s="676">
        <v>3827</v>
      </c>
      <c r="Z25" s="462">
        <f t="shared" si="4"/>
        <v>0.501959759602822</v>
      </c>
      <c r="AA25" s="462">
        <f t="shared" si="5"/>
        <v>0.4980402403971779</v>
      </c>
      <c r="AB25" s="284">
        <f t="shared" si="6"/>
        <v>76.54</v>
      </c>
      <c r="AC25" s="451">
        <f t="shared" si="7"/>
        <v>9.390972040763</v>
      </c>
      <c r="AD25" s="425">
        <f>76356.75+35939.25</f>
        <v>112296</v>
      </c>
      <c r="AE25" s="240">
        <f>6986+3827</f>
        <v>10813</v>
      </c>
      <c r="AF25" s="107">
        <f>+AD25/AE25</f>
        <v>10.385276981411264</v>
      </c>
      <c r="AG25" s="395">
        <v>15</v>
      </c>
      <c r="AI25" s="155"/>
    </row>
    <row r="26" spans="1:33" s="95" customFormat="1" ht="12.75" customHeight="1">
      <c r="A26" s="642">
        <v>16</v>
      </c>
      <c r="B26" s="554" t="s">
        <v>97</v>
      </c>
      <c r="C26" s="555"/>
      <c r="D26" s="587" t="s">
        <v>351</v>
      </c>
      <c r="E26" s="581">
        <v>40697</v>
      </c>
      <c r="F26" s="437" t="s">
        <v>70</v>
      </c>
      <c r="G26" s="588">
        <v>15</v>
      </c>
      <c r="H26" s="588">
        <v>15</v>
      </c>
      <c r="I26" s="589">
        <v>1</v>
      </c>
      <c r="J26" s="590">
        <v>4554.5</v>
      </c>
      <c r="K26" s="591">
        <v>499</v>
      </c>
      <c r="L26" s="590">
        <v>7378</v>
      </c>
      <c r="M26" s="591">
        <v>816</v>
      </c>
      <c r="N26" s="590">
        <v>7501.5</v>
      </c>
      <c r="O26" s="591">
        <v>816</v>
      </c>
      <c r="P26" s="592">
        <f t="shared" si="10"/>
        <v>19434</v>
      </c>
      <c r="Q26" s="593">
        <f t="shared" si="11"/>
        <v>2131</v>
      </c>
      <c r="R26" s="591">
        <f>Q26/H26</f>
        <v>142.06666666666666</v>
      </c>
      <c r="S26" s="590">
        <f>P26/Q26</f>
        <v>9.119662130455186</v>
      </c>
      <c r="T26" s="590"/>
      <c r="U26" s="564"/>
      <c r="V26" s="451">
        <f t="shared" si="2"/>
        <v>14864</v>
      </c>
      <c r="W26" s="284">
        <f t="shared" si="3"/>
        <v>1884</v>
      </c>
      <c r="X26" s="680">
        <v>34298</v>
      </c>
      <c r="Y26" s="681">
        <v>4015</v>
      </c>
      <c r="Z26" s="462">
        <f t="shared" si="4"/>
        <v>0.5307596513075965</v>
      </c>
      <c r="AA26" s="462">
        <f t="shared" si="5"/>
        <v>0.4692403486924035</v>
      </c>
      <c r="AB26" s="284">
        <f t="shared" si="6"/>
        <v>267.6666666666667</v>
      </c>
      <c r="AC26" s="451">
        <f t="shared" si="7"/>
        <v>8.542465753424658</v>
      </c>
      <c r="AD26" s="242">
        <v>34298</v>
      </c>
      <c r="AE26" s="240">
        <v>4015</v>
      </c>
      <c r="AF26" s="110">
        <f>AD26/AE26</f>
        <v>8.542465753424658</v>
      </c>
      <c r="AG26" s="395">
        <v>16</v>
      </c>
    </row>
    <row r="27" spans="1:33" s="95" customFormat="1" ht="12.75" customHeight="1">
      <c r="A27" s="642">
        <v>17</v>
      </c>
      <c r="B27" s="579"/>
      <c r="C27" s="555"/>
      <c r="D27" s="432" t="s">
        <v>78</v>
      </c>
      <c r="E27" s="431">
        <v>40682</v>
      </c>
      <c r="F27" s="432" t="s">
        <v>22</v>
      </c>
      <c r="G27" s="434">
        <v>45</v>
      </c>
      <c r="H27" s="434">
        <v>45</v>
      </c>
      <c r="I27" s="594">
        <v>3</v>
      </c>
      <c r="J27" s="595">
        <v>2726</v>
      </c>
      <c r="K27" s="596">
        <v>394</v>
      </c>
      <c r="L27" s="595">
        <v>5176</v>
      </c>
      <c r="M27" s="596">
        <v>755</v>
      </c>
      <c r="N27" s="595">
        <v>4547.5</v>
      </c>
      <c r="O27" s="596">
        <v>659</v>
      </c>
      <c r="P27" s="592">
        <f t="shared" si="10"/>
        <v>12449.5</v>
      </c>
      <c r="Q27" s="593">
        <f t="shared" si="11"/>
        <v>1808</v>
      </c>
      <c r="R27" s="561">
        <f aca="true" t="shared" si="12" ref="R27:R32">IF(P27&lt;&gt;0,Q27/H27,"")</f>
        <v>40.17777777777778</v>
      </c>
      <c r="S27" s="562">
        <f>IF(P27&lt;&gt;0,P27/Q27,"")</f>
        <v>6.885785398230088</v>
      </c>
      <c r="T27" s="563">
        <v>21881.5</v>
      </c>
      <c r="U27" s="564">
        <f aca="true" t="shared" si="13" ref="U27:U44">IF(T27&lt;&gt;0,-(T27-P27)/T27,"")</f>
        <v>-0.43104905970797247</v>
      </c>
      <c r="V27" s="451">
        <f t="shared" si="2"/>
        <v>13410</v>
      </c>
      <c r="W27" s="284">
        <f t="shared" si="3"/>
        <v>1801</v>
      </c>
      <c r="X27" s="682">
        <v>25859.5</v>
      </c>
      <c r="Y27" s="683">
        <v>3609</v>
      </c>
      <c r="Z27" s="462">
        <f t="shared" si="4"/>
        <v>0.5009697977279025</v>
      </c>
      <c r="AA27" s="462">
        <f t="shared" si="5"/>
        <v>0.49903020227209755</v>
      </c>
      <c r="AB27" s="284">
        <f t="shared" si="6"/>
        <v>80.2</v>
      </c>
      <c r="AC27" s="451">
        <f t="shared" si="7"/>
        <v>7.165281241341091</v>
      </c>
      <c r="AD27" s="40">
        <f>868723.5+629960.75+471670+272432+164061+97109.5+34971.5+29195+10591.5+4973+1214+25859.5</f>
        <v>2610761.25</v>
      </c>
      <c r="AE27" s="44">
        <f>93361+70981+54177+33865+22657+14644+6278+5343+1965+923+199+3609</f>
        <v>308002</v>
      </c>
      <c r="AF27" s="107">
        <f>+AD27/AE27</f>
        <v>8.476442523100499</v>
      </c>
      <c r="AG27" s="395">
        <v>17</v>
      </c>
    </row>
    <row r="28" spans="1:33" s="95" customFormat="1" ht="12.75" customHeight="1">
      <c r="A28" s="642">
        <v>18</v>
      </c>
      <c r="B28" s="576"/>
      <c r="C28" s="580" t="s">
        <v>96</v>
      </c>
      <c r="D28" s="436" t="s">
        <v>60</v>
      </c>
      <c r="E28" s="431">
        <v>40669</v>
      </c>
      <c r="F28" s="432" t="s">
        <v>36</v>
      </c>
      <c r="G28" s="434">
        <v>31</v>
      </c>
      <c r="H28" s="434">
        <v>30</v>
      </c>
      <c r="I28" s="568">
        <v>5</v>
      </c>
      <c r="J28" s="569">
        <v>3735</v>
      </c>
      <c r="K28" s="570">
        <v>562</v>
      </c>
      <c r="L28" s="569">
        <v>4753</v>
      </c>
      <c r="M28" s="570">
        <v>682</v>
      </c>
      <c r="N28" s="569">
        <v>4692</v>
      </c>
      <c r="O28" s="570">
        <v>690</v>
      </c>
      <c r="P28" s="559">
        <f t="shared" si="10"/>
        <v>13180</v>
      </c>
      <c r="Q28" s="560">
        <f t="shared" si="11"/>
        <v>1934</v>
      </c>
      <c r="R28" s="561">
        <f t="shared" si="12"/>
        <v>64.46666666666667</v>
      </c>
      <c r="S28" s="562">
        <f>+P28/Q28</f>
        <v>6.814891416752844</v>
      </c>
      <c r="T28" s="563">
        <v>22306.5</v>
      </c>
      <c r="U28" s="564">
        <f t="shared" si="13"/>
        <v>-0.4091408333893708</v>
      </c>
      <c r="V28" s="451">
        <f t="shared" si="2"/>
        <v>11779.5</v>
      </c>
      <c r="W28" s="284">
        <f t="shared" si="3"/>
        <v>1873</v>
      </c>
      <c r="X28" s="673">
        <v>24959.5</v>
      </c>
      <c r="Y28" s="674">
        <v>3807</v>
      </c>
      <c r="Z28" s="462">
        <f t="shared" si="4"/>
        <v>0.5080115576569477</v>
      </c>
      <c r="AA28" s="462">
        <f t="shared" si="5"/>
        <v>0.4919884423430523</v>
      </c>
      <c r="AB28" s="284">
        <f t="shared" si="6"/>
        <v>126.9</v>
      </c>
      <c r="AC28" s="451">
        <f t="shared" si="7"/>
        <v>6.556212240609404</v>
      </c>
      <c r="AD28" s="9">
        <f>175019+105176.5+33821+39610.5+24959.5</f>
        <v>378586.5</v>
      </c>
      <c r="AE28" s="8">
        <f>19673+11998+4200+5352+3807</f>
        <v>45030</v>
      </c>
      <c r="AF28" s="110">
        <f>AD28/AE28</f>
        <v>8.407428381079281</v>
      </c>
      <c r="AG28" s="395">
        <v>18</v>
      </c>
    </row>
    <row r="29" spans="1:33" s="95" customFormat="1" ht="12.75" customHeight="1">
      <c r="A29" s="642">
        <v>19</v>
      </c>
      <c r="B29" s="577"/>
      <c r="C29" s="555"/>
      <c r="D29" s="435" t="s">
        <v>39</v>
      </c>
      <c r="E29" s="431">
        <v>40651</v>
      </c>
      <c r="F29" s="432" t="s">
        <v>24</v>
      </c>
      <c r="G29" s="434">
        <v>65</v>
      </c>
      <c r="H29" s="434">
        <v>60</v>
      </c>
      <c r="I29" s="573">
        <v>8</v>
      </c>
      <c r="J29" s="574">
        <v>3970</v>
      </c>
      <c r="K29" s="575">
        <v>594</v>
      </c>
      <c r="L29" s="574">
        <v>5353</v>
      </c>
      <c r="M29" s="575">
        <v>801</v>
      </c>
      <c r="N29" s="574">
        <v>3713</v>
      </c>
      <c r="O29" s="575">
        <v>548</v>
      </c>
      <c r="P29" s="559">
        <f t="shared" si="10"/>
        <v>13036</v>
      </c>
      <c r="Q29" s="560">
        <f t="shared" si="11"/>
        <v>1943</v>
      </c>
      <c r="R29" s="561">
        <f t="shared" si="12"/>
        <v>32.38333333333333</v>
      </c>
      <c r="S29" s="562">
        <f>+P29/Q29</f>
        <v>6.7092125579001545</v>
      </c>
      <c r="T29" s="563">
        <v>24690</v>
      </c>
      <c r="U29" s="564">
        <f t="shared" si="13"/>
        <v>-0.4720129607128392</v>
      </c>
      <c r="V29" s="451">
        <f t="shared" si="2"/>
        <v>11775</v>
      </c>
      <c r="W29" s="284">
        <f t="shared" si="3"/>
        <v>1860</v>
      </c>
      <c r="X29" s="675">
        <v>24811</v>
      </c>
      <c r="Y29" s="676">
        <v>3803</v>
      </c>
      <c r="Z29" s="462">
        <f t="shared" si="4"/>
        <v>0.5109124375493032</v>
      </c>
      <c r="AA29" s="462">
        <f t="shared" si="5"/>
        <v>0.48908756245069684</v>
      </c>
      <c r="AB29" s="284">
        <f t="shared" si="6"/>
        <v>63.38333333333333</v>
      </c>
      <c r="AC29" s="451">
        <f t="shared" si="7"/>
        <v>6.524059952668946</v>
      </c>
      <c r="AD29" s="242">
        <v>1723657</v>
      </c>
      <c r="AE29" s="240">
        <v>180571</v>
      </c>
      <c r="AF29" s="110">
        <f>AD29/AE29</f>
        <v>9.545591484789917</v>
      </c>
      <c r="AG29" s="395">
        <v>19</v>
      </c>
    </row>
    <row r="30" spans="1:33" s="95" customFormat="1" ht="12.75" customHeight="1">
      <c r="A30" s="642">
        <v>20</v>
      </c>
      <c r="B30" s="576"/>
      <c r="C30" s="580" t="s">
        <v>96</v>
      </c>
      <c r="D30" s="432" t="s">
        <v>21</v>
      </c>
      <c r="E30" s="431">
        <v>40620</v>
      </c>
      <c r="F30" s="432" t="s">
        <v>22</v>
      </c>
      <c r="G30" s="434">
        <v>218</v>
      </c>
      <c r="H30" s="434">
        <v>10</v>
      </c>
      <c r="I30" s="594">
        <v>12</v>
      </c>
      <c r="J30" s="595">
        <v>2493.5</v>
      </c>
      <c r="K30" s="596">
        <v>348</v>
      </c>
      <c r="L30" s="595">
        <v>4281.5</v>
      </c>
      <c r="M30" s="596">
        <v>586</v>
      </c>
      <c r="N30" s="595">
        <v>4128</v>
      </c>
      <c r="O30" s="596">
        <v>519</v>
      </c>
      <c r="P30" s="592">
        <f t="shared" si="10"/>
        <v>10903</v>
      </c>
      <c r="Q30" s="593">
        <f t="shared" si="11"/>
        <v>1453</v>
      </c>
      <c r="R30" s="597">
        <f t="shared" si="12"/>
        <v>145.3</v>
      </c>
      <c r="S30" s="562">
        <f>IF(P30&lt;&gt;0,P30/Q30,"")</f>
        <v>7.503785271851342</v>
      </c>
      <c r="T30" s="563">
        <v>646</v>
      </c>
      <c r="U30" s="564">
        <f t="shared" si="13"/>
        <v>15.877708978328174</v>
      </c>
      <c r="V30" s="451">
        <f t="shared" si="2"/>
        <v>12365.5</v>
      </c>
      <c r="W30" s="284">
        <f t="shared" si="3"/>
        <v>1983</v>
      </c>
      <c r="X30" s="682">
        <v>23268.5</v>
      </c>
      <c r="Y30" s="683">
        <v>3436</v>
      </c>
      <c r="Z30" s="462">
        <f t="shared" si="4"/>
        <v>0.42287543655413273</v>
      </c>
      <c r="AA30" s="462">
        <f t="shared" si="5"/>
        <v>0.5771245634458673</v>
      </c>
      <c r="AB30" s="284">
        <f t="shared" si="6"/>
        <v>343.6</v>
      </c>
      <c r="AC30" s="451">
        <f t="shared" si="7"/>
        <v>6.7719732246798605</v>
      </c>
      <c r="AD30" s="40">
        <f>13185+73231+37777+23268.5</f>
        <v>147461.5</v>
      </c>
      <c r="AE30" s="44">
        <f>1138+8298+4612+3436</f>
        <v>17484</v>
      </c>
      <c r="AF30" s="107">
        <f>+AD30/AE30</f>
        <v>8.434082589796386</v>
      </c>
      <c r="AG30" s="395">
        <v>20</v>
      </c>
    </row>
    <row r="31" spans="1:33" s="95" customFormat="1" ht="12.75" customHeight="1">
      <c r="A31" s="642">
        <v>21</v>
      </c>
      <c r="B31" s="577"/>
      <c r="C31" s="555"/>
      <c r="D31" s="436" t="s">
        <v>58</v>
      </c>
      <c r="E31" s="431">
        <v>40662</v>
      </c>
      <c r="F31" s="432" t="s">
        <v>36</v>
      </c>
      <c r="G31" s="434">
        <v>19</v>
      </c>
      <c r="H31" s="434">
        <v>10</v>
      </c>
      <c r="I31" s="568">
        <v>6</v>
      </c>
      <c r="J31" s="569">
        <v>2680.5</v>
      </c>
      <c r="K31" s="570">
        <v>405</v>
      </c>
      <c r="L31" s="569">
        <v>3252</v>
      </c>
      <c r="M31" s="570">
        <v>478</v>
      </c>
      <c r="N31" s="569">
        <v>2998.5</v>
      </c>
      <c r="O31" s="570">
        <v>421</v>
      </c>
      <c r="P31" s="559">
        <f t="shared" si="10"/>
        <v>8931</v>
      </c>
      <c r="Q31" s="560">
        <f t="shared" si="11"/>
        <v>1304</v>
      </c>
      <c r="R31" s="561">
        <f t="shared" si="12"/>
        <v>130.4</v>
      </c>
      <c r="S31" s="562">
        <f>+P31/Q31</f>
        <v>6.848926380368098</v>
      </c>
      <c r="T31" s="563">
        <v>8087</v>
      </c>
      <c r="U31" s="564">
        <f t="shared" si="13"/>
        <v>0.10436503029553605</v>
      </c>
      <c r="V31" s="451">
        <f t="shared" si="2"/>
        <v>9631.5</v>
      </c>
      <c r="W31" s="284">
        <f t="shared" si="3"/>
        <v>1493</v>
      </c>
      <c r="X31" s="673">
        <v>18562.5</v>
      </c>
      <c r="Y31" s="674">
        <v>2797</v>
      </c>
      <c r="Z31" s="462">
        <f t="shared" si="4"/>
        <v>0.4662138005005363</v>
      </c>
      <c r="AA31" s="462">
        <f t="shared" si="5"/>
        <v>0.5337861994994637</v>
      </c>
      <c r="AB31" s="284">
        <f t="shared" si="6"/>
        <v>279.7</v>
      </c>
      <c r="AC31" s="451">
        <f t="shared" si="7"/>
        <v>6.636574901680372</v>
      </c>
      <c r="AD31" s="9">
        <f>101742.25+50164.5+51750+9401+13450.5+18562.5</f>
        <v>245070.75</v>
      </c>
      <c r="AE31" s="8">
        <f>8064+3844+5093+985+1765+2797</f>
        <v>22548</v>
      </c>
      <c r="AF31" s="107">
        <f>+AD31/AE31</f>
        <v>10.868846460883448</v>
      </c>
      <c r="AG31" s="395">
        <v>21</v>
      </c>
    </row>
    <row r="32" spans="1:33" s="95" customFormat="1" ht="12.75" customHeight="1">
      <c r="A32" s="642">
        <v>22</v>
      </c>
      <c r="B32" s="576"/>
      <c r="C32" s="555"/>
      <c r="D32" s="436" t="s">
        <v>51</v>
      </c>
      <c r="E32" s="431">
        <v>40655</v>
      </c>
      <c r="F32" s="432" t="s">
        <v>36</v>
      </c>
      <c r="G32" s="434">
        <v>15</v>
      </c>
      <c r="H32" s="434">
        <v>9</v>
      </c>
      <c r="I32" s="568">
        <v>7</v>
      </c>
      <c r="J32" s="569">
        <v>1750</v>
      </c>
      <c r="K32" s="570">
        <v>266</v>
      </c>
      <c r="L32" s="569">
        <v>3189.5</v>
      </c>
      <c r="M32" s="570">
        <v>453</v>
      </c>
      <c r="N32" s="569">
        <v>3368.5</v>
      </c>
      <c r="O32" s="570">
        <v>481</v>
      </c>
      <c r="P32" s="559">
        <f t="shared" si="10"/>
        <v>8308</v>
      </c>
      <c r="Q32" s="560">
        <f t="shared" si="11"/>
        <v>1200</v>
      </c>
      <c r="R32" s="561">
        <f t="shared" si="12"/>
        <v>133.33333333333334</v>
      </c>
      <c r="S32" s="562">
        <f>+P32/Q32</f>
        <v>6.923333333333333</v>
      </c>
      <c r="T32" s="563">
        <v>4317</v>
      </c>
      <c r="U32" s="564">
        <f t="shared" si="13"/>
        <v>0.9244845957841094</v>
      </c>
      <c r="V32" s="451">
        <f t="shared" si="2"/>
        <v>8865.5</v>
      </c>
      <c r="W32" s="284">
        <f t="shared" si="3"/>
        <v>1410</v>
      </c>
      <c r="X32" s="673">
        <v>17173.5</v>
      </c>
      <c r="Y32" s="674">
        <v>2610</v>
      </c>
      <c r="Z32" s="462">
        <f t="shared" si="4"/>
        <v>0.45977011494252873</v>
      </c>
      <c r="AA32" s="462">
        <f t="shared" si="5"/>
        <v>0.5402298850574713</v>
      </c>
      <c r="AB32" s="284">
        <f t="shared" si="6"/>
        <v>290</v>
      </c>
      <c r="AC32" s="451">
        <f t="shared" si="7"/>
        <v>6.579885057471264</v>
      </c>
      <c r="AD32" s="9">
        <f>41594+16674.5+20041.5+21789.5+6150+7886+17173.5</f>
        <v>131309</v>
      </c>
      <c r="AE32" s="8">
        <f>4913+2342+2355+2524+869+1326+2610</f>
        <v>16939</v>
      </c>
      <c r="AF32" s="110">
        <f>AD32/AE32</f>
        <v>7.751874372749277</v>
      </c>
      <c r="AG32" s="395">
        <v>22</v>
      </c>
    </row>
    <row r="33" spans="1:35" s="95" customFormat="1" ht="12.75" customHeight="1">
      <c r="A33" s="642">
        <v>23</v>
      </c>
      <c r="B33" s="577"/>
      <c r="C33" s="555"/>
      <c r="D33" s="439" t="s">
        <v>80</v>
      </c>
      <c r="E33" s="431">
        <v>40669</v>
      </c>
      <c r="F33" s="440" t="s">
        <v>8</v>
      </c>
      <c r="G33" s="434">
        <v>51</v>
      </c>
      <c r="H33" s="434">
        <v>22</v>
      </c>
      <c r="I33" s="4">
        <v>5</v>
      </c>
      <c r="J33" s="557">
        <v>2554</v>
      </c>
      <c r="K33" s="558">
        <v>443</v>
      </c>
      <c r="L33" s="557">
        <v>3044</v>
      </c>
      <c r="M33" s="558">
        <v>438</v>
      </c>
      <c r="N33" s="557">
        <v>2544</v>
      </c>
      <c r="O33" s="558">
        <v>361</v>
      </c>
      <c r="P33" s="559">
        <f>+J33+L33+N33</f>
        <v>8142</v>
      </c>
      <c r="Q33" s="560">
        <f>+K33+M33+O33</f>
        <v>1242</v>
      </c>
      <c r="R33" s="598">
        <f>+Q33/H33</f>
        <v>56.45454545454545</v>
      </c>
      <c r="S33" s="562">
        <f>IF(P33&lt;&gt;0,P33/Q33,"")</f>
        <v>6.555555555555555</v>
      </c>
      <c r="T33" s="563">
        <v>10058</v>
      </c>
      <c r="U33" s="564">
        <f t="shared" si="13"/>
        <v>-0.19049512825611453</v>
      </c>
      <c r="V33" s="451">
        <f t="shared" si="2"/>
        <v>6912</v>
      </c>
      <c r="W33" s="284">
        <f t="shared" si="3"/>
        <v>1122</v>
      </c>
      <c r="X33" s="684">
        <v>15054</v>
      </c>
      <c r="Y33" s="685">
        <v>2364</v>
      </c>
      <c r="Z33" s="462">
        <f t="shared" si="4"/>
        <v>0.5253807106598984</v>
      </c>
      <c r="AA33" s="462">
        <f t="shared" si="5"/>
        <v>0.4746192893401015</v>
      </c>
      <c r="AB33" s="284">
        <f t="shared" si="6"/>
        <v>107.45454545454545</v>
      </c>
      <c r="AC33" s="451">
        <f t="shared" si="7"/>
        <v>6.368020304568528</v>
      </c>
      <c r="AD33" s="6">
        <v>415885</v>
      </c>
      <c r="AE33" s="7">
        <v>38987</v>
      </c>
      <c r="AF33" s="107">
        <f>+AD33/AE33</f>
        <v>10.667273706620156</v>
      </c>
      <c r="AG33" s="395">
        <v>23</v>
      </c>
      <c r="AI33" s="155"/>
    </row>
    <row r="34" spans="1:33" s="95" customFormat="1" ht="12.75" customHeight="1">
      <c r="A34" s="642">
        <v>24</v>
      </c>
      <c r="B34" s="599"/>
      <c r="C34" s="580" t="s">
        <v>96</v>
      </c>
      <c r="D34" s="437" t="s">
        <v>79</v>
      </c>
      <c r="E34" s="438">
        <v>40683</v>
      </c>
      <c r="F34" s="437" t="s">
        <v>70</v>
      </c>
      <c r="G34" s="600">
        <v>33</v>
      </c>
      <c r="H34" s="588">
        <v>30</v>
      </c>
      <c r="I34" s="589">
        <v>3</v>
      </c>
      <c r="J34" s="590">
        <v>1891</v>
      </c>
      <c r="K34" s="591">
        <v>256</v>
      </c>
      <c r="L34" s="590">
        <v>3629.5</v>
      </c>
      <c r="M34" s="591">
        <v>483</v>
      </c>
      <c r="N34" s="590">
        <v>2994.5</v>
      </c>
      <c r="O34" s="591">
        <v>404</v>
      </c>
      <c r="P34" s="592">
        <f aca="true" t="shared" si="14" ref="P34:Q40">SUM(J34+L34+N34)</f>
        <v>8515</v>
      </c>
      <c r="Q34" s="593">
        <f t="shared" si="14"/>
        <v>1143</v>
      </c>
      <c r="R34" s="591">
        <f>Q34/H34</f>
        <v>38.1</v>
      </c>
      <c r="S34" s="562">
        <f aca="true" t="shared" si="15" ref="S34:S39">+P34/Q34</f>
        <v>7.449693788276465</v>
      </c>
      <c r="T34" s="590">
        <v>13498.5</v>
      </c>
      <c r="U34" s="564">
        <f t="shared" si="13"/>
        <v>-0.3691891691669445</v>
      </c>
      <c r="V34" s="451">
        <f t="shared" si="2"/>
        <v>6228</v>
      </c>
      <c r="W34" s="284">
        <f t="shared" si="3"/>
        <v>955</v>
      </c>
      <c r="X34" s="680">
        <v>14743</v>
      </c>
      <c r="Y34" s="681">
        <v>2098</v>
      </c>
      <c r="Z34" s="462">
        <f t="shared" si="4"/>
        <v>0.5448045757864634</v>
      </c>
      <c r="AA34" s="462">
        <f t="shared" si="5"/>
        <v>0.4551954242135367</v>
      </c>
      <c r="AB34" s="284">
        <f t="shared" si="6"/>
        <v>69.93333333333334</v>
      </c>
      <c r="AC34" s="451">
        <f t="shared" si="7"/>
        <v>7.027168732125834</v>
      </c>
      <c r="AD34" s="242">
        <v>81240.25</v>
      </c>
      <c r="AE34" s="240">
        <v>9087</v>
      </c>
      <c r="AF34" s="110">
        <f aca="true" t="shared" si="16" ref="AF34:AF39">AD34/AE34</f>
        <v>8.940271816881259</v>
      </c>
      <c r="AG34" s="395">
        <v>24</v>
      </c>
    </row>
    <row r="35" spans="1:33" s="95" customFormat="1" ht="12.75" customHeight="1">
      <c r="A35" s="642">
        <v>25</v>
      </c>
      <c r="B35" s="599"/>
      <c r="C35" s="580" t="s">
        <v>96</v>
      </c>
      <c r="D35" s="436" t="s">
        <v>76</v>
      </c>
      <c r="E35" s="431">
        <v>40682</v>
      </c>
      <c r="F35" s="432" t="s">
        <v>36</v>
      </c>
      <c r="G35" s="434">
        <v>101</v>
      </c>
      <c r="H35" s="434">
        <v>101</v>
      </c>
      <c r="I35" s="568">
        <v>3</v>
      </c>
      <c r="J35" s="569">
        <v>1630</v>
      </c>
      <c r="K35" s="570">
        <v>258</v>
      </c>
      <c r="L35" s="569">
        <v>2039</v>
      </c>
      <c r="M35" s="570">
        <v>291</v>
      </c>
      <c r="N35" s="569">
        <v>2430</v>
      </c>
      <c r="O35" s="570">
        <v>343</v>
      </c>
      <c r="P35" s="559">
        <f t="shared" si="14"/>
        <v>6099</v>
      </c>
      <c r="Q35" s="560">
        <f t="shared" si="14"/>
        <v>892</v>
      </c>
      <c r="R35" s="561">
        <f>IF(P35&lt;&gt;0,Q35/H35,"")</f>
        <v>8.831683168316832</v>
      </c>
      <c r="S35" s="562">
        <f t="shared" si="15"/>
        <v>6.8374439461883405</v>
      </c>
      <c r="T35" s="563">
        <v>25907</v>
      </c>
      <c r="U35" s="564">
        <f t="shared" si="13"/>
        <v>-0.764581001273787</v>
      </c>
      <c r="V35" s="451">
        <f t="shared" si="2"/>
        <v>6512.5</v>
      </c>
      <c r="W35" s="284">
        <f t="shared" si="3"/>
        <v>1080</v>
      </c>
      <c r="X35" s="673">
        <v>12611.5</v>
      </c>
      <c r="Y35" s="674">
        <v>1972</v>
      </c>
      <c r="Z35" s="462">
        <f t="shared" si="4"/>
        <v>0.45233265720081134</v>
      </c>
      <c r="AA35" s="462">
        <f t="shared" si="5"/>
        <v>0.5476673427991886</v>
      </c>
      <c r="AB35" s="284">
        <f t="shared" si="6"/>
        <v>19.524752475247524</v>
      </c>
      <c r="AC35" s="451">
        <f t="shared" si="7"/>
        <v>6.395283975659229</v>
      </c>
      <c r="AD35" s="9">
        <f>27003.5+85794+43816.5+12611.5</f>
        <v>169225.5</v>
      </c>
      <c r="AE35" s="8">
        <f>3081+10215+5836+1972</f>
        <v>21104</v>
      </c>
      <c r="AF35" s="110">
        <f t="shared" si="16"/>
        <v>8.018645754359364</v>
      </c>
      <c r="AG35" s="395">
        <v>25</v>
      </c>
    </row>
    <row r="36" spans="1:33" s="95" customFormat="1" ht="12.75" customHeight="1">
      <c r="A36" s="642">
        <v>26</v>
      </c>
      <c r="B36" s="579"/>
      <c r="C36" s="555"/>
      <c r="D36" s="439" t="s">
        <v>82</v>
      </c>
      <c r="E36" s="431">
        <v>40683</v>
      </c>
      <c r="F36" s="439" t="s">
        <v>83</v>
      </c>
      <c r="G36" s="434">
        <v>10</v>
      </c>
      <c r="H36" s="434">
        <v>10</v>
      </c>
      <c r="I36" s="125">
        <v>3</v>
      </c>
      <c r="J36" s="586">
        <v>1253</v>
      </c>
      <c r="K36" s="598">
        <v>170</v>
      </c>
      <c r="L36" s="586">
        <v>2100</v>
      </c>
      <c r="M36" s="598">
        <v>244</v>
      </c>
      <c r="N36" s="586">
        <v>2076</v>
      </c>
      <c r="O36" s="598">
        <v>239</v>
      </c>
      <c r="P36" s="584">
        <f t="shared" si="14"/>
        <v>5429</v>
      </c>
      <c r="Q36" s="585">
        <f t="shared" si="14"/>
        <v>653</v>
      </c>
      <c r="R36" s="561">
        <f>IF(P36&lt;&gt;0,Q36/H36,"")</f>
        <v>65.3</v>
      </c>
      <c r="S36" s="562">
        <f t="shared" si="15"/>
        <v>8.313935681470138</v>
      </c>
      <c r="T36" s="586">
        <v>4569</v>
      </c>
      <c r="U36" s="564">
        <f t="shared" si="13"/>
        <v>0.18822499452834318</v>
      </c>
      <c r="V36" s="451">
        <f t="shared" si="2"/>
        <v>6917</v>
      </c>
      <c r="W36" s="284">
        <f t="shared" si="3"/>
        <v>1051</v>
      </c>
      <c r="X36" s="684">
        <v>12346</v>
      </c>
      <c r="Y36" s="685">
        <v>1704</v>
      </c>
      <c r="Z36" s="462">
        <f t="shared" si="4"/>
        <v>0.38321596244131456</v>
      </c>
      <c r="AA36" s="462">
        <f t="shared" si="5"/>
        <v>0.6167840375586855</v>
      </c>
      <c r="AB36" s="284">
        <f t="shared" si="6"/>
        <v>170.4</v>
      </c>
      <c r="AC36" s="451">
        <f t="shared" si="7"/>
        <v>7.245305164319249</v>
      </c>
      <c r="AD36" s="6">
        <v>39803</v>
      </c>
      <c r="AE36" s="7">
        <v>3969</v>
      </c>
      <c r="AF36" s="110">
        <f t="shared" si="16"/>
        <v>10.028470647518267</v>
      </c>
      <c r="AG36" s="395">
        <v>26</v>
      </c>
    </row>
    <row r="37" spans="1:33" s="95" customFormat="1" ht="12.75" customHeight="1">
      <c r="A37" s="642">
        <v>27</v>
      </c>
      <c r="B37" s="601"/>
      <c r="C37" s="555"/>
      <c r="D37" s="436" t="s">
        <v>71</v>
      </c>
      <c r="E37" s="431">
        <v>40676</v>
      </c>
      <c r="F37" s="432" t="s">
        <v>36</v>
      </c>
      <c r="G37" s="434">
        <v>10</v>
      </c>
      <c r="H37" s="434">
        <v>8</v>
      </c>
      <c r="I37" s="568">
        <v>4</v>
      </c>
      <c r="J37" s="569">
        <v>1407</v>
      </c>
      <c r="K37" s="570">
        <v>190</v>
      </c>
      <c r="L37" s="569">
        <v>2438.5</v>
      </c>
      <c r="M37" s="570">
        <v>318</v>
      </c>
      <c r="N37" s="569">
        <v>2483</v>
      </c>
      <c r="O37" s="570">
        <v>328</v>
      </c>
      <c r="P37" s="559">
        <f t="shared" si="14"/>
        <v>6328.5</v>
      </c>
      <c r="Q37" s="560">
        <f t="shared" si="14"/>
        <v>836</v>
      </c>
      <c r="R37" s="561">
        <f>IF(P37&lt;&gt;0,Q37/H37,"")</f>
        <v>104.5</v>
      </c>
      <c r="S37" s="562">
        <f t="shared" si="15"/>
        <v>7.569976076555024</v>
      </c>
      <c r="T37" s="563">
        <v>6339.5</v>
      </c>
      <c r="U37" s="564">
        <f t="shared" si="13"/>
        <v>-0.0017351526145595079</v>
      </c>
      <c r="V37" s="451">
        <f t="shared" si="2"/>
        <v>5905.5</v>
      </c>
      <c r="W37" s="284">
        <f t="shared" si="3"/>
        <v>907</v>
      </c>
      <c r="X37" s="673">
        <v>12234</v>
      </c>
      <c r="Y37" s="674">
        <v>1743</v>
      </c>
      <c r="Z37" s="462">
        <f t="shared" si="4"/>
        <v>0.47963281698221455</v>
      </c>
      <c r="AA37" s="462">
        <f t="shared" si="5"/>
        <v>0.5203671830177854</v>
      </c>
      <c r="AB37" s="284">
        <f t="shared" si="6"/>
        <v>217.875</v>
      </c>
      <c r="AC37" s="451">
        <f t="shared" si="7"/>
        <v>7.018932874354561</v>
      </c>
      <c r="AD37" s="9">
        <f>25538+8567.5+9964.5+12234</f>
        <v>56304</v>
      </c>
      <c r="AE37" s="8">
        <f>2653+1137+1115+1743</f>
        <v>6648</v>
      </c>
      <c r="AF37" s="110">
        <f t="shared" si="16"/>
        <v>8.469314079422382</v>
      </c>
      <c r="AG37" s="395">
        <v>27</v>
      </c>
    </row>
    <row r="38" spans="1:33" s="95" customFormat="1" ht="12.75" customHeight="1">
      <c r="A38" s="642">
        <v>28</v>
      </c>
      <c r="B38" s="577"/>
      <c r="C38" s="555"/>
      <c r="D38" s="436" t="s">
        <v>35</v>
      </c>
      <c r="E38" s="431">
        <v>40641</v>
      </c>
      <c r="F38" s="432" t="s">
        <v>36</v>
      </c>
      <c r="G38" s="434">
        <v>137</v>
      </c>
      <c r="H38" s="434">
        <v>44</v>
      </c>
      <c r="I38" s="568">
        <v>9</v>
      </c>
      <c r="J38" s="569">
        <v>2442.5</v>
      </c>
      <c r="K38" s="570">
        <v>600</v>
      </c>
      <c r="L38" s="569">
        <v>1205</v>
      </c>
      <c r="M38" s="570">
        <v>206</v>
      </c>
      <c r="N38" s="569">
        <v>930</v>
      </c>
      <c r="O38" s="570">
        <v>163</v>
      </c>
      <c r="P38" s="559">
        <f t="shared" si="14"/>
        <v>4577.5</v>
      </c>
      <c r="Q38" s="560">
        <f t="shared" si="14"/>
        <v>969</v>
      </c>
      <c r="R38" s="561">
        <f>IF(P38&lt;&gt;0,Q38/H38,"")</f>
        <v>22.022727272727273</v>
      </c>
      <c r="S38" s="562">
        <f t="shared" si="15"/>
        <v>4.723942208462332</v>
      </c>
      <c r="T38" s="563">
        <v>18797</v>
      </c>
      <c r="U38" s="564">
        <f t="shared" si="13"/>
        <v>-0.756477097409161</v>
      </c>
      <c r="V38" s="451">
        <f t="shared" si="2"/>
        <v>6396</v>
      </c>
      <c r="W38" s="284">
        <f t="shared" si="3"/>
        <v>1397</v>
      </c>
      <c r="X38" s="673">
        <v>10973.5</v>
      </c>
      <c r="Y38" s="674">
        <v>2366</v>
      </c>
      <c r="Z38" s="462">
        <f t="shared" si="4"/>
        <v>0.4095519864750634</v>
      </c>
      <c r="AA38" s="462">
        <f t="shared" si="5"/>
        <v>0.5904480135249366</v>
      </c>
      <c r="AB38" s="284">
        <f t="shared" si="6"/>
        <v>53.77272727272727</v>
      </c>
      <c r="AC38" s="451">
        <f t="shared" si="7"/>
        <v>4.6379966187658495</v>
      </c>
      <c r="AD38" s="9">
        <f>1093950.25+883807.25+882248.49+232093.5+101981.5+57830.5+19947.5+33359.5+10973.5</f>
        <v>3316191.99</v>
      </c>
      <c r="AE38" s="8">
        <f>103570+88345+90215+25333+13427+8958+3731+5336+2366</f>
        <v>341281</v>
      </c>
      <c r="AF38" s="110">
        <f t="shared" si="16"/>
        <v>9.716896018237172</v>
      </c>
      <c r="AG38" s="395">
        <v>28</v>
      </c>
    </row>
    <row r="39" spans="1:33" s="95" customFormat="1" ht="12.75" customHeight="1">
      <c r="A39" s="642">
        <v>29</v>
      </c>
      <c r="B39" s="577"/>
      <c r="C39" s="555"/>
      <c r="D39" s="432" t="s">
        <v>331</v>
      </c>
      <c r="E39" s="431">
        <v>40690</v>
      </c>
      <c r="F39" s="432" t="s">
        <v>36</v>
      </c>
      <c r="G39" s="434">
        <v>11</v>
      </c>
      <c r="H39" s="434">
        <v>11</v>
      </c>
      <c r="I39" s="568">
        <v>2</v>
      </c>
      <c r="J39" s="569">
        <v>1419</v>
      </c>
      <c r="K39" s="570">
        <v>195</v>
      </c>
      <c r="L39" s="569">
        <v>2097</v>
      </c>
      <c r="M39" s="570">
        <v>253</v>
      </c>
      <c r="N39" s="569">
        <v>2232</v>
      </c>
      <c r="O39" s="570">
        <v>272</v>
      </c>
      <c r="P39" s="559">
        <f t="shared" si="14"/>
        <v>5748</v>
      </c>
      <c r="Q39" s="560">
        <f t="shared" si="14"/>
        <v>720</v>
      </c>
      <c r="R39" s="561">
        <f>IF(P39&lt;&gt;0,Q39/H39,"")</f>
        <v>65.45454545454545</v>
      </c>
      <c r="S39" s="562">
        <f t="shared" si="15"/>
        <v>7.983333333333333</v>
      </c>
      <c r="T39" s="563">
        <v>12536.5</v>
      </c>
      <c r="U39" s="564">
        <f t="shared" si="13"/>
        <v>-0.5414988234355681</v>
      </c>
      <c r="V39" s="451">
        <f t="shared" si="2"/>
        <v>4253</v>
      </c>
      <c r="W39" s="284">
        <f t="shared" si="3"/>
        <v>614</v>
      </c>
      <c r="X39" s="673">
        <v>10001</v>
      </c>
      <c r="Y39" s="674">
        <v>1334</v>
      </c>
      <c r="Z39" s="462">
        <f t="shared" si="4"/>
        <v>0.5397301349325337</v>
      </c>
      <c r="AA39" s="462">
        <f t="shared" si="5"/>
        <v>0.46026986506746626</v>
      </c>
      <c r="AB39" s="284">
        <f t="shared" si="6"/>
        <v>121.27272727272727</v>
      </c>
      <c r="AC39" s="451">
        <f t="shared" si="7"/>
        <v>7.497001499250374</v>
      </c>
      <c r="AD39" s="9">
        <f>21135+10001</f>
        <v>31136</v>
      </c>
      <c r="AE39" s="8">
        <f>2229+1334</f>
        <v>3563</v>
      </c>
      <c r="AF39" s="110">
        <f t="shared" si="16"/>
        <v>8.738703339882122</v>
      </c>
      <c r="AG39" s="395">
        <v>29</v>
      </c>
    </row>
    <row r="40" spans="1:33" s="95" customFormat="1" ht="12.75" customHeight="1">
      <c r="A40" s="642">
        <v>30</v>
      </c>
      <c r="B40" s="601"/>
      <c r="C40" s="555"/>
      <c r="D40" s="437" t="s">
        <v>69</v>
      </c>
      <c r="E40" s="438">
        <v>40676</v>
      </c>
      <c r="F40" s="437" t="s">
        <v>70</v>
      </c>
      <c r="G40" s="600">
        <v>15</v>
      </c>
      <c r="H40" s="588">
        <v>8</v>
      </c>
      <c r="I40" s="589">
        <v>4</v>
      </c>
      <c r="J40" s="590">
        <v>1440.5</v>
      </c>
      <c r="K40" s="591">
        <v>132</v>
      </c>
      <c r="L40" s="590">
        <v>1872.5</v>
      </c>
      <c r="M40" s="591">
        <v>169</v>
      </c>
      <c r="N40" s="590">
        <v>1617.5</v>
      </c>
      <c r="O40" s="591">
        <v>148</v>
      </c>
      <c r="P40" s="592">
        <f t="shared" si="14"/>
        <v>4930.5</v>
      </c>
      <c r="Q40" s="593">
        <f t="shared" si="14"/>
        <v>449</v>
      </c>
      <c r="R40" s="602">
        <f>Q40/H40</f>
        <v>56.125</v>
      </c>
      <c r="S40" s="571">
        <f>P40/Q40</f>
        <v>10.981069042316259</v>
      </c>
      <c r="T40" s="590">
        <v>3213</v>
      </c>
      <c r="U40" s="564">
        <f t="shared" si="13"/>
        <v>0.534547152194211</v>
      </c>
      <c r="V40" s="451">
        <f t="shared" si="2"/>
        <v>3836</v>
      </c>
      <c r="W40" s="284">
        <f t="shared" si="3"/>
        <v>425</v>
      </c>
      <c r="X40" s="680">
        <v>8766.5</v>
      </c>
      <c r="Y40" s="681">
        <v>874</v>
      </c>
      <c r="Z40" s="462">
        <f t="shared" si="4"/>
        <v>0.5137299771167048</v>
      </c>
      <c r="AA40" s="462">
        <f t="shared" si="5"/>
        <v>0.4862700228832952</v>
      </c>
      <c r="AB40" s="284">
        <f t="shared" si="6"/>
        <v>109.25</v>
      </c>
      <c r="AC40" s="451">
        <f t="shared" si="7"/>
        <v>10.030320366132724</v>
      </c>
      <c r="AD40" s="242">
        <v>84424.75</v>
      </c>
      <c r="AE40" s="240">
        <v>6811</v>
      </c>
      <c r="AF40" s="107">
        <f>+AD40/AE40</f>
        <v>12.395353105270885</v>
      </c>
      <c r="AG40" s="395">
        <v>30</v>
      </c>
    </row>
    <row r="41" spans="1:33" s="95" customFormat="1" ht="12.75" customHeight="1">
      <c r="A41" s="642">
        <v>31</v>
      </c>
      <c r="B41" s="576"/>
      <c r="C41" s="555"/>
      <c r="D41" s="439" t="s">
        <v>56</v>
      </c>
      <c r="E41" s="431">
        <v>40662</v>
      </c>
      <c r="F41" s="440" t="s">
        <v>8</v>
      </c>
      <c r="G41" s="434">
        <v>68</v>
      </c>
      <c r="H41" s="434">
        <v>29</v>
      </c>
      <c r="I41" s="4">
        <v>6</v>
      </c>
      <c r="J41" s="557">
        <v>858</v>
      </c>
      <c r="K41" s="558">
        <v>154</v>
      </c>
      <c r="L41" s="557">
        <v>1476</v>
      </c>
      <c r="M41" s="558">
        <v>232</v>
      </c>
      <c r="N41" s="557">
        <v>1351</v>
      </c>
      <c r="O41" s="558">
        <v>208</v>
      </c>
      <c r="P41" s="559">
        <f>+J41+L41+N41</f>
        <v>3685</v>
      </c>
      <c r="Q41" s="560">
        <f>+K41+M41+O41</f>
        <v>594</v>
      </c>
      <c r="R41" s="598">
        <f>+Q41/H41</f>
        <v>20.482758620689655</v>
      </c>
      <c r="S41" s="586">
        <f>+P41/Q41</f>
        <v>6.203703703703703</v>
      </c>
      <c r="T41" s="563">
        <v>4975</v>
      </c>
      <c r="U41" s="564">
        <f t="shared" si="13"/>
        <v>-0.2592964824120603</v>
      </c>
      <c r="V41" s="451">
        <f t="shared" si="2"/>
        <v>4847</v>
      </c>
      <c r="W41" s="284">
        <f t="shared" si="3"/>
        <v>951</v>
      </c>
      <c r="X41" s="684">
        <v>8532</v>
      </c>
      <c r="Y41" s="685">
        <v>1545</v>
      </c>
      <c r="Z41" s="462">
        <f t="shared" si="4"/>
        <v>0.3844660194174757</v>
      </c>
      <c r="AA41" s="462">
        <f t="shared" si="5"/>
        <v>0.6155339805825243</v>
      </c>
      <c r="AB41" s="284">
        <f t="shared" si="6"/>
        <v>53.275862068965516</v>
      </c>
      <c r="AC41" s="451">
        <f t="shared" si="7"/>
        <v>5.522330097087378</v>
      </c>
      <c r="AD41" s="6">
        <v>230438</v>
      </c>
      <c r="AE41" s="7">
        <v>27654</v>
      </c>
      <c r="AF41" s="110">
        <f>AD41/AE41</f>
        <v>8.332899399725175</v>
      </c>
      <c r="AG41" s="395">
        <v>31</v>
      </c>
    </row>
    <row r="42" spans="1:33" s="95" customFormat="1" ht="12.75" customHeight="1">
      <c r="A42" s="642">
        <v>32</v>
      </c>
      <c r="B42" s="576"/>
      <c r="C42" s="555"/>
      <c r="D42" s="436" t="s">
        <v>46</v>
      </c>
      <c r="E42" s="431">
        <v>40655</v>
      </c>
      <c r="F42" s="432" t="s">
        <v>36</v>
      </c>
      <c r="G42" s="434">
        <v>156</v>
      </c>
      <c r="H42" s="434">
        <v>17</v>
      </c>
      <c r="I42" s="568">
        <v>7</v>
      </c>
      <c r="J42" s="569">
        <v>1554</v>
      </c>
      <c r="K42" s="570">
        <v>222</v>
      </c>
      <c r="L42" s="569">
        <v>1120.5</v>
      </c>
      <c r="M42" s="570">
        <v>189</v>
      </c>
      <c r="N42" s="569">
        <v>762</v>
      </c>
      <c r="O42" s="570">
        <v>127</v>
      </c>
      <c r="P42" s="559">
        <f>SUM(J42+L42+N42)</f>
        <v>3436.5</v>
      </c>
      <c r="Q42" s="560">
        <f>SUM(K42+M42+O42)</f>
        <v>538</v>
      </c>
      <c r="R42" s="561">
        <f>IF(P42&lt;&gt;0,Q42/H42,"")</f>
        <v>31.647058823529413</v>
      </c>
      <c r="S42" s="562">
        <f>+P42/Q42</f>
        <v>6.387546468401487</v>
      </c>
      <c r="T42" s="563">
        <v>1725</v>
      </c>
      <c r="U42" s="564">
        <f t="shared" si="13"/>
        <v>0.9921739130434782</v>
      </c>
      <c r="V42" s="451">
        <f t="shared" si="2"/>
        <v>4621.5</v>
      </c>
      <c r="W42" s="284">
        <f t="shared" si="3"/>
        <v>834</v>
      </c>
      <c r="X42" s="673">
        <v>8058</v>
      </c>
      <c r="Y42" s="674">
        <v>1372</v>
      </c>
      <c r="Z42" s="462">
        <f t="shared" si="4"/>
        <v>0.39212827988338195</v>
      </c>
      <c r="AA42" s="462">
        <f t="shared" si="5"/>
        <v>0.607871720116618</v>
      </c>
      <c r="AB42" s="284">
        <f t="shared" si="6"/>
        <v>80.70588235294117</v>
      </c>
      <c r="AC42" s="451">
        <f t="shared" si="7"/>
        <v>5.873177842565598</v>
      </c>
      <c r="AD42" s="9">
        <f>633760.5+136320.5+35218.5+12632+4659.5+2946+8058</f>
        <v>833595</v>
      </c>
      <c r="AE42" s="8">
        <f>74640+17307+4811+1875+917+522+1372</f>
        <v>101444</v>
      </c>
      <c r="AF42" s="107">
        <f>+AD42/AE42</f>
        <v>8.217292299199558</v>
      </c>
      <c r="AG42" s="395">
        <v>32</v>
      </c>
    </row>
    <row r="43" spans="1:33" s="95" customFormat="1" ht="12.75" customHeight="1">
      <c r="A43" s="642">
        <v>33</v>
      </c>
      <c r="B43" s="572"/>
      <c r="C43" s="555"/>
      <c r="D43" s="436" t="s">
        <v>40</v>
      </c>
      <c r="E43" s="431">
        <v>40648</v>
      </c>
      <c r="F43" s="432" t="s">
        <v>36</v>
      </c>
      <c r="G43" s="434">
        <v>72</v>
      </c>
      <c r="H43" s="434">
        <v>27</v>
      </c>
      <c r="I43" s="568">
        <v>8</v>
      </c>
      <c r="J43" s="569">
        <v>939</v>
      </c>
      <c r="K43" s="570">
        <v>148</v>
      </c>
      <c r="L43" s="569">
        <v>1341</v>
      </c>
      <c r="M43" s="570">
        <v>185</v>
      </c>
      <c r="N43" s="569">
        <v>1124</v>
      </c>
      <c r="O43" s="570">
        <v>161</v>
      </c>
      <c r="P43" s="559">
        <f>SUM(J43+L43+N43)</f>
        <v>3404</v>
      </c>
      <c r="Q43" s="560">
        <f>SUM(K43+M43+O43)</f>
        <v>494</v>
      </c>
      <c r="R43" s="561">
        <f>IF(P43&lt;&gt;0,Q43/H43,"")</f>
        <v>18.296296296296298</v>
      </c>
      <c r="S43" s="562">
        <f>+P43/Q43</f>
        <v>6.890688259109312</v>
      </c>
      <c r="T43" s="563">
        <v>10967</v>
      </c>
      <c r="U43" s="564">
        <f t="shared" si="13"/>
        <v>-0.6896142974377678</v>
      </c>
      <c r="V43" s="451">
        <f aca="true" t="shared" si="17" ref="V43:V74">X43-P43</f>
        <v>4108</v>
      </c>
      <c r="W43" s="284">
        <f aca="true" t="shared" si="18" ref="W43:W74">Y43-Q43</f>
        <v>661</v>
      </c>
      <c r="X43" s="673">
        <v>7512</v>
      </c>
      <c r="Y43" s="674">
        <v>1155</v>
      </c>
      <c r="Z43" s="462">
        <f aca="true" t="shared" si="19" ref="Z43:Z74">Q43*1/Y43</f>
        <v>0.4277056277056277</v>
      </c>
      <c r="AA43" s="462">
        <f aca="true" t="shared" si="20" ref="AA43:AA74">W43*1/Y43</f>
        <v>0.5722943722943723</v>
      </c>
      <c r="AB43" s="284">
        <f aca="true" t="shared" si="21" ref="AB43:AB74">Y43/H43</f>
        <v>42.77777777777778</v>
      </c>
      <c r="AC43" s="451">
        <f aca="true" t="shared" si="22" ref="AC43:AC74">X43/Y43</f>
        <v>6.503896103896104</v>
      </c>
      <c r="AD43" s="9">
        <f>313705+218661+94172+73484.5+60319.5+15976+18868+7512</f>
        <v>802698</v>
      </c>
      <c r="AE43" s="8">
        <f>29673+21437+10530+10169+8845+2631+2981+1155</f>
        <v>87421</v>
      </c>
      <c r="AF43" s="107">
        <f>+AD43/AE43</f>
        <v>9.181981446105627</v>
      </c>
      <c r="AG43" s="395">
        <v>33</v>
      </c>
    </row>
    <row r="44" spans="1:33" s="95" customFormat="1" ht="12.75" customHeight="1">
      <c r="A44" s="642">
        <v>34</v>
      </c>
      <c r="B44" s="572"/>
      <c r="C44" s="555"/>
      <c r="D44" s="439" t="s">
        <v>61</v>
      </c>
      <c r="E44" s="431">
        <v>40669</v>
      </c>
      <c r="F44" s="440" t="s">
        <v>8</v>
      </c>
      <c r="G44" s="434">
        <v>20</v>
      </c>
      <c r="H44" s="434">
        <v>18</v>
      </c>
      <c r="I44" s="4">
        <v>5</v>
      </c>
      <c r="J44" s="557">
        <v>957</v>
      </c>
      <c r="K44" s="558">
        <v>142</v>
      </c>
      <c r="L44" s="557">
        <v>1802</v>
      </c>
      <c r="M44" s="558">
        <v>249</v>
      </c>
      <c r="N44" s="557">
        <v>1444</v>
      </c>
      <c r="O44" s="558">
        <v>199</v>
      </c>
      <c r="P44" s="559">
        <f>+J44+L44+N44</f>
        <v>4203</v>
      </c>
      <c r="Q44" s="560">
        <f>+K44+M44+O44</f>
        <v>590</v>
      </c>
      <c r="R44" s="598">
        <f>+Q44/H44</f>
        <v>32.77777777777778</v>
      </c>
      <c r="S44" s="586">
        <f>+P44/Q44</f>
        <v>7.123728813559322</v>
      </c>
      <c r="T44" s="563">
        <v>6510</v>
      </c>
      <c r="U44" s="564">
        <f t="shared" si="13"/>
        <v>-0.3543778801843318</v>
      </c>
      <c r="V44" s="451">
        <f t="shared" si="17"/>
        <v>3279</v>
      </c>
      <c r="W44" s="284">
        <f t="shared" si="18"/>
        <v>584</v>
      </c>
      <c r="X44" s="684">
        <v>7482</v>
      </c>
      <c r="Y44" s="685">
        <v>1174</v>
      </c>
      <c r="Z44" s="462">
        <f t="shared" si="19"/>
        <v>0.5025553662691652</v>
      </c>
      <c r="AA44" s="462">
        <f t="shared" si="20"/>
        <v>0.49744463373083475</v>
      </c>
      <c r="AB44" s="284">
        <f t="shared" si="21"/>
        <v>65.22222222222223</v>
      </c>
      <c r="AC44" s="451">
        <f t="shared" si="22"/>
        <v>6.3730834752981265</v>
      </c>
      <c r="AD44" s="6">
        <v>154638</v>
      </c>
      <c r="AE44" s="7">
        <v>13314</v>
      </c>
      <c r="AF44" s="107">
        <f>+AD44/AE44</f>
        <v>11.614691302388463</v>
      </c>
      <c r="AG44" s="395">
        <v>34</v>
      </c>
    </row>
    <row r="45" spans="1:33" s="95" customFormat="1" ht="12.75" customHeight="1">
      <c r="A45" s="642">
        <v>35</v>
      </c>
      <c r="B45" s="554" t="s">
        <v>97</v>
      </c>
      <c r="C45" s="555"/>
      <c r="D45" s="587" t="s">
        <v>352</v>
      </c>
      <c r="E45" s="581">
        <v>40697</v>
      </c>
      <c r="F45" s="437" t="s">
        <v>70</v>
      </c>
      <c r="G45" s="588">
        <v>2</v>
      </c>
      <c r="H45" s="588">
        <v>2</v>
      </c>
      <c r="I45" s="589">
        <v>1</v>
      </c>
      <c r="J45" s="590">
        <v>715</v>
      </c>
      <c r="K45" s="591">
        <v>49</v>
      </c>
      <c r="L45" s="590">
        <v>2125</v>
      </c>
      <c r="M45" s="591">
        <v>138</v>
      </c>
      <c r="N45" s="590">
        <v>1821.5</v>
      </c>
      <c r="O45" s="591">
        <v>119</v>
      </c>
      <c r="P45" s="603">
        <f aca="true" t="shared" si="23" ref="P45:P53">SUM(J45+L45+N45)</f>
        <v>4661.5</v>
      </c>
      <c r="Q45" s="604">
        <f aca="true" t="shared" si="24" ref="Q45:Q53">SUM(K45+M45+O45)</f>
        <v>306</v>
      </c>
      <c r="R45" s="602">
        <f>Q45/H45</f>
        <v>153</v>
      </c>
      <c r="S45" s="571">
        <f>P45/Q45</f>
        <v>15.233660130718954</v>
      </c>
      <c r="T45" s="571"/>
      <c r="U45" s="564"/>
      <c r="V45" s="451">
        <f t="shared" si="17"/>
        <v>2767</v>
      </c>
      <c r="W45" s="284">
        <f t="shared" si="18"/>
        <v>217</v>
      </c>
      <c r="X45" s="680">
        <v>7428.5</v>
      </c>
      <c r="Y45" s="681">
        <v>523</v>
      </c>
      <c r="Z45" s="462">
        <f t="shared" si="19"/>
        <v>0.5850860420650096</v>
      </c>
      <c r="AA45" s="462">
        <f t="shared" si="20"/>
        <v>0.4149139579349904</v>
      </c>
      <c r="AB45" s="284">
        <f t="shared" si="21"/>
        <v>261.5</v>
      </c>
      <c r="AC45" s="451">
        <f t="shared" si="22"/>
        <v>14.203632887189293</v>
      </c>
      <c r="AD45" s="242">
        <v>7428.5</v>
      </c>
      <c r="AE45" s="240">
        <v>523</v>
      </c>
      <c r="AF45" s="107">
        <f>+AD45/AE45</f>
        <v>14.203632887189293</v>
      </c>
      <c r="AG45" s="395">
        <v>35</v>
      </c>
    </row>
    <row r="46" spans="1:33" s="95" customFormat="1" ht="12.75" customHeight="1">
      <c r="A46" s="642">
        <v>36</v>
      </c>
      <c r="B46" s="605"/>
      <c r="C46" s="555"/>
      <c r="D46" s="439" t="s">
        <v>50</v>
      </c>
      <c r="E46" s="431">
        <v>40641</v>
      </c>
      <c r="F46" s="439" t="s">
        <v>83</v>
      </c>
      <c r="G46" s="434">
        <v>20</v>
      </c>
      <c r="H46" s="434">
        <v>11</v>
      </c>
      <c r="I46" s="125">
        <v>9</v>
      </c>
      <c r="J46" s="586">
        <v>1196</v>
      </c>
      <c r="K46" s="598">
        <v>171</v>
      </c>
      <c r="L46" s="586">
        <v>1704</v>
      </c>
      <c r="M46" s="598">
        <v>235</v>
      </c>
      <c r="N46" s="586">
        <v>1436</v>
      </c>
      <c r="O46" s="598">
        <v>194</v>
      </c>
      <c r="P46" s="584">
        <f t="shared" si="23"/>
        <v>4336</v>
      </c>
      <c r="Q46" s="585">
        <f t="shared" si="24"/>
        <v>600</v>
      </c>
      <c r="R46" s="561">
        <f>IF(P46&lt;&gt;0,Q46/H46,"")</f>
        <v>54.54545454545455</v>
      </c>
      <c r="S46" s="562">
        <f>+P46/Q46</f>
        <v>7.226666666666667</v>
      </c>
      <c r="T46" s="586">
        <v>3089</v>
      </c>
      <c r="U46" s="564">
        <f aca="true" t="shared" si="25" ref="U46:U59">IF(T46&lt;&gt;0,-(T46-P46)/T46,"")</f>
        <v>0.403690514729686</v>
      </c>
      <c r="V46" s="451">
        <f t="shared" si="17"/>
        <v>2975</v>
      </c>
      <c r="W46" s="284">
        <f t="shared" si="18"/>
        <v>431</v>
      </c>
      <c r="X46" s="684">
        <v>7311</v>
      </c>
      <c r="Y46" s="685">
        <v>1031</v>
      </c>
      <c r="Z46" s="462">
        <f t="shared" si="19"/>
        <v>0.5819592628516004</v>
      </c>
      <c r="AA46" s="462">
        <f t="shared" si="20"/>
        <v>0.4180407371483996</v>
      </c>
      <c r="AB46" s="284">
        <f t="shared" si="21"/>
        <v>93.72727272727273</v>
      </c>
      <c r="AC46" s="451">
        <f t="shared" si="22"/>
        <v>7.091173617846751</v>
      </c>
      <c r="AD46" s="6">
        <v>237992</v>
      </c>
      <c r="AE46" s="7">
        <v>31718</v>
      </c>
      <c r="AF46" s="110">
        <f>AD46/AE46</f>
        <v>7.503373478781764</v>
      </c>
      <c r="AG46" s="395">
        <v>36</v>
      </c>
    </row>
    <row r="47" spans="1:33" s="95" customFormat="1" ht="12.75" customHeight="1">
      <c r="A47" s="642">
        <v>37</v>
      </c>
      <c r="B47" s="554" t="s">
        <v>97</v>
      </c>
      <c r="C47" s="555"/>
      <c r="D47" s="565" t="s">
        <v>353</v>
      </c>
      <c r="E47" s="556">
        <v>40697</v>
      </c>
      <c r="F47" s="432" t="s">
        <v>36</v>
      </c>
      <c r="G47" s="566">
        <v>6</v>
      </c>
      <c r="H47" s="567">
        <v>6</v>
      </c>
      <c r="I47" s="568">
        <v>1</v>
      </c>
      <c r="J47" s="569">
        <v>1165</v>
      </c>
      <c r="K47" s="570">
        <v>99</v>
      </c>
      <c r="L47" s="569">
        <v>1394</v>
      </c>
      <c r="M47" s="570">
        <v>110</v>
      </c>
      <c r="N47" s="569">
        <v>1676</v>
      </c>
      <c r="O47" s="570">
        <v>144</v>
      </c>
      <c r="P47" s="559">
        <f t="shared" si="23"/>
        <v>4235</v>
      </c>
      <c r="Q47" s="560">
        <f t="shared" si="24"/>
        <v>353</v>
      </c>
      <c r="R47" s="561">
        <f>IF(P47&lt;&gt;0,Q47/H47,"")</f>
        <v>58.833333333333336</v>
      </c>
      <c r="S47" s="562">
        <f>+P47/Q47</f>
        <v>11.997167138810198</v>
      </c>
      <c r="T47" s="563"/>
      <c r="U47" s="564">
        <f t="shared" si="25"/>
      </c>
      <c r="V47" s="451">
        <f t="shared" si="17"/>
        <v>3073.5</v>
      </c>
      <c r="W47" s="284">
        <f t="shared" si="18"/>
        <v>323</v>
      </c>
      <c r="X47" s="673">
        <v>7308.5</v>
      </c>
      <c r="Y47" s="674">
        <v>676</v>
      </c>
      <c r="Z47" s="462">
        <f t="shared" si="19"/>
        <v>0.522189349112426</v>
      </c>
      <c r="AA47" s="462">
        <f t="shared" si="20"/>
        <v>0.47781065088757396</v>
      </c>
      <c r="AB47" s="284">
        <f t="shared" si="21"/>
        <v>112.66666666666667</v>
      </c>
      <c r="AC47" s="451">
        <f t="shared" si="22"/>
        <v>10.81139053254438</v>
      </c>
      <c r="AD47" s="9">
        <f>7308.5</f>
        <v>7308.5</v>
      </c>
      <c r="AE47" s="8">
        <f>676</f>
        <v>676</v>
      </c>
      <c r="AF47" s="107">
        <f>+AD47/AE47</f>
        <v>10.81139053254438</v>
      </c>
      <c r="AG47" s="395">
        <v>37</v>
      </c>
    </row>
    <row r="48" spans="1:33" s="95" customFormat="1" ht="12.75" customHeight="1">
      <c r="A48" s="642">
        <v>38</v>
      </c>
      <c r="B48" s="599"/>
      <c r="C48" s="555"/>
      <c r="D48" s="437" t="s">
        <v>330</v>
      </c>
      <c r="E48" s="438">
        <v>40690</v>
      </c>
      <c r="F48" s="437" t="s">
        <v>70</v>
      </c>
      <c r="G48" s="600">
        <v>17</v>
      </c>
      <c r="H48" s="588">
        <v>15</v>
      </c>
      <c r="I48" s="589">
        <v>2</v>
      </c>
      <c r="J48" s="590">
        <v>647</v>
      </c>
      <c r="K48" s="591">
        <v>83</v>
      </c>
      <c r="L48" s="590">
        <v>1291</v>
      </c>
      <c r="M48" s="591">
        <v>145</v>
      </c>
      <c r="N48" s="590">
        <v>1187</v>
      </c>
      <c r="O48" s="591">
        <v>136</v>
      </c>
      <c r="P48" s="603">
        <f t="shared" si="23"/>
        <v>3125</v>
      </c>
      <c r="Q48" s="604">
        <f t="shared" si="24"/>
        <v>364</v>
      </c>
      <c r="R48" s="602">
        <f>Q48/H48</f>
        <v>24.266666666666666</v>
      </c>
      <c r="S48" s="562">
        <f>+P48/Q48</f>
        <v>8.585164835164836</v>
      </c>
      <c r="T48" s="571">
        <v>18232</v>
      </c>
      <c r="U48" s="564">
        <f t="shared" si="25"/>
        <v>-0.8285980693286529</v>
      </c>
      <c r="V48" s="451">
        <f t="shared" si="17"/>
        <v>3026</v>
      </c>
      <c r="W48" s="284">
        <f t="shared" si="18"/>
        <v>430</v>
      </c>
      <c r="X48" s="680">
        <v>6151</v>
      </c>
      <c r="Y48" s="681">
        <v>794</v>
      </c>
      <c r="Z48" s="462">
        <f t="shared" si="19"/>
        <v>0.45843828715365237</v>
      </c>
      <c r="AA48" s="462">
        <f t="shared" si="20"/>
        <v>0.5415617128463476</v>
      </c>
      <c r="AB48" s="284">
        <f t="shared" si="21"/>
        <v>52.93333333333333</v>
      </c>
      <c r="AC48" s="451">
        <f t="shared" si="22"/>
        <v>7.746851385390428</v>
      </c>
      <c r="AD48" s="242">
        <v>35682</v>
      </c>
      <c r="AE48" s="240">
        <v>3614</v>
      </c>
      <c r="AF48" s="110">
        <f>AD48/AE48</f>
        <v>9.873270614277809</v>
      </c>
      <c r="AG48" s="395">
        <v>38</v>
      </c>
    </row>
    <row r="49" spans="1:33" s="95" customFormat="1" ht="12.75" customHeight="1">
      <c r="A49" s="642">
        <v>39</v>
      </c>
      <c r="B49" s="577"/>
      <c r="C49" s="555"/>
      <c r="D49" s="565" t="s">
        <v>303</v>
      </c>
      <c r="E49" s="556">
        <v>40662</v>
      </c>
      <c r="F49" s="432" t="s">
        <v>36</v>
      </c>
      <c r="G49" s="566">
        <v>8</v>
      </c>
      <c r="H49" s="567">
        <v>5</v>
      </c>
      <c r="I49" s="568">
        <v>5</v>
      </c>
      <c r="J49" s="569">
        <v>659.5</v>
      </c>
      <c r="K49" s="570">
        <v>41</v>
      </c>
      <c r="L49" s="569">
        <v>966.5</v>
      </c>
      <c r="M49" s="570">
        <v>65</v>
      </c>
      <c r="N49" s="569">
        <v>697</v>
      </c>
      <c r="O49" s="570">
        <v>45</v>
      </c>
      <c r="P49" s="559">
        <f t="shared" si="23"/>
        <v>2323</v>
      </c>
      <c r="Q49" s="560">
        <f t="shared" si="24"/>
        <v>151</v>
      </c>
      <c r="R49" s="561">
        <f>IF(P49&lt;&gt;0,Q49/H49,"")</f>
        <v>30.2</v>
      </c>
      <c r="S49" s="562">
        <f>IF(P49&lt;&gt;0,P49/Q49,"")</f>
        <v>15.3841059602649</v>
      </c>
      <c r="T49" s="563"/>
      <c r="U49" s="564">
        <f t="shared" si="25"/>
      </c>
      <c r="V49" s="451">
        <f t="shared" si="17"/>
        <v>3201</v>
      </c>
      <c r="W49" s="284">
        <f t="shared" si="18"/>
        <v>255</v>
      </c>
      <c r="X49" s="673">
        <v>5524</v>
      </c>
      <c r="Y49" s="674">
        <v>406</v>
      </c>
      <c r="Z49" s="462">
        <f t="shared" si="19"/>
        <v>0.37192118226600984</v>
      </c>
      <c r="AA49" s="462">
        <f t="shared" si="20"/>
        <v>0.6280788177339901</v>
      </c>
      <c r="AB49" s="284">
        <f t="shared" si="21"/>
        <v>81.2</v>
      </c>
      <c r="AC49" s="451">
        <f t="shared" si="22"/>
        <v>13.605911330049262</v>
      </c>
      <c r="AD49" s="9">
        <f>67674.75+46830+18110+1476+5524</f>
        <v>139614.75</v>
      </c>
      <c r="AE49" s="8">
        <f>4668+3128+1120+94+406</f>
        <v>9416</v>
      </c>
      <c r="AF49" s="107">
        <f>+AD49/AE49</f>
        <v>14.827394859813085</v>
      </c>
      <c r="AG49" s="395">
        <v>39</v>
      </c>
    </row>
    <row r="50" spans="1:33" s="95" customFormat="1" ht="12.75" customHeight="1">
      <c r="A50" s="642">
        <v>40</v>
      </c>
      <c r="B50" s="601"/>
      <c r="C50" s="555"/>
      <c r="D50" s="437" t="s">
        <v>48</v>
      </c>
      <c r="E50" s="438">
        <v>40655</v>
      </c>
      <c r="F50" s="437" t="s">
        <v>70</v>
      </c>
      <c r="G50" s="600">
        <v>35</v>
      </c>
      <c r="H50" s="588">
        <v>6</v>
      </c>
      <c r="I50" s="589">
        <v>7</v>
      </c>
      <c r="J50" s="590">
        <v>705</v>
      </c>
      <c r="K50" s="591">
        <v>114</v>
      </c>
      <c r="L50" s="590">
        <v>772</v>
      </c>
      <c r="M50" s="591">
        <v>124</v>
      </c>
      <c r="N50" s="590">
        <v>654</v>
      </c>
      <c r="O50" s="591">
        <v>105</v>
      </c>
      <c r="P50" s="603">
        <f t="shared" si="23"/>
        <v>2131</v>
      </c>
      <c r="Q50" s="604">
        <f t="shared" si="24"/>
        <v>343</v>
      </c>
      <c r="R50" s="602">
        <f>Q50/H50</f>
        <v>57.166666666666664</v>
      </c>
      <c r="S50" s="571">
        <f>P50/Q50</f>
        <v>6.2128279883381925</v>
      </c>
      <c r="T50" s="571">
        <v>7397</v>
      </c>
      <c r="U50" s="564">
        <f t="shared" si="25"/>
        <v>-0.7119102338785994</v>
      </c>
      <c r="V50" s="451">
        <f t="shared" si="17"/>
        <v>2347</v>
      </c>
      <c r="W50" s="284">
        <f t="shared" si="18"/>
        <v>399</v>
      </c>
      <c r="X50" s="680">
        <v>4478</v>
      </c>
      <c r="Y50" s="681">
        <v>742</v>
      </c>
      <c r="Z50" s="462">
        <f t="shared" si="19"/>
        <v>0.46226415094339623</v>
      </c>
      <c r="AA50" s="462">
        <f t="shared" si="20"/>
        <v>0.5377358490566038</v>
      </c>
      <c r="AB50" s="284">
        <f t="shared" si="21"/>
        <v>123.66666666666667</v>
      </c>
      <c r="AC50" s="451">
        <f t="shared" si="22"/>
        <v>6.035040431266847</v>
      </c>
      <c r="AD50" s="242">
        <v>289555.5</v>
      </c>
      <c r="AE50" s="240">
        <v>27707</v>
      </c>
      <c r="AF50" s="107">
        <f>+AD50/AE50</f>
        <v>10.450626195546253</v>
      </c>
      <c r="AG50" s="395">
        <v>40</v>
      </c>
    </row>
    <row r="51" spans="1:33" s="95" customFormat="1" ht="12.75" customHeight="1">
      <c r="A51" s="642">
        <v>41</v>
      </c>
      <c r="B51" s="577"/>
      <c r="C51" s="580" t="s">
        <v>96</v>
      </c>
      <c r="D51" s="432" t="s">
        <v>85</v>
      </c>
      <c r="E51" s="431">
        <v>40655</v>
      </c>
      <c r="F51" s="432" t="s">
        <v>86</v>
      </c>
      <c r="G51" s="434">
        <v>5</v>
      </c>
      <c r="H51" s="434">
        <v>6</v>
      </c>
      <c r="I51" s="125">
        <v>7</v>
      </c>
      <c r="J51" s="606">
        <v>486</v>
      </c>
      <c r="K51" s="607">
        <v>61</v>
      </c>
      <c r="L51" s="606">
        <v>750</v>
      </c>
      <c r="M51" s="607">
        <v>100</v>
      </c>
      <c r="N51" s="606">
        <v>750</v>
      </c>
      <c r="O51" s="607">
        <v>100</v>
      </c>
      <c r="P51" s="559">
        <f t="shared" si="23"/>
        <v>1986</v>
      </c>
      <c r="Q51" s="560">
        <f t="shared" si="24"/>
        <v>261</v>
      </c>
      <c r="R51" s="561">
        <f aca="true" t="shared" si="26" ref="R51:R57">IF(P51&lt;&gt;0,Q51/H51,"")</f>
        <v>43.5</v>
      </c>
      <c r="S51" s="562">
        <f>+P51/Q51</f>
        <v>7.609195402298851</v>
      </c>
      <c r="T51" s="563">
        <v>2757</v>
      </c>
      <c r="U51" s="564">
        <f t="shared" si="25"/>
        <v>-0.279651795429815</v>
      </c>
      <c r="V51" s="451">
        <f t="shared" si="17"/>
        <v>2222</v>
      </c>
      <c r="W51" s="284">
        <f t="shared" si="18"/>
        <v>316</v>
      </c>
      <c r="X51" s="686">
        <v>4208</v>
      </c>
      <c r="Y51" s="687">
        <v>577</v>
      </c>
      <c r="Z51" s="462">
        <f t="shared" si="19"/>
        <v>0.45233968804159447</v>
      </c>
      <c r="AA51" s="462">
        <f t="shared" si="20"/>
        <v>0.5476603119584056</v>
      </c>
      <c r="AB51" s="284">
        <f t="shared" si="21"/>
        <v>96.16666666666667</v>
      </c>
      <c r="AC51" s="451">
        <f t="shared" si="22"/>
        <v>7.292894280762565</v>
      </c>
      <c r="AD51" s="105">
        <v>62851</v>
      </c>
      <c r="AE51" s="118">
        <v>9856</v>
      </c>
      <c r="AF51" s="110">
        <f>AD51/AE51</f>
        <v>6.376927759740259</v>
      </c>
      <c r="AG51" s="395">
        <v>41</v>
      </c>
    </row>
    <row r="52" spans="1:33" s="95" customFormat="1" ht="12.75" customHeight="1">
      <c r="A52" s="642">
        <v>42</v>
      </c>
      <c r="B52" s="576"/>
      <c r="C52" s="580" t="s">
        <v>96</v>
      </c>
      <c r="D52" s="436" t="s">
        <v>72</v>
      </c>
      <c r="E52" s="431">
        <v>40676</v>
      </c>
      <c r="F52" s="432" t="s">
        <v>36</v>
      </c>
      <c r="G52" s="434">
        <v>10</v>
      </c>
      <c r="H52" s="434">
        <v>7</v>
      </c>
      <c r="I52" s="568">
        <v>5</v>
      </c>
      <c r="J52" s="569">
        <v>661</v>
      </c>
      <c r="K52" s="570">
        <v>109</v>
      </c>
      <c r="L52" s="569">
        <v>468</v>
      </c>
      <c r="M52" s="570">
        <v>58</v>
      </c>
      <c r="N52" s="569">
        <v>524</v>
      </c>
      <c r="O52" s="570">
        <v>64</v>
      </c>
      <c r="P52" s="559">
        <f t="shared" si="23"/>
        <v>1653</v>
      </c>
      <c r="Q52" s="560">
        <f t="shared" si="24"/>
        <v>231</v>
      </c>
      <c r="R52" s="561">
        <f t="shared" si="26"/>
        <v>33</v>
      </c>
      <c r="S52" s="562">
        <f>+P52/Q52</f>
        <v>7.1558441558441555</v>
      </c>
      <c r="T52" s="563">
        <v>2485.5</v>
      </c>
      <c r="U52" s="564">
        <f t="shared" si="25"/>
        <v>-0.3349426674713337</v>
      </c>
      <c r="V52" s="451">
        <f t="shared" si="17"/>
        <v>2496</v>
      </c>
      <c r="W52" s="284">
        <f t="shared" si="18"/>
        <v>415</v>
      </c>
      <c r="X52" s="673">
        <v>4149</v>
      </c>
      <c r="Y52" s="674">
        <v>646</v>
      </c>
      <c r="Z52" s="462">
        <f t="shared" si="19"/>
        <v>0.35758513931888547</v>
      </c>
      <c r="AA52" s="462">
        <f t="shared" si="20"/>
        <v>0.6424148606811145</v>
      </c>
      <c r="AB52" s="284">
        <f t="shared" si="21"/>
        <v>92.28571428571429</v>
      </c>
      <c r="AC52" s="451">
        <f t="shared" si="22"/>
        <v>6.422600619195046</v>
      </c>
      <c r="AD52" s="9">
        <f>19776.5+5289.5+3941.5+4149</f>
        <v>33156.5</v>
      </c>
      <c r="AE52" s="8">
        <f>2214+710+772+646</f>
        <v>4342</v>
      </c>
      <c r="AF52" s="110">
        <f>AD52/AE52</f>
        <v>7.63622754491018</v>
      </c>
      <c r="AG52" s="395">
        <v>42</v>
      </c>
    </row>
    <row r="53" spans="1:33" s="95" customFormat="1" ht="12.75" customHeight="1">
      <c r="A53" s="642">
        <v>43</v>
      </c>
      <c r="B53" s="572"/>
      <c r="C53" s="580" t="s">
        <v>96</v>
      </c>
      <c r="D53" s="436" t="s">
        <v>13</v>
      </c>
      <c r="E53" s="431">
        <v>40585</v>
      </c>
      <c r="F53" s="432" t="s">
        <v>36</v>
      </c>
      <c r="G53" s="434">
        <v>58</v>
      </c>
      <c r="H53" s="434">
        <v>7</v>
      </c>
      <c r="I53" s="568">
        <v>17</v>
      </c>
      <c r="J53" s="569">
        <v>878</v>
      </c>
      <c r="K53" s="570">
        <v>85</v>
      </c>
      <c r="L53" s="569">
        <v>693</v>
      </c>
      <c r="M53" s="570">
        <v>72</v>
      </c>
      <c r="N53" s="569">
        <v>567.5</v>
      </c>
      <c r="O53" s="570">
        <v>57</v>
      </c>
      <c r="P53" s="559">
        <f t="shared" si="23"/>
        <v>2138.5</v>
      </c>
      <c r="Q53" s="560">
        <f t="shared" si="24"/>
        <v>214</v>
      </c>
      <c r="R53" s="561">
        <f t="shared" si="26"/>
        <v>30.571428571428573</v>
      </c>
      <c r="S53" s="562">
        <f>+P53/Q53</f>
        <v>9.992990654205608</v>
      </c>
      <c r="T53" s="563">
        <v>4413.5</v>
      </c>
      <c r="U53" s="564">
        <f t="shared" si="25"/>
        <v>-0.5154639175257731</v>
      </c>
      <c r="V53" s="451">
        <f t="shared" si="17"/>
        <v>1685.5</v>
      </c>
      <c r="W53" s="284">
        <f t="shared" si="18"/>
        <v>206</v>
      </c>
      <c r="X53" s="673">
        <v>3824</v>
      </c>
      <c r="Y53" s="674">
        <v>420</v>
      </c>
      <c r="Z53" s="462">
        <f t="shared" si="19"/>
        <v>0.5095238095238095</v>
      </c>
      <c r="AA53" s="462">
        <f t="shared" si="20"/>
        <v>0.49047619047619045</v>
      </c>
      <c r="AB53" s="284">
        <f t="shared" si="21"/>
        <v>60</v>
      </c>
      <c r="AC53" s="451">
        <f t="shared" si="22"/>
        <v>9.104761904761904</v>
      </c>
      <c r="AD53" s="9">
        <f>236018+209847.25+105622+138051.5+64189.5+34454+20202.5+27754+16946+8179.5+9672.5+8494+21812+25095+12109+8066+3824</f>
        <v>950336.75</v>
      </c>
      <c r="AE53" s="8">
        <f>25731+24506+13184+19079+9581+4996+3067+4392+3122+1175+1530+1410+3175+3587+1436+923+420</f>
        <v>121314</v>
      </c>
      <c r="AF53" s="107">
        <f>+AD53/AE53</f>
        <v>7.833693967720131</v>
      </c>
      <c r="AG53" s="395">
        <v>43</v>
      </c>
    </row>
    <row r="54" spans="1:33" s="95" customFormat="1" ht="12.75" customHeight="1">
      <c r="A54" s="642">
        <v>44</v>
      </c>
      <c r="B54" s="576"/>
      <c r="C54" s="555"/>
      <c r="D54" s="432" t="s">
        <v>47</v>
      </c>
      <c r="E54" s="431">
        <v>40655</v>
      </c>
      <c r="F54" s="432" t="s">
        <v>10</v>
      </c>
      <c r="G54" s="434">
        <v>70</v>
      </c>
      <c r="H54" s="434">
        <v>15</v>
      </c>
      <c r="I54" s="4">
        <v>7</v>
      </c>
      <c r="J54" s="557">
        <v>547</v>
      </c>
      <c r="K54" s="558">
        <v>99</v>
      </c>
      <c r="L54" s="557">
        <v>766</v>
      </c>
      <c r="M54" s="558">
        <v>161</v>
      </c>
      <c r="N54" s="557">
        <v>798</v>
      </c>
      <c r="O54" s="558">
        <v>150</v>
      </c>
      <c r="P54" s="559">
        <f>+J54+L54+N54</f>
        <v>2111</v>
      </c>
      <c r="Q54" s="560">
        <f>+K54+M54+O54</f>
        <v>410</v>
      </c>
      <c r="R54" s="561">
        <f t="shared" si="26"/>
        <v>27.333333333333332</v>
      </c>
      <c r="S54" s="562">
        <f>IF(P54&lt;&gt;0,P54/Q54,"")</f>
        <v>5.148780487804878</v>
      </c>
      <c r="T54" s="563">
        <v>5817</v>
      </c>
      <c r="U54" s="564">
        <f t="shared" si="25"/>
        <v>-0.6370981605638645</v>
      </c>
      <c r="V54" s="451">
        <f t="shared" si="17"/>
        <v>1620</v>
      </c>
      <c r="W54" s="284">
        <f t="shared" si="18"/>
        <v>349</v>
      </c>
      <c r="X54" s="671">
        <v>3731</v>
      </c>
      <c r="Y54" s="672">
        <v>759</v>
      </c>
      <c r="Z54" s="462">
        <f t="shared" si="19"/>
        <v>0.5401844532279315</v>
      </c>
      <c r="AA54" s="462">
        <f t="shared" si="20"/>
        <v>0.4598155467720685</v>
      </c>
      <c r="AB54" s="284">
        <f t="shared" si="21"/>
        <v>50.6</v>
      </c>
      <c r="AC54" s="451">
        <f t="shared" si="22"/>
        <v>4.915678524374177</v>
      </c>
      <c r="AD54" s="42">
        <v>1151198</v>
      </c>
      <c r="AE54" s="47">
        <v>109336</v>
      </c>
      <c r="AF54" s="110">
        <f>AD54/AE54</f>
        <v>10.528993195287919</v>
      </c>
      <c r="AG54" s="395">
        <v>44</v>
      </c>
    </row>
    <row r="55" spans="1:33" s="95" customFormat="1" ht="12.75" customHeight="1">
      <c r="A55" s="642">
        <v>45</v>
      </c>
      <c r="B55" s="579"/>
      <c r="C55" s="555"/>
      <c r="D55" s="436" t="s">
        <v>84</v>
      </c>
      <c r="E55" s="431">
        <v>40683</v>
      </c>
      <c r="F55" s="432" t="s">
        <v>36</v>
      </c>
      <c r="G55" s="434">
        <v>6</v>
      </c>
      <c r="H55" s="434">
        <v>6</v>
      </c>
      <c r="I55" s="568">
        <v>3</v>
      </c>
      <c r="J55" s="569">
        <v>240</v>
      </c>
      <c r="K55" s="570">
        <v>51</v>
      </c>
      <c r="L55" s="569">
        <v>912</v>
      </c>
      <c r="M55" s="570">
        <v>214</v>
      </c>
      <c r="N55" s="569">
        <v>1000</v>
      </c>
      <c r="O55" s="570">
        <v>225</v>
      </c>
      <c r="P55" s="559">
        <f aca="true" t="shared" si="27" ref="P55:Q57">SUM(J55+L55+N55)</f>
        <v>2152</v>
      </c>
      <c r="Q55" s="560">
        <f t="shared" si="27"/>
        <v>490</v>
      </c>
      <c r="R55" s="561">
        <f t="shared" si="26"/>
        <v>81.66666666666667</v>
      </c>
      <c r="S55" s="562">
        <f>+P55/Q55</f>
        <v>4.391836734693878</v>
      </c>
      <c r="T55" s="563">
        <v>6892</v>
      </c>
      <c r="U55" s="564">
        <f t="shared" si="25"/>
        <v>-0.6877539175856066</v>
      </c>
      <c r="V55" s="451">
        <f t="shared" si="17"/>
        <v>1558</v>
      </c>
      <c r="W55" s="284">
        <f t="shared" si="18"/>
        <v>347</v>
      </c>
      <c r="X55" s="673">
        <v>3710</v>
      </c>
      <c r="Y55" s="674">
        <v>837</v>
      </c>
      <c r="Z55" s="462">
        <f t="shared" si="19"/>
        <v>0.5854241338112306</v>
      </c>
      <c r="AA55" s="462">
        <f t="shared" si="20"/>
        <v>0.4145758661887694</v>
      </c>
      <c r="AB55" s="284">
        <f t="shared" si="21"/>
        <v>139.5</v>
      </c>
      <c r="AC55" s="451">
        <f t="shared" si="22"/>
        <v>4.432497013142174</v>
      </c>
      <c r="AD55" s="9">
        <f>16905.5+10044+3710</f>
        <v>30659.5</v>
      </c>
      <c r="AE55" s="8">
        <f>1241+811+837</f>
        <v>2889</v>
      </c>
      <c r="AF55" s="107">
        <f>+AD55/AE55</f>
        <v>10.612495673243338</v>
      </c>
      <c r="AG55" s="395">
        <v>45</v>
      </c>
    </row>
    <row r="56" spans="1:33" s="95" customFormat="1" ht="12.75" customHeight="1">
      <c r="A56" s="642">
        <v>46</v>
      </c>
      <c r="B56" s="577"/>
      <c r="C56" s="555"/>
      <c r="D56" s="436" t="s">
        <v>37</v>
      </c>
      <c r="E56" s="431">
        <v>40641</v>
      </c>
      <c r="F56" s="432" t="s">
        <v>36</v>
      </c>
      <c r="G56" s="434">
        <v>128</v>
      </c>
      <c r="H56" s="434">
        <v>12</v>
      </c>
      <c r="I56" s="568">
        <v>9</v>
      </c>
      <c r="J56" s="569">
        <v>326</v>
      </c>
      <c r="K56" s="570">
        <v>79</v>
      </c>
      <c r="L56" s="569">
        <v>788</v>
      </c>
      <c r="M56" s="570">
        <v>166</v>
      </c>
      <c r="N56" s="569">
        <v>771</v>
      </c>
      <c r="O56" s="570">
        <v>162</v>
      </c>
      <c r="P56" s="559">
        <f t="shared" si="27"/>
        <v>1885</v>
      </c>
      <c r="Q56" s="560">
        <f t="shared" si="27"/>
        <v>407</v>
      </c>
      <c r="R56" s="561">
        <f t="shared" si="26"/>
        <v>33.916666666666664</v>
      </c>
      <c r="S56" s="562">
        <f>+P56/Q56</f>
        <v>4.631449631449631</v>
      </c>
      <c r="T56" s="563">
        <v>993</v>
      </c>
      <c r="U56" s="564">
        <f t="shared" si="25"/>
        <v>0.8982880161127895</v>
      </c>
      <c r="V56" s="451">
        <f t="shared" si="17"/>
        <v>1797</v>
      </c>
      <c r="W56" s="284">
        <f t="shared" si="18"/>
        <v>378</v>
      </c>
      <c r="X56" s="673">
        <v>3682</v>
      </c>
      <c r="Y56" s="674">
        <v>785</v>
      </c>
      <c r="Z56" s="462">
        <f t="shared" si="19"/>
        <v>0.5184713375796178</v>
      </c>
      <c r="AA56" s="462">
        <f t="shared" si="20"/>
        <v>0.48152866242038217</v>
      </c>
      <c r="AB56" s="284">
        <f t="shared" si="21"/>
        <v>65.41666666666667</v>
      </c>
      <c r="AC56" s="451">
        <f t="shared" si="22"/>
        <v>4.690445859872612</v>
      </c>
      <c r="AD56" s="9">
        <f>740297.75+546709.5+343470.5+98979.5+54338.5+38190+7487.5+1828+3682</f>
        <v>1834983.25</v>
      </c>
      <c r="AE56" s="8">
        <f>69545+52953+34357+10790+6857+5964+1318+450+785</f>
        <v>183019</v>
      </c>
      <c r="AF56" s="110">
        <f aca="true" t="shared" si="28" ref="AF56:AF64">AD56/AE56</f>
        <v>10.026189903780482</v>
      </c>
      <c r="AG56" s="395">
        <v>46</v>
      </c>
    </row>
    <row r="57" spans="1:33" s="95" customFormat="1" ht="12.75" customHeight="1">
      <c r="A57" s="642">
        <v>47</v>
      </c>
      <c r="B57" s="576"/>
      <c r="C57" s="580" t="s">
        <v>96</v>
      </c>
      <c r="D57" s="432" t="s">
        <v>63</v>
      </c>
      <c r="E57" s="431">
        <v>40655</v>
      </c>
      <c r="F57" s="432" t="s">
        <v>32</v>
      </c>
      <c r="G57" s="434">
        <v>67</v>
      </c>
      <c r="H57" s="434">
        <v>24</v>
      </c>
      <c r="I57" s="583">
        <v>5</v>
      </c>
      <c r="J57" s="574">
        <v>426</v>
      </c>
      <c r="K57" s="575">
        <v>70</v>
      </c>
      <c r="L57" s="574">
        <v>761</v>
      </c>
      <c r="M57" s="575">
        <v>110</v>
      </c>
      <c r="N57" s="574">
        <v>694</v>
      </c>
      <c r="O57" s="575">
        <v>98</v>
      </c>
      <c r="P57" s="584">
        <f t="shared" si="27"/>
        <v>1881</v>
      </c>
      <c r="Q57" s="585">
        <f t="shared" si="27"/>
        <v>278</v>
      </c>
      <c r="R57" s="561">
        <f t="shared" si="26"/>
        <v>11.583333333333334</v>
      </c>
      <c r="S57" s="562">
        <f>+P57/Q57</f>
        <v>6.766187050359712</v>
      </c>
      <c r="T57" s="586">
        <v>3276</v>
      </c>
      <c r="U57" s="564">
        <f t="shared" si="25"/>
        <v>-0.4258241758241758</v>
      </c>
      <c r="V57" s="451">
        <f t="shared" si="17"/>
        <v>1595</v>
      </c>
      <c r="W57" s="284">
        <f t="shared" si="18"/>
        <v>257</v>
      </c>
      <c r="X57" s="679">
        <v>3476</v>
      </c>
      <c r="Y57" s="676">
        <v>535</v>
      </c>
      <c r="Z57" s="462">
        <f t="shared" si="19"/>
        <v>0.5196261682242991</v>
      </c>
      <c r="AA57" s="462">
        <f t="shared" si="20"/>
        <v>0.4803738317757009</v>
      </c>
      <c r="AB57" s="284">
        <f t="shared" si="21"/>
        <v>22.291666666666668</v>
      </c>
      <c r="AC57" s="451">
        <f t="shared" si="22"/>
        <v>6.497196261682243</v>
      </c>
      <c r="AD57" s="425">
        <f>67248.5+45099.5+15076+5484+3476</f>
        <v>136384</v>
      </c>
      <c r="AE57" s="240">
        <f>9201+6328+2377+887+535</f>
        <v>19328</v>
      </c>
      <c r="AF57" s="110">
        <f t="shared" si="28"/>
        <v>7.056291390728477</v>
      </c>
      <c r="AG57" s="395">
        <v>47</v>
      </c>
    </row>
    <row r="58" spans="1:33" s="95" customFormat="1" ht="12.75" customHeight="1">
      <c r="A58" s="642">
        <v>48</v>
      </c>
      <c r="B58" s="576"/>
      <c r="C58" s="555"/>
      <c r="D58" s="439" t="s">
        <v>43</v>
      </c>
      <c r="E58" s="431">
        <v>40648</v>
      </c>
      <c r="F58" s="440" t="s">
        <v>8</v>
      </c>
      <c r="G58" s="434">
        <v>10</v>
      </c>
      <c r="H58" s="434">
        <v>10</v>
      </c>
      <c r="I58" s="4">
        <v>8</v>
      </c>
      <c r="J58" s="557">
        <v>412</v>
      </c>
      <c r="K58" s="558">
        <v>73</v>
      </c>
      <c r="L58" s="557">
        <v>633</v>
      </c>
      <c r="M58" s="558">
        <v>94</v>
      </c>
      <c r="N58" s="557">
        <v>597</v>
      </c>
      <c r="O58" s="558">
        <v>98</v>
      </c>
      <c r="P58" s="559">
        <f>+J58+L58+N58</f>
        <v>1642</v>
      </c>
      <c r="Q58" s="560">
        <f>+K58+M58+O58</f>
        <v>265</v>
      </c>
      <c r="R58" s="598">
        <f>+Q58/H58</f>
        <v>26.5</v>
      </c>
      <c r="S58" s="586">
        <f>+P58/Q58</f>
        <v>6.19622641509434</v>
      </c>
      <c r="T58" s="563">
        <v>5746</v>
      </c>
      <c r="U58" s="564">
        <f t="shared" si="25"/>
        <v>-0.7142359902540898</v>
      </c>
      <c r="V58" s="451">
        <f t="shared" si="17"/>
        <v>1392</v>
      </c>
      <c r="W58" s="284">
        <f t="shared" si="18"/>
        <v>249</v>
      </c>
      <c r="X58" s="684">
        <v>3034</v>
      </c>
      <c r="Y58" s="685">
        <v>514</v>
      </c>
      <c r="Z58" s="462">
        <f t="shared" si="19"/>
        <v>0.5155642023346303</v>
      </c>
      <c r="AA58" s="462">
        <f t="shared" si="20"/>
        <v>0.48443579766536965</v>
      </c>
      <c r="AB58" s="284">
        <f t="shared" si="21"/>
        <v>51.4</v>
      </c>
      <c r="AC58" s="451">
        <f t="shared" si="22"/>
        <v>5.902723735408561</v>
      </c>
      <c r="AD58" s="6">
        <v>143396</v>
      </c>
      <c r="AE58" s="7">
        <v>12472</v>
      </c>
      <c r="AF58" s="110">
        <f t="shared" si="28"/>
        <v>11.497434252726107</v>
      </c>
      <c r="AG58" s="395">
        <v>48</v>
      </c>
    </row>
    <row r="59" spans="1:33" s="95" customFormat="1" ht="12.75" customHeight="1">
      <c r="A59" s="642">
        <v>49</v>
      </c>
      <c r="B59" s="577"/>
      <c r="C59" s="555"/>
      <c r="D59" s="432" t="s">
        <v>49</v>
      </c>
      <c r="E59" s="431">
        <v>40655</v>
      </c>
      <c r="F59" s="432" t="s">
        <v>32</v>
      </c>
      <c r="G59" s="434">
        <v>25</v>
      </c>
      <c r="H59" s="434">
        <v>10</v>
      </c>
      <c r="I59" s="583">
        <v>7</v>
      </c>
      <c r="J59" s="574">
        <v>325</v>
      </c>
      <c r="K59" s="575">
        <v>47</v>
      </c>
      <c r="L59" s="574">
        <v>782</v>
      </c>
      <c r="M59" s="575">
        <v>113</v>
      </c>
      <c r="N59" s="574">
        <v>438</v>
      </c>
      <c r="O59" s="575">
        <v>63</v>
      </c>
      <c r="P59" s="584">
        <f aca="true" t="shared" si="29" ref="P59:P70">SUM(J59+L59+N59)</f>
        <v>1545</v>
      </c>
      <c r="Q59" s="585">
        <f aca="true" t="shared" si="30" ref="Q59:Q70">SUM(K59+M59+O59)</f>
        <v>223</v>
      </c>
      <c r="R59" s="561">
        <f>IF(P59&lt;&gt;0,Q59/H59,"")</f>
        <v>22.3</v>
      </c>
      <c r="S59" s="562">
        <f>+P59/Q59</f>
        <v>6.928251121076233</v>
      </c>
      <c r="T59" s="586">
        <v>1791.5</v>
      </c>
      <c r="U59" s="564">
        <f t="shared" si="25"/>
        <v>-0.13759419480881943</v>
      </c>
      <c r="V59" s="451">
        <f t="shared" si="17"/>
        <v>1247</v>
      </c>
      <c r="W59" s="284">
        <f t="shared" si="18"/>
        <v>185</v>
      </c>
      <c r="X59" s="679">
        <v>2792</v>
      </c>
      <c r="Y59" s="676">
        <v>408</v>
      </c>
      <c r="Z59" s="462">
        <f t="shared" si="19"/>
        <v>0.5465686274509803</v>
      </c>
      <c r="AA59" s="462">
        <f t="shared" si="20"/>
        <v>0.4534313725490196</v>
      </c>
      <c r="AB59" s="284">
        <f t="shared" si="21"/>
        <v>40.8</v>
      </c>
      <c r="AC59" s="451">
        <f t="shared" si="22"/>
        <v>6.8431372549019605</v>
      </c>
      <c r="AD59" s="425">
        <f>94030+36665.5+19228.5+15274+9884.5+3195.5+2792</f>
        <v>181070</v>
      </c>
      <c r="AE59" s="240">
        <f>8677+3579+2658+2286+1470+489+408</f>
        <v>19567</v>
      </c>
      <c r="AF59" s="110">
        <f t="shared" si="28"/>
        <v>9.253845760719578</v>
      </c>
      <c r="AG59" s="395">
        <v>49</v>
      </c>
    </row>
    <row r="60" spans="1:33" s="95" customFormat="1" ht="12.75" customHeight="1">
      <c r="A60" s="642">
        <v>50</v>
      </c>
      <c r="B60" s="577"/>
      <c r="C60" s="555"/>
      <c r="D60" s="587" t="s">
        <v>57</v>
      </c>
      <c r="E60" s="581">
        <v>40662</v>
      </c>
      <c r="F60" s="437" t="s">
        <v>70</v>
      </c>
      <c r="G60" s="588">
        <v>2</v>
      </c>
      <c r="H60" s="588">
        <v>2</v>
      </c>
      <c r="I60" s="589">
        <v>5</v>
      </c>
      <c r="J60" s="590">
        <v>133</v>
      </c>
      <c r="K60" s="591">
        <v>13</v>
      </c>
      <c r="L60" s="590">
        <v>81</v>
      </c>
      <c r="M60" s="591">
        <v>9</v>
      </c>
      <c r="N60" s="590">
        <v>181</v>
      </c>
      <c r="O60" s="591">
        <v>18</v>
      </c>
      <c r="P60" s="603">
        <f t="shared" si="29"/>
        <v>395</v>
      </c>
      <c r="Q60" s="604">
        <f t="shared" si="30"/>
        <v>40</v>
      </c>
      <c r="R60" s="602">
        <f>Q60/H60</f>
        <v>20</v>
      </c>
      <c r="S60" s="571">
        <f>P60/Q60</f>
        <v>9.875</v>
      </c>
      <c r="T60" s="571"/>
      <c r="U60" s="564"/>
      <c r="V60" s="451">
        <f t="shared" si="17"/>
        <v>2393</v>
      </c>
      <c r="W60" s="284">
        <f t="shared" si="18"/>
        <v>445</v>
      </c>
      <c r="X60" s="680">
        <v>2788</v>
      </c>
      <c r="Y60" s="681">
        <v>485</v>
      </c>
      <c r="Z60" s="462">
        <f t="shared" si="19"/>
        <v>0.08247422680412371</v>
      </c>
      <c r="AA60" s="462">
        <f t="shared" si="20"/>
        <v>0.9175257731958762</v>
      </c>
      <c r="AB60" s="284">
        <f t="shared" si="21"/>
        <v>242.5</v>
      </c>
      <c r="AC60" s="451">
        <f t="shared" si="22"/>
        <v>5.748453608247423</v>
      </c>
      <c r="AD60" s="242">
        <v>19863.75</v>
      </c>
      <c r="AE60" s="240">
        <v>2533</v>
      </c>
      <c r="AF60" s="110">
        <f t="shared" si="28"/>
        <v>7.841985787603632</v>
      </c>
      <c r="AG60" s="395">
        <v>50</v>
      </c>
    </row>
    <row r="61" spans="1:33" s="95" customFormat="1" ht="12.75" customHeight="1">
      <c r="A61" s="642">
        <v>51</v>
      </c>
      <c r="B61" s="572"/>
      <c r="C61" s="580" t="s">
        <v>96</v>
      </c>
      <c r="D61" s="432" t="s">
        <v>65</v>
      </c>
      <c r="E61" s="431">
        <v>40669</v>
      </c>
      <c r="F61" s="432" t="s">
        <v>22</v>
      </c>
      <c r="G61" s="434">
        <v>9</v>
      </c>
      <c r="H61" s="434">
        <v>6</v>
      </c>
      <c r="I61" s="594">
        <v>5</v>
      </c>
      <c r="J61" s="595">
        <v>279</v>
      </c>
      <c r="K61" s="596">
        <v>41</v>
      </c>
      <c r="L61" s="595">
        <v>529</v>
      </c>
      <c r="M61" s="596">
        <v>75</v>
      </c>
      <c r="N61" s="595">
        <v>520</v>
      </c>
      <c r="O61" s="596">
        <v>75</v>
      </c>
      <c r="P61" s="603">
        <f t="shared" si="29"/>
        <v>1328</v>
      </c>
      <c r="Q61" s="604">
        <f t="shared" si="30"/>
        <v>191</v>
      </c>
      <c r="R61" s="561">
        <f>IF(P61&lt;&gt;0,Q61/H61,"")</f>
        <v>31.833333333333332</v>
      </c>
      <c r="S61" s="562">
        <f>IF(P61&lt;&gt;0,P61/Q61,"")</f>
        <v>6.952879581151833</v>
      </c>
      <c r="T61" s="563">
        <v>911</v>
      </c>
      <c r="U61" s="564">
        <f aca="true" t="shared" si="31" ref="U61:U69">IF(T61&lt;&gt;0,-(T61-P61)/T61,"")</f>
        <v>0.45773874862788144</v>
      </c>
      <c r="V61" s="451">
        <f t="shared" si="17"/>
        <v>1322</v>
      </c>
      <c r="W61" s="284">
        <f t="shared" si="18"/>
        <v>196</v>
      </c>
      <c r="X61" s="682">
        <v>2650</v>
      </c>
      <c r="Y61" s="683">
        <v>387</v>
      </c>
      <c r="Z61" s="462">
        <f t="shared" si="19"/>
        <v>0.4935400516795866</v>
      </c>
      <c r="AA61" s="462">
        <f t="shared" si="20"/>
        <v>0.5064599483204134</v>
      </c>
      <c r="AB61" s="284">
        <f t="shared" si="21"/>
        <v>64.5</v>
      </c>
      <c r="AC61" s="451">
        <f t="shared" si="22"/>
        <v>6.847545219638243</v>
      </c>
      <c r="AD61" s="40">
        <f>10611.5+6246+3879+1660+2650</f>
        <v>25046.5</v>
      </c>
      <c r="AE61" s="44">
        <f>1405+909+512+224+387</f>
        <v>3437</v>
      </c>
      <c r="AF61" s="110">
        <f t="shared" si="28"/>
        <v>7.287314518475415</v>
      </c>
      <c r="AG61" s="395">
        <v>51</v>
      </c>
    </row>
    <row r="62" spans="1:33" s="95" customFormat="1" ht="12.75" customHeight="1">
      <c r="A62" s="642">
        <v>52</v>
      </c>
      <c r="B62" s="599"/>
      <c r="C62" s="555"/>
      <c r="D62" s="437" t="s">
        <v>81</v>
      </c>
      <c r="E62" s="438">
        <v>40683</v>
      </c>
      <c r="F62" s="437" t="s">
        <v>70</v>
      </c>
      <c r="G62" s="600">
        <v>15</v>
      </c>
      <c r="H62" s="588">
        <v>6</v>
      </c>
      <c r="I62" s="589">
        <v>3</v>
      </c>
      <c r="J62" s="590">
        <v>181</v>
      </c>
      <c r="K62" s="591">
        <v>24</v>
      </c>
      <c r="L62" s="590">
        <v>737</v>
      </c>
      <c r="M62" s="591">
        <v>88</v>
      </c>
      <c r="N62" s="590">
        <v>302</v>
      </c>
      <c r="O62" s="591">
        <v>35</v>
      </c>
      <c r="P62" s="603">
        <f t="shared" si="29"/>
        <v>1220</v>
      </c>
      <c r="Q62" s="604">
        <f t="shared" si="30"/>
        <v>147</v>
      </c>
      <c r="R62" s="602">
        <f>Q62/H62</f>
        <v>24.5</v>
      </c>
      <c r="S62" s="562">
        <f>+P62/Q62</f>
        <v>8.299319727891156</v>
      </c>
      <c r="T62" s="571">
        <v>13822</v>
      </c>
      <c r="U62" s="564">
        <f t="shared" si="31"/>
        <v>-0.9117349153523369</v>
      </c>
      <c r="V62" s="451">
        <f t="shared" si="17"/>
        <v>1108</v>
      </c>
      <c r="W62" s="284">
        <f t="shared" si="18"/>
        <v>154</v>
      </c>
      <c r="X62" s="680">
        <v>2328</v>
      </c>
      <c r="Y62" s="681">
        <v>301</v>
      </c>
      <c r="Z62" s="462">
        <f t="shared" si="19"/>
        <v>0.4883720930232558</v>
      </c>
      <c r="AA62" s="462">
        <f t="shared" si="20"/>
        <v>0.5116279069767442</v>
      </c>
      <c r="AB62" s="284">
        <f t="shared" si="21"/>
        <v>50.166666666666664</v>
      </c>
      <c r="AC62" s="451">
        <f t="shared" si="22"/>
        <v>7.73421926910299</v>
      </c>
      <c r="AD62" s="242">
        <v>54883.25</v>
      </c>
      <c r="AE62" s="240">
        <v>4239</v>
      </c>
      <c r="AF62" s="110">
        <f t="shared" si="28"/>
        <v>12.94721632460486</v>
      </c>
      <c r="AG62" s="395">
        <v>52</v>
      </c>
    </row>
    <row r="63" spans="1:33" s="95" customFormat="1" ht="12.75" customHeight="1">
      <c r="A63" s="642">
        <v>53</v>
      </c>
      <c r="B63" s="579"/>
      <c r="C63" s="582"/>
      <c r="D63" s="432" t="s">
        <v>332</v>
      </c>
      <c r="E63" s="431">
        <v>40690</v>
      </c>
      <c r="F63" s="432" t="s">
        <v>22</v>
      </c>
      <c r="G63" s="434">
        <v>5</v>
      </c>
      <c r="H63" s="434">
        <v>5</v>
      </c>
      <c r="I63" s="594">
        <v>2</v>
      </c>
      <c r="J63" s="595">
        <v>355</v>
      </c>
      <c r="K63" s="596">
        <v>58</v>
      </c>
      <c r="L63" s="595">
        <v>455</v>
      </c>
      <c r="M63" s="596">
        <v>60</v>
      </c>
      <c r="N63" s="595">
        <v>359</v>
      </c>
      <c r="O63" s="596">
        <v>46</v>
      </c>
      <c r="P63" s="603">
        <f t="shared" si="29"/>
        <v>1169</v>
      </c>
      <c r="Q63" s="604">
        <f t="shared" si="30"/>
        <v>164</v>
      </c>
      <c r="R63" s="597">
        <f>IF(P63&lt;&gt;0,Q63/H63,"")</f>
        <v>32.8</v>
      </c>
      <c r="S63" s="562">
        <f>IF(P63&lt;&gt;0,P63/Q63,"")</f>
        <v>7.128048780487805</v>
      </c>
      <c r="T63" s="563">
        <v>6829.5</v>
      </c>
      <c r="U63" s="564">
        <f t="shared" si="31"/>
        <v>-0.8288308075261732</v>
      </c>
      <c r="V63" s="451">
        <f t="shared" si="17"/>
        <v>1105</v>
      </c>
      <c r="W63" s="284">
        <f t="shared" si="18"/>
        <v>176</v>
      </c>
      <c r="X63" s="682">
        <v>2274</v>
      </c>
      <c r="Y63" s="683">
        <v>340</v>
      </c>
      <c r="Z63" s="462">
        <f t="shared" si="19"/>
        <v>0.4823529411764706</v>
      </c>
      <c r="AA63" s="462">
        <f t="shared" si="20"/>
        <v>0.5176470588235295</v>
      </c>
      <c r="AB63" s="284">
        <f t="shared" si="21"/>
        <v>68</v>
      </c>
      <c r="AC63" s="451">
        <f t="shared" si="22"/>
        <v>6.688235294117647</v>
      </c>
      <c r="AD63" s="40">
        <f>10523.5+2274</f>
        <v>12797.5</v>
      </c>
      <c r="AE63" s="44">
        <f>1295+340</f>
        <v>1635</v>
      </c>
      <c r="AF63" s="110">
        <f t="shared" si="28"/>
        <v>7.827217125382263</v>
      </c>
      <c r="AG63" s="395">
        <v>53</v>
      </c>
    </row>
    <row r="64" spans="1:33" s="95" customFormat="1" ht="12.75" customHeight="1">
      <c r="A64" s="642">
        <v>54</v>
      </c>
      <c r="B64" s="572"/>
      <c r="C64" s="580" t="s">
        <v>96</v>
      </c>
      <c r="D64" s="436" t="s">
        <v>27</v>
      </c>
      <c r="E64" s="431">
        <v>40627</v>
      </c>
      <c r="F64" s="432" t="s">
        <v>36</v>
      </c>
      <c r="G64" s="434">
        <v>137</v>
      </c>
      <c r="H64" s="434">
        <v>22</v>
      </c>
      <c r="I64" s="568">
        <v>11</v>
      </c>
      <c r="J64" s="569">
        <v>333</v>
      </c>
      <c r="K64" s="570">
        <v>41</v>
      </c>
      <c r="L64" s="569">
        <v>470</v>
      </c>
      <c r="M64" s="570">
        <v>60</v>
      </c>
      <c r="N64" s="569">
        <v>615</v>
      </c>
      <c r="O64" s="570">
        <v>80</v>
      </c>
      <c r="P64" s="559">
        <f t="shared" si="29"/>
        <v>1418</v>
      </c>
      <c r="Q64" s="560">
        <f t="shared" si="30"/>
        <v>181</v>
      </c>
      <c r="R64" s="561">
        <f>IF(P64&lt;&gt;0,Q64/H64,"")</f>
        <v>8.227272727272727</v>
      </c>
      <c r="S64" s="562">
        <f>+P64/Q64</f>
        <v>7.834254143646409</v>
      </c>
      <c r="T64" s="563">
        <v>3080.5</v>
      </c>
      <c r="U64" s="564">
        <f t="shared" si="31"/>
        <v>-0.5396851160525888</v>
      </c>
      <c r="V64" s="451">
        <f t="shared" si="17"/>
        <v>797.5</v>
      </c>
      <c r="W64" s="284">
        <f t="shared" si="18"/>
        <v>171</v>
      </c>
      <c r="X64" s="673">
        <v>2215.5</v>
      </c>
      <c r="Y64" s="674">
        <v>352</v>
      </c>
      <c r="Z64" s="462">
        <f t="shared" si="19"/>
        <v>0.5142045454545454</v>
      </c>
      <c r="AA64" s="462">
        <f t="shared" si="20"/>
        <v>0.48579545454545453</v>
      </c>
      <c r="AB64" s="284">
        <f t="shared" si="21"/>
        <v>16</v>
      </c>
      <c r="AC64" s="451">
        <f t="shared" si="22"/>
        <v>6.294034090909091</v>
      </c>
      <c r="AD64" s="9">
        <f>1066061.5+1061275+813239.75+606216+468367.5+266511+137274.5+89937.5+9478+4671.5+2215.5</f>
        <v>4525247.75</v>
      </c>
      <c r="AE64" s="8">
        <f>110278+106719+82858+62672+50883+32012+17904+13463+1427+637+352</f>
        <v>479205</v>
      </c>
      <c r="AF64" s="110">
        <f t="shared" si="28"/>
        <v>9.443239845160214</v>
      </c>
      <c r="AG64" s="395">
        <v>54</v>
      </c>
    </row>
    <row r="65" spans="1:33" s="95" customFormat="1" ht="12.75" customHeight="1">
      <c r="A65" s="642">
        <v>55</v>
      </c>
      <c r="B65" s="601"/>
      <c r="C65" s="580" t="s">
        <v>96</v>
      </c>
      <c r="D65" s="437" t="s">
        <v>26</v>
      </c>
      <c r="E65" s="431">
        <v>40550</v>
      </c>
      <c r="F65" s="432" t="s">
        <v>24</v>
      </c>
      <c r="G65" s="434">
        <v>356</v>
      </c>
      <c r="H65" s="434">
        <v>2</v>
      </c>
      <c r="I65" s="573">
        <v>22</v>
      </c>
      <c r="J65" s="574">
        <v>250</v>
      </c>
      <c r="K65" s="575">
        <v>75</v>
      </c>
      <c r="L65" s="574">
        <v>250</v>
      </c>
      <c r="M65" s="575">
        <v>75</v>
      </c>
      <c r="N65" s="574">
        <v>250</v>
      </c>
      <c r="O65" s="575">
        <v>75</v>
      </c>
      <c r="P65" s="559">
        <f t="shared" si="29"/>
        <v>750</v>
      </c>
      <c r="Q65" s="560">
        <f t="shared" si="30"/>
        <v>225</v>
      </c>
      <c r="R65" s="561">
        <f>IF(P65&lt;&gt;0,Q65/H65,"")</f>
        <v>112.5</v>
      </c>
      <c r="S65" s="562">
        <f>+P65/Q65</f>
        <v>3.3333333333333335</v>
      </c>
      <c r="T65" s="563">
        <v>2031</v>
      </c>
      <c r="U65" s="564">
        <f t="shared" si="31"/>
        <v>-0.6307237813884786</v>
      </c>
      <c r="V65" s="451">
        <f t="shared" si="17"/>
        <v>1255</v>
      </c>
      <c r="W65" s="284">
        <f t="shared" si="18"/>
        <v>375</v>
      </c>
      <c r="X65" s="675">
        <v>2005</v>
      </c>
      <c r="Y65" s="676">
        <v>600</v>
      </c>
      <c r="Z65" s="462">
        <f t="shared" si="19"/>
        <v>0.375</v>
      </c>
      <c r="AA65" s="462">
        <f t="shared" si="20"/>
        <v>0.625</v>
      </c>
      <c r="AB65" s="284">
        <f t="shared" si="21"/>
        <v>300</v>
      </c>
      <c r="AC65" s="451">
        <f t="shared" si="22"/>
        <v>3.341666666666667</v>
      </c>
      <c r="AD65" s="242">
        <v>36546435</v>
      </c>
      <c r="AE65" s="240">
        <v>3923575</v>
      </c>
      <c r="AF65" s="107">
        <f>+AD65/AE65</f>
        <v>9.314575355383802</v>
      </c>
      <c r="AG65" s="395">
        <v>55</v>
      </c>
    </row>
    <row r="66" spans="1:33" s="95" customFormat="1" ht="12.75" customHeight="1">
      <c r="A66" s="642">
        <v>56</v>
      </c>
      <c r="B66" s="577"/>
      <c r="C66" s="555"/>
      <c r="D66" s="437" t="s">
        <v>30</v>
      </c>
      <c r="E66" s="438">
        <v>40627</v>
      </c>
      <c r="F66" s="437" t="s">
        <v>70</v>
      </c>
      <c r="G66" s="600">
        <v>2</v>
      </c>
      <c r="H66" s="588">
        <v>2</v>
      </c>
      <c r="I66" s="589">
        <v>11</v>
      </c>
      <c r="J66" s="590">
        <v>217</v>
      </c>
      <c r="K66" s="591">
        <v>35</v>
      </c>
      <c r="L66" s="590">
        <v>468</v>
      </c>
      <c r="M66" s="591">
        <v>76</v>
      </c>
      <c r="N66" s="590">
        <v>298</v>
      </c>
      <c r="O66" s="591">
        <v>48</v>
      </c>
      <c r="P66" s="603">
        <f t="shared" si="29"/>
        <v>983</v>
      </c>
      <c r="Q66" s="604">
        <f t="shared" si="30"/>
        <v>159</v>
      </c>
      <c r="R66" s="602">
        <f>Q66/H66</f>
        <v>79.5</v>
      </c>
      <c r="S66" s="571">
        <f>P66/Q66</f>
        <v>6.182389937106918</v>
      </c>
      <c r="T66" s="571">
        <v>977</v>
      </c>
      <c r="U66" s="564">
        <f t="shared" si="31"/>
        <v>0.006141248720573183</v>
      </c>
      <c r="V66" s="451">
        <f t="shared" si="17"/>
        <v>766</v>
      </c>
      <c r="W66" s="284">
        <f t="shared" si="18"/>
        <v>140</v>
      </c>
      <c r="X66" s="680">
        <v>1749</v>
      </c>
      <c r="Y66" s="681">
        <v>299</v>
      </c>
      <c r="Z66" s="462">
        <f t="shared" si="19"/>
        <v>0.5317725752508361</v>
      </c>
      <c r="AA66" s="462">
        <f t="shared" si="20"/>
        <v>0.4682274247491639</v>
      </c>
      <c r="AB66" s="284">
        <f t="shared" si="21"/>
        <v>149.5</v>
      </c>
      <c r="AC66" s="451">
        <f t="shared" si="22"/>
        <v>5.849498327759197</v>
      </c>
      <c r="AD66" s="242">
        <v>26579.5</v>
      </c>
      <c r="AE66" s="240">
        <v>3558</v>
      </c>
      <c r="AF66" s="107">
        <f>+AD66/AE66</f>
        <v>7.4703485103991</v>
      </c>
      <c r="AG66" s="395">
        <v>56</v>
      </c>
    </row>
    <row r="67" spans="1:33" s="95" customFormat="1" ht="12.75" customHeight="1">
      <c r="A67" s="642">
        <v>57</v>
      </c>
      <c r="B67" s="601"/>
      <c r="C67" s="555"/>
      <c r="D67" s="565" t="s">
        <v>140</v>
      </c>
      <c r="E67" s="556">
        <v>40515</v>
      </c>
      <c r="F67" s="608" t="s">
        <v>160</v>
      </c>
      <c r="G67" s="609">
        <v>62</v>
      </c>
      <c r="H67" s="446">
        <v>2</v>
      </c>
      <c r="I67" s="610">
        <v>27</v>
      </c>
      <c r="J67" s="569">
        <v>0</v>
      </c>
      <c r="K67" s="570">
        <v>0</v>
      </c>
      <c r="L67" s="569">
        <v>0</v>
      </c>
      <c r="M67" s="570">
        <v>0</v>
      </c>
      <c r="N67" s="569">
        <v>0</v>
      </c>
      <c r="O67" s="570">
        <v>0</v>
      </c>
      <c r="P67" s="559">
        <f t="shared" si="29"/>
        <v>0</v>
      </c>
      <c r="Q67" s="560">
        <f t="shared" si="30"/>
        <v>0</v>
      </c>
      <c r="R67" s="561"/>
      <c r="S67" s="562"/>
      <c r="T67" s="563"/>
      <c r="U67" s="564">
        <f t="shared" si="31"/>
      </c>
      <c r="V67" s="451">
        <f t="shared" si="17"/>
        <v>1718.5</v>
      </c>
      <c r="W67" s="284">
        <f t="shared" si="18"/>
        <v>430</v>
      </c>
      <c r="X67" s="673">
        <v>1718.5</v>
      </c>
      <c r="Y67" s="674">
        <v>430</v>
      </c>
      <c r="Z67" s="462">
        <f t="shared" si="19"/>
        <v>0</v>
      </c>
      <c r="AA67" s="462">
        <f t="shared" si="20"/>
        <v>1</v>
      </c>
      <c r="AB67" s="284">
        <f t="shared" si="21"/>
        <v>215</v>
      </c>
      <c r="AC67" s="451">
        <f t="shared" si="22"/>
        <v>3.9965116279069766</v>
      </c>
      <c r="AD67" s="9">
        <f>353151+191248+132731.5+71376+47862+26248.5+19265+34650.5+35095.5+42312+25849+10987+7528+3248+2395.5+3280.5+3141.5+4280+3042+1597+6128+4358+2107+777+4230+4335.5+1718.5</f>
        <v>1042942.5</v>
      </c>
      <c r="AE67" s="8">
        <f>34650+19352+14525+10591+7581+5012+3223+6065+6865+6589+3930+1782+1091+624+468+512+688+987+804+306+1395+991+478+166+1058+1084+430</f>
        <v>131247</v>
      </c>
      <c r="AF67" s="107">
        <f>+AD67/AE67</f>
        <v>7.946410203661798</v>
      </c>
      <c r="AG67" s="395">
        <v>57</v>
      </c>
    </row>
    <row r="68" spans="1:33" s="95" customFormat="1" ht="12.75" customHeight="1">
      <c r="A68" s="642">
        <v>58</v>
      </c>
      <c r="B68" s="601"/>
      <c r="C68" s="555"/>
      <c r="D68" s="565" t="s">
        <v>354</v>
      </c>
      <c r="E68" s="556">
        <v>40704</v>
      </c>
      <c r="F68" s="608" t="s">
        <v>160</v>
      </c>
      <c r="G68" s="609">
        <v>25</v>
      </c>
      <c r="H68" s="446">
        <v>1</v>
      </c>
      <c r="I68" s="610">
        <v>0</v>
      </c>
      <c r="J68" s="569">
        <v>0</v>
      </c>
      <c r="K68" s="570">
        <v>0</v>
      </c>
      <c r="L68" s="569">
        <v>0</v>
      </c>
      <c r="M68" s="570">
        <v>0</v>
      </c>
      <c r="N68" s="569">
        <v>0</v>
      </c>
      <c r="O68" s="570">
        <v>0</v>
      </c>
      <c r="P68" s="559">
        <f t="shared" si="29"/>
        <v>0</v>
      </c>
      <c r="Q68" s="560">
        <f t="shared" si="30"/>
        <v>0</v>
      </c>
      <c r="R68" s="561"/>
      <c r="S68" s="562"/>
      <c r="T68" s="563"/>
      <c r="U68" s="564">
        <f t="shared" si="31"/>
      </c>
      <c r="V68" s="451">
        <f t="shared" si="17"/>
        <v>1507.5</v>
      </c>
      <c r="W68" s="284">
        <f t="shared" si="18"/>
        <v>73</v>
      </c>
      <c r="X68" s="673">
        <v>1507.5</v>
      </c>
      <c r="Y68" s="674">
        <v>73</v>
      </c>
      <c r="Z68" s="462">
        <f t="shared" si="19"/>
        <v>0</v>
      </c>
      <c r="AA68" s="462">
        <f t="shared" si="20"/>
        <v>1</v>
      </c>
      <c r="AB68" s="284">
        <f t="shared" si="21"/>
        <v>73</v>
      </c>
      <c r="AC68" s="451">
        <f t="shared" si="22"/>
        <v>20.65068493150685</v>
      </c>
      <c r="AD68" s="9">
        <f>1507.5</f>
        <v>1507.5</v>
      </c>
      <c r="AE68" s="8">
        <f>73</f>
        <v>73</v>
      </c>
      <c r="AF68" s="110">
        <f>AD68/AE68</f>
        <v>20.65068493150685</v>
      </c>
      <c r="AG68" s="395">
        <v>58</v>
      </c>
    </row>
    <row r="69" spans="1:33" s="95" customFormat="1" ht="12.75" customHeight="1">
      <c r="A69" s="642">
        <v>59</v>
      </c>
      <c r="B69" s="599"/>
      <c r="C69" s="611"/>
      <c r="D69" s="437" t="s">
        <v>317</v>
      </c>
      <c r="E69" s="438">
        <v>40662</v>
      </c>
      <c r="F69" s="437" t="s">
        <v>36</v>
      </c>
      <c r="G69" s="600">
        <v>10</v>
      </c>
      <c r="H69" s="600">
        <v>4</v>
      </c>
      <c r="I69" s="568">
        <v>5</v>
      </c>
      <c r="J69" s="569">
        <v>205</v>
      </c>
      <c r="K69" s="570">
        <v>38</v>
      </c>
      <c r="L69" s="569">
        <v>390</v>
      </c>
      <c r="M69" s="570">
        <v>61</v>
      </c>
      <c r="N69" s="569">
        <v>204</v>
      </c>
      <c r="O69" s="570">
        <v>30</v>
      </c>
      <c r="P69" s="603">
        <f t="shared" si="29"/>
        <v>799</v>
      </c>
      <c r="Q69" s="604">
        <f t="shared" si="30"/>
        <v>129</v>
      </c>
      <c r="R69" s="602">
        <f>Q69/H69</f>
        <v>32.25</v>
      </c>
      <c r="S69" s="571">
        <f>P69/Q69</f>
        <v>6.1937984496124034</v>
      </c>
      <c r="T69" s="571">
        <v>1710</v>
      </c>
      <c r="U69" s="564">
        <f t="shared" si="31"/>
        <v>-0.5327485380116959</v>
      </c>
      <c r="V69" s="451">
        <f t="shared" si="17"/>
        <v>599</v>
      </c>
      <c r="W69" s="284">
        <f t="shared" si="18"/>
        <v>102</v>
      </c>
      <c r="X69" s="673">
        <v>1398</v>
      </c>
      <c r="Y69" s="674">
        <v>231</v>
      </c>
      <c r="Z69" s="462">
        <f t="shared" si="19"/>
        <v>0.5584415584415584</v>
      </c>
      <c r="AA69" s="462">
        <f t="shared" si="20"/>
        <v>0.44155844155844154</v>
      </c>
      <c r="AB69" s="284">
        <f t="shared" si="21"/>
        <v>57.75</v>
      </c>
      <c r="AC69" s="451">
        <f t="shared" si="22"/>
        <v>6.0519480519480515</v>
      </c>
      <c r="AD69" s="9">
        <f>12741+4425+5437.5+2837.5+1398</f>
        <v>26839</v>
      </c>
      <c r="AE69" s="8">
        <f>1277+498+629+407+231</f>
        <v>3042</v>
      </c>
      <c r="AF69" s="110">
        <f>AD69/AE69</f>
        <v>8.822813938198554</v>
      </c>
      <c r="AG69" s="395">
        <v>59</v>
      </c>
    </row>
    <row r="70" spans="1:33" s="95" customFormat="1" ht="12.75" customHeight="1">
      <c r="A70" s="642">
        <v>60</v>
      </c>
      <c r="B70" s="577"/>
      <c r="C70" s="555"/>
      <c r="D70" s="587" t="s">
        <v>311</v>
      </c>
      <c r="E70" s="612">
        <v>40543</v>
      </c>
      <c r="F70" s="613" t="s">
        <v>70</v>
      </c>
      <c r="G70" s="614">
        <v>2</v>
      </c>
      <c r="H70" s="614">
        <v>1</v>
      </c>
      <c r="I70" s="589">
        <v>13</v>
      </c>
      <c r="J70" s="590">
        <v>0</v>
      </c>
      <c r="K70" s="591">
        <v>0</v>
      </c>
      <c r="L70" s="590">
        <v>0</v>
      </c>
      <c r="M70" s="591">
        <v>0</v>
      </c>
      <c r="N70" s="590">
        <v>0</v>
      </c>
      <c r="O70" s="591">
        <v>0</v>
      </c>
      <c r="P70" s="603">
        <f t="shared" si="29"/>
        <v>0</v>
      </c>
      <c r="Q70" s="604">
        <f t="shared" si="30"/>
        <v>0</v>
      </c>
      <c r="R70" s="602"/>
      <c r="S70" s="571"/>
      <c r="T70" s="571"/>
      <c r="U70" s="564"/>
      <c r="V70" s="451">
        <f t="shared" si="17"/>
        <v>1305</v>
      </c>
      <c r="W70" s="284">
        <f t="shared" si="18"/>
        <v>261</v>
      </c>
      <c r="X70" s="680">
        <v>1305</v>
      </c>
      <c r="Y70" s="681">
        <v>261</v>
      </c>
      <c r="Z70" s="462">
        <f t="shared" si="19"/>
        <v>0</v>
      </c>
      <c r="AA70" s="462">
        <f t="shared" si="20"/>
        <v>1</v>
      </c>
      <c r="AB70" s="284">
        <f t="shared" si="21"/>
        <v>261</v>
      </c>
      <c r="AC70" s="451">
        <f t="shared" si="22"/>
        <v>5</v>
      </c>
      <c r="AD70" s="242">
        <v>69613.5</v>
      </c>
      <c r="AE70" s="240">
        <v>5640</v>
      </c>
      <c r="AF70" s="110">
        <f>AD70/AE70</f>
        <v>12.34281914893617</v>
      </c>
      <c r="AG70" s="395">
        <v>60</v>
      </c>
    </row>
    <row r="71" spans="1:33" s="95" customFormat="1" ht="12.75" customHeight="1">
      <c r="A71" s="642">
        <v>61</v>
      </c>
      <c r="B71" s="577"/>
      <c r="C71" s="555"/>
      <c r="D71" s="432" t="s">
        <v>12</v>
      </c>
      <c r="E71" s="431">
        <v>40564</v>
      </c>
      <c r="F71" s="432" t="s">
        <v>10</v>
      </c>
      <c r="G71" s="434">
        <v>109</v>
      </c>
      <c r="H71" s="434">
        <v>3</v>
      </c>
      <c r="I71" s="4">
        <v>20</v>
      </c>
      <c r="J71" s="557">
        <v>175</v>
      </c>
      <c r="K71" s="558">
        <v>35</v>
      </c>
      <c r="L71" s="557">
        <v>250</v>
      </c>
      <c r="M71" s="558">
        <v>50</v>
      </c>
      <c r="N71" s="557">
        <v>250</v>
      </c>
      <c r="O71" s="558">
        <v>50</v>
      </c>
      <c r="P71" s="559">
        <f>+J71+L71+N71</f>
        <v>675</v>
      </c>
      <c r="Q71" s="560">
        <f>+K71+M71+O71</f>
        <v>135</v>
      </c>
      <c r="R71" s="561">
        <f>IF(P71&lt;&gt;0,Q71/H71,"")</f>
        <v>45</v>
      </c>
      <c r="S71" s="562">
        <f>IF(P71&lt;&gt;0,P71/Q71,"")</f>
        <v>5</v>
      </c>
      <c r="T71" s="563">
        <v>853</v>
      </c>
      <c r="U71" s="564">
        <f>IF(T71&lt;&gt;0,-(T71-P71)/T71,"")</f>
        <v>-0.20867526377491208</v>
      </c>
      <c r="V71" s="451">
        <f t="shared" si="17"/>
        <v>515</v>
      </c>
      <c r="W71" s="284">
        <f t="shared" si="18"/>
        <v>103</v>
      </c>
      <c r="X71" s="671">
        <v>1190</v>
      </c>
      <c r="Y71" s="672">
        <v>238</v>
      </c>
      <c r="Z71" s="462">
        <f t="shared" si="19"/>
        <v>0.5672268907563025</v>
      </c>
      <c r="AA71" s="462">
        <f t="shared" si="20"/>
        <v>0.4327731092436975</v>
      </c>
      <c r="AB71" s="284">
        <f t="shared" si="21"/>
        <v>79.33333333333333</v>
      </c>
      <c r="AC71" s="451">
        <f t="shared" si="22"/>
        <v>5</v>
      </c>
      <c r="AD71" s="42">
        <f>3982498+1190</f>
        <v>3983688</v>
      </c>
      <c r="AE71" s="47">
        <f>404938+238</f>
        <v>405176</v>
      </c>
      <c r="AF71" s="110">
        <f>AD71/AE71</f>
        <v>9.831993997670148</v>
      </c>
      <c r="AG71" s="395">
        <v>61</v>
      </c>
    </row>
    <row r="72" spans="1:33" s="95" customFormat="1" ht="12.75" customHeight="1">
      <c r="A72" s="642">
        <v>62</v>
      </c>
      <c r="B72" s="601"/>
      <c r="C72" s="555"/>
      <c r="D72" s="565" t="s">
        <v>187</v>
      </c>
      <c r="E72" s="556">
        <v>39995</v>
      </c>
      <c r="F72" s="608" t="s">
        <v>160</v>
      </c>
      <c r="G72" s="609">
        <v>209</v>
      </c>
      <c r="H72" s="446">
        <v>1</v>
      </c>
      <c r="I72" s="610">
        <v>65</v>
      </c>
      <c r="J72" s="569">
        <v>0</v>
      </c>
      <c r="K72" s="570">
        <v>0</v>
      </c>
      <c r="L72" s="569">
        <v>0</v>
      </c>
      <c r="M72" s="570">
        <v>0</v>
      </c>
      <c r="N72" s="569">
        <v>0</v>
      </c>
      <c r="O72" s="570">
        <v>0</v>
      </c>
      <c r="P72" s="559">
        <f aca="true" t="shared" si="32" ref="P72:Q77">SUM(J72+L72+N72)</f>
        <v>0</v>
      </c>
      <c r="Q72" s="560">
        <f t="shared" si="32"/>
        <v>0</v>
      </c>
      <c r="R72" s="561"/>
      <c r="S72" s="562"/>
      <c r="T72" s="563"/>
      <c r="U72" s="564">
        <f>IF(T72&lt;&gt;0,-(T72-P72)/T72,"")</f>
      </c>
      <c r="V72" s="451">
        <f t="shared" si="17"/>
        <v>1188</v>
      </c>
      <c r="W72" s="284">
        <f t="shared" si="18"/>
        <v>297</v>
      </c>
      <c r="X72" s="673">
        <v>1188</v>
      </c>
      <c r="Y72" s="674">
        <v>297</v>
      </c>
      <c r="Z72" s="462">
        <f t="shared" si="19"/>
        <v>0</v>
      </c>
      <c r="AA72" s="462">
        <f t="shared" si="20"/>
        <v>1</v>
      </c>
      <c r="AB72" s="284">
        <f t="shared" si="21"/>
        <v>297</v>
      </c>
      <c r="AC72" s="451">
        <f t="shared" si="22"/>
        <v>4</v>
      </c>
      <c r="AD72" s="9">
        <f>11405777.5+385+1188+6614+2968+1417+277+2612+1424+952+1780+952+364.5+1188</f>
        <v>11427899</v>
      </c>
      <c r="AE72" s="8">
        <f>1424397+63+297+1638+742+364+66+653+356+238+445+238+27+297</f>
        <v>1429821</v>
      </c>
      <c r="AF72" s="107">
        <f>+AD72/AE72</f>
        <v>7.992538226813006</v>
      </c>
      <c r="AG72" s="395">
        <v>62</v>
      </c>
    </row>
    <row r="73" spans="1:33" s="95" customFormat="1" ht="12.75" customHeight="1">
      <c r="A73" s="642">
        <v>63</v>
      </c>
      <c r="B73" s="579"/>
      <c r="C73" s="580" t="s">
        <v>96</v>
      </c>
      <c r="D73" s="640" t="s">
        <v>355</v>
      </c>
      <c r="E73" s="615">
        <v>40564</v>
      </c>
      <c r="F73" s="616" t="s">
        <v>22</v>
      </c>
      <c r="G73" s="617">
        <v>100</v>
      </c>
      <c r="H73" s="617">
        <v>1</v>
      </c>
      <c r="I73" s="324">
        <v>9</v>
      </c>
      <c r="J73" s="595">
        <v>0</v>
      </c>
      <c r="K73" s="596">
        <v>0</v>
      </c>
      <c r="L73" s="595">
        <v>0</v>
      </c>
      <c r="M73" s="596">
        <v>0</v>
      </c>
      <c r="N73" s="595">
        <v>0</v>
      </c>
      <c r="O73" s="596">
        <v>0</v>
      </c>
      <c r="P73" s="603">
        <f t="shared" si="32"/>
        <v>0</v>
      </c>
      <c r="Q73" s="604">
        <f t="shared" si="32"/>
        <v>0</v>
      </c>
      <c r="R73" s="597">
        <f>IF(P73&lt;&gt;0,Q73/H73,"")</f>
      </c>
      <c r="S73" s="562">
        <f>IF(P73&lt;&gt;0,P73/Q73,"")</f>
      </c>
      <c r="T73" s="563"/>
      <c r="U73" s="564"/>
      <c r="V73" s="451">
        <f t="shared" si="17"/>
        <v>1188</v>
      </c>
      <c r="W73" s="284">
        <f t="shared" si="18"/>
        <v>238</v>
      </c>
      <c r="X73" s="682">
        <v>1188</v>
      </c>
      <c r="Y73" s="683">
        <v>238</v>
      </c>
      <c r="Z73" s="462">
        <f t="shared" si="19"/>
        <v>0</v>
      </c>
      <c r="AA73" s="462">
        <f t="shared" si="20"/>
        <v>1</v>
      </c>
      <c r="AB73" s="284">
        <f t="shared" si="21"/>
        <v>238</v>
      </c>
      <c r="AC73" s="451">
        <f t="shared" si="22"/>
        <v>4.991596638655462</v>
      </c>
      <c r="AD73" s="40">
        <f>351928.5+109593.5+20592.5+6351+8236+2820+477+622+1188</f>
        <v>501808.5</v>
      </c>
      <c r="AE73" s="44">
        <f>40887+13714+2624+866+1497+479+81+311+238</f>
        <v>60697</v>
      </c>
      <c r="AF73" s="110">
        <f>AD73/AE73</f>
        <v>8.267434963836763</v>
      </c>
      <c r="AG73" s="395">
        <v>63</v>
      </c>
    </row>
    <row r="74" spans="1:33" s="95" customFormat="1" ht="12.75" customHeight="1">
      <c r="A74" s="642">
        <v>64</v>
      </c>
      <c r="B74" s="576"/>
      <c r="C74" s="555"/>
      <c r="D74" s="435" t="s">
        <v>285</v>
      </c>
      <c r="E74" s="431">
        <v>40557</v>
      </c>
      <c r="F74" s="432" t="s">
        <v>24</v>
      </c>
      <c r="G74" s="434">
        <v>129</v>
      </c>
      <c r="H74" s="434">
        <v>3</v>
      </c>
      <c r="I74" s="573">
        <v>21</v>
      </c>
      <c r="J74" s="574">
        <v>165</v>
      </c>
      <c r="K74" s="575">
        <v>50</v>
      </c>
      <c r="L74" s="574">
        <v>165</v>
      </c>
      <c r="M74" s="575">
        <v>50</v>
      </c>
      <c r="N74" s="574">
        <v>165</v>
      </c>
      <c r="O74" s="575">
        <v>50</v>
      </c>
      <c r="P74" s="559">
        <f t="shared" si="32"/>
        <v>495</v>
      </c>
      <c r="Q74" s="560">
        <f t="shared" si="32"/>
        <v>150</v>
      </c>
      <c r="R74" s="561">
        <f>IF(P74&lt;&gt;0,Q74/H74,"")</f>
        <v>50</v>
      </c>
      <c r="S74" s="562">
        <f>IF(P74&lt;&gt;0,P74/Q74,"")</f>
        <v>3.3</v>
      </c>
      <c r="T74" s="563">
        <v>516</v>
      </c>
      <c r="U74" s="564">
        <f>IF(T74&lt;&gt;0,-(T74-P74)/T74,"")</f>
        <v>-0.040697674418604654</v>
      </c>
      <c r="V74" s="451">
        <f t="shared" si="17"/>
        <v>660</v>
      </c>
      <c r="W74" s="284">
        <f t="shared" si="18"/>
        <v>200</v>
      </c>
      <c r="X74" s="675">
        <v>1155</v>
      </c>
      <c r="Y74" s="676">
        <v>350</v>
      </c>
      <c r="Z74" s="462">
        <f t="shared" si="19"/>
        <v>0.42857142857142855</v>
      </c>
      <c r="AA74" s="462">
        <f t="shared" si="20"/>
        <v>0.5714285714285714</v>
      </c>
      <c r="AB74" s="284">
        <f t="shared" si="21"/>
        <v>116.66666666666667</v>
      </c>
      <c r="AC74" s="451">
        <f t="shared" si="22"/>
        <v>3.3</v>
      </c>
      <c r="AD74" s="242">
        <v>1384417</v>
      </c>
      <c r="AE74" s="240">
        <v>123773</v>
      </c>
      <c r="AF74" s="107">
        <f>+AD74/AE74</f>
        <v>11.185129228507025</v>
      </c>
      <c r="AG74" s="395">
        <v>64</v>
      </c>
    </row>
    <row r="75" spans="1:33" s="95" customFormat="1" ht="12.75" customHeight="1">
      <c r="A75" s="642">
        <v>65</v>
      </c>
      <c r="B75" s="579"/>
      <c r="C75" s="580" t="s">
        <v>96</v>
      </c>
      <c r="D75" s="640" t="s">
        <v>29</v>
      </c>
      <c r="E75" s="615">
        <v>40606</v>
      </c>
      <c r="F75" s="616" t="s">
        <v>22</v>
      </c>
      <c r="G75" s="617">
        <v>152</v>
      </c>
      <c r="H75" s="617">
        <v>1</v>
      </c>
      <c r="I75" s="324">
        <v>14</v>
      </c>
      <c r="J75" s="595">
        <v>0</v>
      </c>
      <c r="K75" s="596">
        <v>0</v>
      </c>
      <c r="L75" s="595">
        <v>0</v>
      </c>
      <c r="M75" s="596">
        <v>0</v>
      </c>
      <c r="N75" s="595">
        <v>0</v>
      </c>
      <c r="O75" s="596">
        <v>0</v>
      </c>
      <c r="P75" s="603">
        <f t="shared" si="32"/>
        <v>0</v>
      </c>
      <c r="Q75" s="604">
        <f t="shared" si="32"/>
        <v>0</v>
      </c>
      <c r="R75" s="597"/>
      <c r="S75" s="562"/>
      <c r="T75" s="563"/>
      <c r="U75" s="564"/>
      <c r="V75" s="451">
        <f aca="true" t="shared" si="33" ref="V75:V95">X75-P75</f>
        <v>994</v>
      </c>
      <c r="W75" s="284">
        <f aca="true" t="shared" si="34" ref="W75:W95">Y75-Q75</f>
        <v>199</v>
      </c>
      <c r="X75" s="682">
        <v>994</v>
      </c>
      <c r="Y75" s="683">
        <v>199</v>
      </c>
      <c r="Z75" s="462">
        <f aca="true" t="shared" si="35" ref="Z75:Z106">Q75*1/Y75</f>
        <v>0</v>
      </c>
      <c r="AA75" s="462">
        <f aca="true" t="shared" si="36" ref="AA75:AA95">W75*1/Y75</f>
        <v>1</v>
      </c>
      <c r="AB75" s="284">
        <f aca="true" t="shared" si="37" ref="AB75:AB95">Y75/H75</f>
        <v>199</v>
      </c>
      <c r="AC75" s="451">
        <f aca="true" t="shared" si="38" ref="AC75:AC95">X75/Y75</f>
        <v>4.994974874371859</v>
      </c>
      <c r="AD75" s="40">
        <f>1064857.25+602581.25+269086.5+86552+70688+40243.5+15124.5+5534.5+5248.5+1364+305+140+147+994</f>
        <v>2162866</v>
      </c>
      <c r="AE75" s="45">
        <f>118954+67997+33243+12973+11521+6623+2561+922+800+239+45+20+21+199</f>
        <v>256118</v>
      </c>
      <c r="AF75" s="110">
        <f>AD75/AE75</f>
        <v>8.444802786215728</v>
      </c>
      <c r="AG75" s="395">
        <v>65</v>
      </c>
    </row>
    <row r="76" spans="1:33" s="95" customFormat="1" ht="12.75" customHeight="1">
      <c r="A76" s="642">
        <v>66</v>
      </c>
      <c r="B76" s="601"/>
      <c r="C76" s="555"/>
      <c r="D76" s="565" t="s">
        <v>143</v>
      </c>
      <c r="E76" s="556">
        <v>40627</v>
      </c>
      <c r="F76" s="608" t="s">
        <v>160</v>
      </c>
      <c r="G76" s="609">
        <v>28</v>
      </c>
      <c r="H76" s="446">
        <v>2</v>
      </c>
      <c r="I76" s="610">
        <v>11</v>
      </c>
      <c r="J76" s="569">
        <v>0</v>
      </c>
      <c r="K76" s="570">
        <v>0</v>
      </c>
      <c r="L76" s="569">
        <v>0</v>
      </c>
      <c r="M76" s="570">
        <v>0</v>
      </c>
      <c r="N76" s="569">
        <v>0</v>
      </c>
      <c r="O76" s="570">
        <v>0</v>
      </c>
      <c r="P76" s="559">
        <f t="shared" si="32"/>
        <v>0</v>
      </c>
      <c r="Q76" s="560">
        <f t="shared" si="32"/>
        <v>0</v>
      </c>
      <c r="R76" s="561"/>
      <c r="S76" s="562"/>
      <c r="T76" s="563"/>
      <c r="U76" s="564">
        <f aca="true" t="shared" si="39" ref="U76:U85">IF(T76&lt;&gt;0,-(T76-P76)/T76,"")</f>
      </c>
      <c r="V76" s="451">
        <f t="shared" si="33"/>
        <v>952</v>
      </c>
      <c r="W76" s="284">
        <f t="shared" si="34"/>
        <v>145</v>
      </c>
      <c r="X76" s="673">
        <v>952</v>
      </c>
      <c r="Y76" s="674">
        <v>145</v>
      </c>
      <c r="Z76" s="462">
        <f t="shared" si="35"/>
        <v>0</v>
      </c>
      <c r="AA76" s="462">
        <f t="shared" si="36"/>
        <v>1</v>
      </c>
      <c r="AB76" s="284">
        <f t="shared" si="37"/>
        <v>72.5</v>
      </c>
      <c r="AC76" s="451">
        <f t="shared" si="38"/>
        <v>6.56551724137931</v>
      </c>
      <c r="AD76" s="9">
        <f>43236.5+18123.5+2183+2517+14418.5+7091+2412+1549+490+210+952</f>
        <v>93182.5</v>
      </c>
      <c r="AE76" s="8">
        <f>4478+2475+287+545+1573+1026+361+242+30+145</f>
        <v>11162</v>
      </c>
      <c r="AF76" s="107">
        <f>+AD76/AE76</f>
        <v>8.348190288478767</v>
      </c>
      <c r="AG76" s="395">
        <v>66</v>
      </c>
    </row>
    <row r="77" spans="1:33" s="95" customFormat="1" ht="12.75" customHeight="1">
      <c r="A77" s="642">
        <v>67</v>
      </c>
      <c r="B77" s="601"/>
      <c r="C77" s="555"/>
      <c r="D77" s="565" t="s">
        <v>325</v>
      </c>
      <c r="E77" s="556">
        <v>40606</v>
      </c>
      <c r="F77" s="608" t="s">
        <v>160</v>
      </c>
      <c r="G77" s="609">
        <v>3</v>
      </c>
      <c r="H77" s="446">
        <v>2</v>
      </c>
      <c r="I77" s="610">
        <v>7</v>
      </c>
      <c r="J77" s="569">
        <v>0</v>
      </c>
      <c r="K77" s="570">
        <v>0</v>
      </c>
      <c r="L77" s="569">
        <v>0</v>
      </c>
      <c r="M77" s="570">
        <v>0</v>
      </c>
      <c r="N77" s="569">
        <v>0</v>
      </c>
      <c r="O77" s="570">
        <v>0</v>
      </c>
      <c r="P77" s="559">
        <f t="shared" si="32"/>
        <v>0</v>
      </c>
      <c r="Q77" s="560">
        <f t="shared" si="32"/>
        <v>0</v>
      </c>
      <c r="R77" s="561"/>
      <c r="S77" s="562"/>
      <c r="T77" s="563"/>
      <c r="U77" s="564">
        <f t="shared" si="39"/>
      </c>
      <c r="V77" s="451">
        <f t="shared" si="33"/>
        <v>950</v>
      </c>
      <c r="W77" s="284">
        <f t="shared" si="34"/>
        <v>142</v>
      </c>
      <c r="X77" s="673">
        <v>950</v>
      </c>
      <c r="Y77" s="674">
        <v>142</v>
      </c>
      <c r="Z77" s="462">
        <f t="shared" si="35"/>
        <v>0</v>
      </c>
      <c r="AA77" s="462">
        <f t="shared" si="36"/>
        <v>1</v>
      </c>
      <c r="AB77" s="284">
        <f t="shared" si="37"/>
        <v>71</v>
      </c>
      <c r="AC77" s="451">
        <f t="shared" si="38"/>
        <v>6.690140845070423</v>
      </c>
      <c r="AD77" s="9">
        <f>3944+1062+155+222+677+559+950</f>
        <v>7569</v>
      </c>
      <c r="AE77" s="8">
        <f>424+116+24+26+92+116+142</f>
        <v>940</v>
      </c>
      <c r="AF77" s="110">
        <f>AD77/AE77</f>
        <v>8.052127659574468</v>
      </c>
      <c r="AG77" s="395">
        <v>67</v>
      </c>
    </row>
    <row r="78" spans="1:33" s="95" customFormat="1" ht="12.75" customHeight="1">
      <c r="A78" s="642">
        <v>68</v>
      </c>
      <c r="B78" s="577"/>
      <c r="C78" s="555"/>
      <c r="D78" s="439" t="s">
        <v>91</v>
      </c>
      <c r="E78" s="431">
        <v>40655</v>
      </c>
      <c r="F78" s="439" t="s">
        <v>92</v>
      </c>
      <c r="G78" s="434">
        <v>10</v>
      </c>
      <c r="H78" s="434">
        <v>4</v>
      </c>
      <c r="I78" s="125">
        <v>7</v>
      </c>
      <c r="J78" s="557">
        <v>86</v>
      </c>
      <c r="K78" s="558">
        <v>13</v>
      </c>
      <c r="L78" s="557">
        <v>198</v>
      </c>
      <c r="M78" s="558">
        <v>30</v>
      </c>
      <c r="N78" s="557">
        <v>220</v>
      </c>
      <c r="O78" s="558">
        <v>33</v>
      </c>
      <c r="P78" s="559">
        <f>+J78+L78+N78</f>
        <v>504</v>
      </c>
      <c r="Q78" s="560">
        <f>+K78+M78+O78</f>
        <v>76</v>
      </c>
      <c r="R78" s="598">
        <f>+Q78/H78</f>
        <v>19</v>
      </c>
      <c r="S78" s="586">
        <f>+P78/Q78</f>
        <v>6.631578947368421</v>
      </c>
      <c r="T78" s="563">
        <v>1059</v>
      </c>
      <c r="U78" s="564">
        <f t="shared" si="39"/>
        <v>-0.5240793201133145</v>
      </c>
      <c r="V78" s="451">
        <f t="shared" si="33"/>
        <v>357</v>
      </c>
      <c r="W78" s="284">
        <f t="shared" si="34"/>
        <v>60</v>
      </c>
      <c r="X78" s="684">
        <v>861</v>
      </c>
      <c r="Y78" s="685">
        <v>136</v>
      </c>
      <c r="Z78" s="462">
        <f t="shared" si="35"/>
        <v>0.5588235294117647</v>
      </c>
      <c r="AA78" s="462">
        <f t="shared" si="36"/>
        <v>0.4411764705882353</v>
      </c>
      <c r="AB78" s="284">
        <f t="shared" si="37"/>
        <v>34</v>
      </c>
      <c r="AC78" s="451">
        <f t="shared" si="38"/>
        <v>6.330882352941177</v>
      </c>
      <c r="AD78" s="6">
        <v>90151</v>
      </c>
      <c r="AE78" s="7">
        <v>8276</v>
      </c>
      <c r="AF78" s="107">
        <f>+AD78/AE78</f>
        <v>10.893064282261962</v>
      </c>
      <c r="AG78" s="395">
        <v>68</v>
      </c>
    </row>
    <row r="79" spans="1:33" s="95" customFormat="1" ht="12.75" customHeight="1">
      <c r="A79" s="642">
        <v>69</v>
      </c>
      <c r="B79" s="601"/>
      <c r="C79" s="580" t="s">
        <v>96</v>
      </c>
      <c r="D79" s="435" t="s">
        <v>62</v>
      </c>
      <c r="E79" s="431">
        <v>40669</v>
      </c>
      <c r="F79" s="432" t="s">
        <v>24</v>
      </c>
      <c r="G79" s="434">
        <v>71</v>
      </c>
      <c r="H79" s="434">
        <v>26</v>
      </c>
      <c r="I79" s="573">
        <v>5</v>
      </c>
      <c r="J79" s="574">
        <v>210</v>
      </c>
      <c r="K79" s="575">
        <v>58</v>
      </c>
      <c r="L79" s="574">
        <v>205</v>
      </c>
      <c r="M79" s="575">
        <v>56</v>
      </c>
      <c r="N79" s="574">
        <v>309</v>
      </c>
      <c r="O79" s="575">
        <v>74</v>
      </c>
      <c r="P79" s="559">
        <f aca="true" t="shared" si="40" ref="P79:Q86">SUM(J79+L79+N79)</f>
        <v>724</v>
      </c>
      <c r="Q79" s="560">
        <f t="shared" si="40"/>
        <v>188</v>
      </c>
      <c r="R79" s="561">
        <f>IF(P79&lt;&gt;0,Q79/H79,"")</f>
        <v>7.230769230769231</v>
      </c>
      <c r="S79" s="562">
        <f>+P79/Q79</f>
        <v>3.851063829787234</v>
      </c>
      <c r="T79" s="563">
        <v>2040</v>
      </c>
      <c r="U79" s="564">
        <f t="shared" si="39"/>
        <v>-0.6450980392156863</v>
      </c>
      <c r="V79" s="451">
        <f t="shared" si="33"/>
        <v>91</v>
      </c>
      <c r="W79" s="284">
        <f t="shared" si="34"/>
        <v>20</v>
      </c>
      <c r="X79" s="675">
        <v>815</v>
      </c>
      <c r="Y79" s="676">
        <v>208</v>
      </c>
      <c r="Z79" s="462">
        <f t="shared" si="35"/>
        <v>0.9038461538461539</v>
      </c>
      <c r="AA79" s="462">
        <f t="shared" si="36"/>
        <v>0.09615384615384616</v>
      </c>
      <c r="AB79" s="284">
        <f t="shared" si="37"/>
        <v>8</v>
      </c>
      <c r="AC79" s="451">
        <f t="shared" si="38"/>
        <v>3.918269230769231</v>
      </c>
      <c r="AD79" s="242">
        <v>164287</v>
      </c>
      <c r="AE79" s="240">
        <v>17326</v>
      </c>
      <c r="AF79" s="110">
        <f>AD79/AE79</f>
        <v>9.482107814844742</v>
      </c>
      <c r="AG79" s="395">
        <v>69</v>
      </c>
    </row>
    <row r="80" spans="1:33" s="95" customFormat="1" ht="12.75" customHeight="1">
      <c r="A80" s="642">
        <v>70</v>
      </c>
      <c r="B80" s="576"/>
      <c r="C80" s="555"/>
      <c r="D80" s="437" t="s">
        <v>93</v>
      </c>
      <c r="E80" s="431">
        <v>40536</v>
      </c>
      <c r="F80" s="432" t="s">
        <v>24</v>
      </c>
      <c r="G80" s="434">
        <v>112</v>
      </c>
      <c r="H80" s="434">
        <v>1</v>
      </c>
      <c r="I80" s="573">
        <v>25</v>
      </c>
      <c r="J80" s="574">
        <v>72</v>
      </c>
      <c r="K80" s="575">
        <v>12</v>
      </c>
      <c r="L80" s="574">
        <v>128</v>
      </c>
      <c r="M80" s="575">
        <v>21</v>
      </c>
      <c r="N80" s="574">
        <v>91</v>
      </c>
      <c r="O80" s="575">
        <v>15</v>
      </c>
      <c r="P80" s="559">
        <f t="shared" si="40"/>
        <v>291</v>
      </c>
      <c r="Q80" s="560">
        <f t="shared" si="40"/>
        <v>48</v>
      </c>
      <c r="R80" s="561">
        <f>IF(P80&lt;&gt;0,Q80/H80,"")</f>
        <v>48</v>
      </c>
      <c r="S80" s="562">
        <f>+P80/Q80</f>
        <v>6.0625</v>
      </c>
      <c r="T80" s="563">
        <v>1520</v>
      </c>
      <c r="U80" s="564">
        <f t="shared" si="39"/>
        <v>-0.8085526315789474</v>
      </c>
      <c r="V80" s="451">
        <f t="shared" si="33"/>
        <v>486</v>
      </c>
      <c r="W80" s="284">
        <f t="shared" si="34"/>
        <v>79</v>
      </c>
      <c r="X80" s="675">
        <v>777</v>
      </c>
      <c r="Y80" s="676">
        <v>127</v>
      </c>
      <c r="Z80" s="462">
        <f t="shared" si="35"/>
        <v>0.3779527559055118</v>
      </c>
      <c r="AA80" s="462">
        <f t="shared" si="36"/>
        <v>0.6220472440944882</v>
      </c>
      <c r="AB80" s="284">
        <f t="shared" si="37"/>
        <v>127</v>
      </c>
      <c r="AC80" s="451">
        <f t="shared" si="38"/>
        <v>6.118110236220472</v>
      </c>
      <c r="AD80" s="242">
        <v>2759867</v>
      </c>
      <c r="AE80" s="240">
        <v>247327</v>
      </c>
      <c r="AF80" s="107">
        <f>+AD80/AE80</f>
        <v>11.15877765064065</v>
      </c>
      <c r="AG80" s="395">
        <v>70</v>
      </c>
    </row>
    <row r="81" spans="1:33" s="95" customFormat="1" ht="12.75" customHeight="1">
      <c r="A81" s="642">
        <v>71</v>
      </c>
      <c r="B81" s="601"/>
      <c r="C81" s="555"/>
      <c r="D81" s="565" t="s">
        <v>73</v>
      </c>
      <c r="E81" s="556">
        <v>40676</v>
      </c>
      <c r="F81" s="432" t="s">
        <v>36</v>
      </c>
      <c r="G81" s="566">
        <v>3</v>
      </c>
      <c r="H81" s="567">
        <v>1</v>
      </c>
      <c r="I81" s="568">
        <v>3</v>
      </c>
      <c r="J81" s="569">
        <v>56</v>
      </c>
      <c r="K81" s="570">
        <v>6</v>
      </c>
      <c r="L81" s="569">
        <v>108</v>
      </c>
      <c r="M81" s="570">
        <v>11</v>
      </c>
      <c r="N81" s="569">
        <v>188</v>
      </c>
      <c r="O81" s="570">
        <v>20</v>
      </c>
      <c r="P81" s="559">
        <f t="shared" si="40"/>
        <v>352</v>
      </c>
      <c r="Q81" s="560">
        <f t="shared" si="40"/>
        <v>37</v>
      </c>
      <c r="R81" s="561">
        <f>IF(P81&lt;&gt;0,Q81/H81,"")</f>
        <v>37</v>
      </c>
      <c r="S81" s="562">
        <f>+P81/Q81</f>
        <v>9.513513513513514</v>
      </c>
      <c r="T81" s="563"/>
      <c r="U81" s="564">
        <f t="shared" si="39"/>
      </c>
      <c r="V81" s="451">
        <f t="shared" si="33"/>
        <v>276</v>
      </c>
      <c r="W81" s="284">
        <f t="shared" si="34"/>
        <v>28</v>
      </c>
      <c r="X81" s="673">
        <v>628</v>
      </c>
      <c r="Y81" s="674">
        <v>65</v>
      </c>
      <c r="Z81" s="462">
        <f t="shared" si="35"/>
        <v>0.5692307692307692</v>
      </c>
      <c r="AA81" s="462">
        <f t="shared" si="36"/>
        <v>0.4307692307692308</v>
      </c>
      <c r="AB81" s="284">
        <f t="shared" si="37"/>
        <v>65</v>
      </c>
      <c r="AC81" s="451">
        <f t="shared" si="38"/>
        <v>9.661538461538461</v>
      </c>
      <c r="AD81" s="9">
        <f>6347+909.5+628</f>
        <v>7884.5</v>
      </c>
      <c r="AE81" s="8">
        <f>404+81+65</f>
        <v>550</v>
      </c>
      <c r="AF81" s="107">
        <f>+AD81/AE81</f>
        <v>14.335454545454546</v>
      </c>
      <c r="AG81" s="395">
        <v>71</v>
      </c>
    </row>
    <row r="82" spans="1:33" s="95" customFormat="1" ht="12.75" customHeight="1">
      <c r="A82" s="642">
        <v>72</v>
      </c>
      <c r="B82" s="601"/>
      <c r="C82" s="555"/>
      <c r="D82" s="565" t="s">
        <v>14</v>
      </c>
      <c r="E82" s="556">
        <v>40592</v>
      </c>
      <c r="F82" s="608" t="s">
        <v>160</v>
      </c>
      <c r="G82" s="609">
        <v>26</v>
      </c>
      <c r="H82" s="446">
        <v>1</v>
      </c>
      <c r="I82" s="610">
        <v>16</v>
      </c>
      <c r="J82" s="569">
        <v>0</v>
      </c>
      <c r="K82" s="570">
        <v>0</v>
      </c>
      <c r="L82" s="569">
        <v>0</v>
      </c>
      <c r="M82" s="570">
        <v>0</v>
      </c>
      <c r="N82" s="569">
        <v>0</v>
      </c>
      <c r="O82" s="570">
        <v>0</v>
      </c>
      <c r="P82" s="559">
        <f t="shared" si="40"/>
        <v>0</v>
      </c>
      <c r="Q82" s="560">
        <f t="shared" si="40"/>
        <v>0</v>
      </c>
      <c r="R82" s="561"/>
      <c r="S82" s="562"/>
      <c r="T82" s="563"/>
      <c r="U82" s="564">
        <f t="shared" si="39"/>
      </c>
      <c r="V82" s="451">
        <f t="shared" si="33"/>
        <v>560</v>
      </c>
      <c r="W82" s="284">
        <f t="shared" si="34"/>
        <v>80</v>
      </c>
      <c r="X82" s="673">
        <v>560</v>
      </c>
      <c r="Y82" s="674">
        <v>80</v>
      </c>
      <c r="Z82" s="462">
        <f t="shared" si="35"/>
        <v>0</v>
      </c>
      <c r="AA82" s="462">
        <f t="shared" si="36"/>
        <v>1</v>
      </c>
      <c r="AB82" s="284">
        <f t="shared" si="37"/>
        <v>80</v>
      </c>
      <c r="AC82" s="451">
        <f t="shared" si="38"/>
        <v>7</v>
      </c>
      <c r="AD82" s="9">
        <f>237198+117355.25+39279+7609+10490+5994.5+4177+5529+13722.5+15666+5837+4401.5+5554+1816.5+656+560</f>
        <v>475845.25</v>
      </c>
      <c r="AE82" s="8">
        <f>20106+9312+4270+1420+2469+1087+657+754+2056+2109+1033+786+862+334+111+80</f>
        <v>47446</v>
      </c>
      <c r="AF82" s="107">
        <f>+AD82/AE82</f>
        <v>10.029196349534207</v>
      </c>
      <c r="AG82" s="395">
        <v>72</v>
      </c>
    </row>
    <row r="83" spans="1:33" s="95" customFormat="1" ht="12.75" customHeight="1">
      <c r="A83" s="642">
        <v>73</v>
      </c>
      <c r="B83" s="577"/>
      <c r="C83" s="555"/>
      <c r="D83" s="437" t="s">
        <v>64</v>
      </c>
      <c r="E83" s="438">
        <v>40669</v>
      </c>
      <c r="F83" s="437" t="s">
        <v>70</v>
      </c>
      <c r="G83" s="600">
        <v>10</v>
      </c>
      <c r="H83" s="588">
        <v>2</v>
      </c>
      <c r="I83" s="589">
        <v>5</v>
      </c>
      <c r="J83" s="590">
        <v>72</v>
      </c>
      <c r="K83" s="591">
        <v>8</v>
      </c>
      <c r="L83" s="590">
        <v>95</v>
      </c>
      <c r="M83" s="591">
        <v>10</v>
      </c>
      <c r="N83" s="590">
        <v>164</v>
      </c>
      <c r="O83" s="591">
        <v>18</v>
      </c>
      <c r="P83" s="603">
        <f t="shared" si="40"/>
        <v>331</v>
      </c>
      <c r="Q83" s="604">
        <f t="shared" si="40"/>
        <v>36</v>
      </c>
      <c r="R83" s="602">
        <f>Q83/H83</f>
        <v>18</v>
      </c>
      <c r="S83" s="571">
        <f>P83/Q83</f>
        <v>9.194444444444445</v>
      </c>
      <c r="T83" s="571">
        <v>923</v>
      </c>
      <c r="U83" s="564">
        <f t="shared" si="39"/>
        <v>-0.6413867822318526</v>
      </c>
      <c r="V83" s="451">
        <f t="shared" si="33"/>
        <v>214</v>
      </c>
      <c r="W83" s="284">
        <f t="shared" si="34"/>
        <v>27</v>
      </c>
      <c r="X83" s="680">
        <v>545</v>
      </c>
      <c r="Y83" s="688">
        <v>63</v>
      </c>
      <c r="Z83" s="462">
        <f t="shared" si="35"/>
        <v>0.5714285714285714</v>
      </c>
      <c r="AA83" s="462">
        <f t="shared" si="36"/>
        <v>0.42857142857142855</v>
      </c>
      <c r="AB83" s="284">
        <f t="shared" si="37"/>
        <v>31.5</v>
      </c>
      <c r="AC83" s="451">
        <f t="shared" si="38"/>
        <v>8.65079365079365</v>
      </c>
      <c r="AD83" s="242">
        <v>44252.25</v>
      </c>
      <c r="AE83" s="240">
        <v>3359</v>
      </c>
      <c r="AF83" s="110">
        <f>AD83/AE83</f>
        <v>13.174233402798452</v>
      </c>
      <c r="AG83" s="395">
        <v>73</v>
      </c>
    </row>
    <row r="84" spans="1:33" s="95" customFormat="1" ht="12.75" customHeight="1">
      <c r="A84" s="642">
        <v>74</v>
      </c>
      <c r="B84" s="576"/>
      <c r="C84" s="555"/>
      <c r="D84" s="435" t="s">
        <v>42</v>
      </c>
      <c r="E84" s="431">
        <v>40648</v>
      </c>
      <c r="F84" s="432" t="s">
        <v>24</v>
      </c>
      <c r="G84" s="434">
        <v>76</v>
      </c>
      <c r="H84" s="434">
        <v>17</v>
      </c>
      <c r="I84" s="573">
        <v>8</v>
      </c>
      <c r="J84" s="574">
        <v>77</v>
      </c>
      <c r="K84" s="575">
        <v>11</v>
      </c>
      <c r="L84" s="574">
        <v>87</v>
      </c>
      <c r="M84" s="575">
        <v>12</v>
      </c>
      <c r="N84" s="574">
        <v>168</v>
      </c>
      <c r="O84" s="575">
        <v>25</v>
      </c>
      <c r="P84" s="559">
        <f t="shared" si="40"/>
        <v>332</v>
      </c>
      <c r="Q84" s="560">
        <f t="shared" si="40"/>
        <v>48</v>
      </c>
      <c r="R84" s="561">
        <f>IF(P84&lt;&gt;0,Q84/H84,"")</f>
        <v>2.823529411764706</v>
      </c>
      <c r="S84" s="562">
        <f>+P84/Q84</f>
        <v>6.916666666666667</v>
      </c>
      <c r="T84" s="563">
        <v>839</v>
      </c>
      <c r="U84" s="564">
        <f t="shared" si="39"/>
        <v>-0.6042908224076281</v>
      </c>
      <c r="V84" s="451">
        <f t="shared" si="33"/>
        <v>145</v>
      </c>
      <c r="W84" s="284">
        <f t="shared" si="34"/>
        <v>21</v>
      </c>
      <c r="X84" s="675">
        <v>477</v>
      </c>
      <c r="Y84" s="676">
        <v>69</v>
      </c>
      <c r="Z84" s="462">
        <f t="shared" si="35"/>
        <v>0.6956521739130435</v>
      </c>
      <c r="AA84" s="462">
        <f t="shared" si="36"/>
        <v>0.30434782608695654</v>
      </c>
      <c r="AB84" s="284">
        <f t="shared" si="37"/>
        <v>4.0588235294117645</v>
      </c>
      <c r="AC84" s="451">
        <f t="shared" si="38"/>
        <v>6.913043478260869</v>
      </c>
      <c r="AD84" s="242">
        <v>561170</v>
      </c>
      <c r="AE84" s="298">
        <v>59559</v>
      </c>
      <c r="AF84" s="110">
        <f>AD84/AE84</f>
        <v>9.42208566295606</v>
      </c>
      <c r="AG84" s="395">
        <v>74</v>
      </c>
    </row>
    <row r="85" spans="1:33" s="95" customFormat="1" ht="12.75" customHeight="1">
      <c r="A85" s="642">
        <v>75</v>
      </c>
      <c r="B85" s="601"/>
      <c r="C85" s="580" t="s">
        <v>96</v>
      </c>
      <c r="D85" s="565" t="s">
        <v>17</v>
      </c>
      <c r="E85" s="556">
        <v>40613</v>
      </c>
      <c r="F85" s="608" t="s">
        <v>160</v>
      </c>
      <c r="G85" s="609">
        <v>25</v>
      </c>
      <c r="H85" s="446">
        <v>1</v>
      </c>
      <c r="I85" s="610">
        <v>13</v>
      </c>
      <c r="J85" s="569">
        <v>0</v>
      </c>
      <c r="K85" s="570">
        <v>0</v>
      </c>
      <c r="L85" s="569">
        <v>0</v>
      </c>
      <c r="M85" s="570">
        <v>0</v>
      </c>
      <c r="N85" s="569">
        <v>0</v>
      </c>
      <c r="O85" s="570">
        <v>0</v>
      </c>
      <c r="P85" s="559">
        <f t="shared" si="40"/>
        <v>0</v>
      </c>
      <c r="Q85" s="560">
        <f t="shared" si="40"/>
        <v>0</v>
      </c>
      <c r="R85" s="561"/>
      <c r="S85" s="562"/>
      <c r="T85" s="563"/>
      <c r="U85" s="564">
        <f t="shared" si="39"/>
      </c>
      <c r="V85" s="451">
        <f t="shared" si="33"/>
        <v>459</v>
      </c>
      <c r="W85" s="284">
        <f t="shared" si="34"/>
        <v>92</v>
      </c>
      <c r="X85" s="673">
        <v>459</v>
      </c>
      <c r="Y85" s="674">
        <v>92</v>
      </c>
      <c r="Z85" s="462">
        <f t="shared" si="35"/>
        <v>0</v>
      </c>
      <c r="AA85" s="462">
        <f t="shared" si="36"/>
        <v>1</v>
      </c>
      <c r="AB85" s="284">
        <f t="shared" si="37"/>
        <v>92</v>
      </c>
      <c r="AC85" s="451">
        <f t="shared" si="38"/>
        <v>4.989130434782608</v>
      </c>
      <c r="AD85" s="9">
        <f>75934+53479.5+29060+17465+26762+20460.5+20847+12710+19039+8622+2147+3636+459</f>
        <v>290621</v>
      </c>
      <c r="AE85" s="8">
        <f>9554+7103+4053+2490+4055+3124+3295+2389+2957+1767+459+626+92</f>
        <v>41964</v>
      </c>
      <c r="AF85" s="107">
        <f>+AD85/AE85</f>
        <v>6.925483747974455</v>
      </c>
      <c r="AG85" s="395">
        <v>75</v>
      </c>
    </row>
    <row r="86" spans="1:33" s="95" customFormat="1" ht="12.75" customHeight="1">
      <c r="A86" s="642">
        <v>76</v>
      </c>
      <c r="B86" s="577"/>
      <c r="C86" s="580" t="s">
        <v>96</v>
      </c>
      <c r="D86" s="587" t="s">
        <v>139</v>
      </c>
      <c r="E86" s="581">
        <v>40613</v>
      </c>
      <c r="F86" s="437" t="s">
        <v>70</v>
      </c>
      <c r="G86" s="618">
        <v>1</v>
      </c>
      <c r="H86" s="588">
        <v>1</v>
      </c>
      <c r="I86" s="619">
        <v>13</v>
      </c>
      <c r="J86" s="590">
        <v>24</v>
      </c>
      <c r="K86" s="591">
        <v>6</v>
      </c>
      <c r="L86" s="590">
        <v>104</v>
      </c>
      <c r="M86" s="591">
        <v>26</v>
      </c>
      <c r="N86" s="590">
        <v>100</v>
      </c>
      <c r="O86" s="591">
        <v>23</v>
      </c>
      <c r="P86" s="592">
        <f t="shared" si="40"/>
        <v>228</v>
      </c>
      <c r="Q86" s="593">
        <f t="shared" si="40"/>
        <v>55</v>
      </c>
      <c r="R86" s="591">
        <f>Q86/H86</f>
        <v>55</v>
      </c>
      <c r="S86" s="590">
        <f>P86/Q86</f>
        <v>4.1454545454545455</v>
      </c>
      <c r="T86" s="590"/>
      <c r="U86" s="564"/>
      <c r="V86" s="451">
        <f t="shared" si="33"/>
        <v>142</v>
      </c>
      <c r="W86" s="284">
        <f t="shared" si="34"/>
        <v>34</v>
      </c>
      <c r="X86" s="680">
        <v>370</v>
      </c>
      <c r="Y86" s="688">
        <v>89</v>
      </c>
      <c r="Z86" s="462">
        <f t="shared" si="35"/>
        <v>0.6179775280898876</v>
      </c>
      <c r="AA86" s="462">
        <f t="shared" si="36"/>
        <v>0.38202247191011235</v>
      </c>
      <c r="AB86" s="284">
        <f t="shared" si="37"/>
        <v>89</v>
      </c>
      <c r="AC86" s="451">
        <f t="shared" si="38"/>
        <v>4.157303370786517</v>
      </c>
      <c r="AD86" s="242">
        <v>201350.5</v>
      </c>
      <c r="AE86" s="240">
        <v>26451</v>
      </c>
      <c r="AF86" s="107">
        <f>+AD86/AE86</f>
        <v>7.612207477978148</v>
      </c>
      <c r="AG86" s="395">
        <v>76</v>
      </c>
    </row>
    <row r="87" spans="1:33" s="95" customFormat="1" ht="12.75" customHeight="1">
      <c r="A87" s="642">
        <v>77</v>
      </c>
      <c r="B87" s="577"/>
      <c r="C87" s="555"/>
      <c r="D87" s="432" t="s">
        <v>28</v>
      </c>
      <c r="E87" s="431">
        <v>40627</v>
      </c>
      <c r="F87" s="432" t="s">
        <v>10</v>
      </c>
      <c r="G87" s="434">
        <v>73</v>
      </c>
      <c r="H87" s="434">
        <v>3</v>
      </c>
      <c r="I87" s="4">
        <v>11</v>
      </c>
      <c r="J87" s="557">
        <v>0</v>
      </c>
      <c r="K87" s="558">
        <v>0</v>
      </c>
      <c r="L87" s="557">
        <v>28</v>
      </c>
      <c r="M87" s="558">
        <v>4</v>
      </c>
      <c r="N87" s="557">
        <v>81</v>
      </c>
      <c r="O87" s="558">
        <v>13</v>
      </c>
      <c r="P87" s="559">
        <f>+J87+L87+N87</f>
        <v>109</v>
      </c>
      <c r="Q87" s="560">
        <f>+K87+M87+O87</f>
        <v>17</v>
      </c>
      <c r="R87" s="561">
        <f>IF(P87&lt;&gt;0,Q87/H87,"")</f>
        <v>5.666666666666667</v>
      </c>
      <c r="S87" s="562">
        <f>IF(P87&lt;&gt;0,P87/Q87,"")</f>
        <v>6.411764705882353</v>
      </c>
      <c r="T87" s="563">
        <v>1801</v>
      </c>
      <c r="U87" s="564">
        <f>IF(T87&lt;&gt;0,-(T87-P87)/T87,"")</f>
        <v>-0.9394780677401444</v>
      </c>
      <c r="V87" s="451">
        <f t="shared" si="33"/>
        <v>203</v>
      </c>
      <c r="W87" s="284">
        <f t="shared" si="34"/>
        <v>33</v>
      </c>
      <c r="X87" s="671">
        <v>312</v>
      </c>
      <c r="Y87" s="672">
        <v>50</v>
      </c>
      <c r="Z87" s="462">
        <f t="shared" si="35"/>
        <v>0.34</v>
      </c>
      <c r="AA87" s="462">
        <f t="shared" si="36"/>
        <v>0.66</v>
      </c>
      <c r="AB87" s="284">
        <f t="shared" si="37"/>
        <v>16.666666666666668</v>
      </c>
      <c r="AC87" s="451">
        <f t="shared" si="38"/>
        <v>6.24</v>
      </c>
      <c r="AD87" s="42">
        <v>1684954</v>
      </c>
      <c r="AE87" s="47">
        <v>154099</v>
      </c>
      <c r="AF87" s="110">
        <f>AD87/AE87</f>
        <v>10.934230592022011</v>
      </c>
      <c r="AG87" s="395">
        <v>77</v>
      </c>
    </row>
    <row r="88" spans="1:33" s="95" customFormat="1" ht="12.75" customHeight="1">
      <c r="A88" s="642">
        <v>78</v>
      </c>
      <c r="B88" s="577"/>
      <c r="C88" s="555"/>
      <c r="D88" s="439" t="s">
        <v>19</v>
      </c>
      <c r="E88" s="431">
        <v>40620</v>
      </c>
      <c r="F88" s="440" t="s">
        <v>8</v>
      </c>
      <c r="G88" s="434">
        <v>37</v>
      </c>
      <c r="H88" s="434">
        <v>2</v>
      </c>
      <c r="I88" s="4">
        <v>12</v>
      </c>
      <c r="J88" s="557">
        <v>0</v>
      </c>
      <c r="K88" s="558">
        <v>0</v>
      </c>
      <c r="L88" s="557">
        <v>92</v>
      </c>
      <c r="M88" s="558">
        <v>14</v>
      </c>
      <c r="N88" s="557">
        <v>90</v>
      </c>
      <c r="O88" s="558">
        <v>13</v>
      </c>
      <c r="P88" s="559">
        <f>+J88+L88+N88</f>
        <v>182</v>
      </c>
      <c r="Q88" s="560">
        <f>+K88+M88+O88</f>
        <v>27</v>
      </c>
      <c r="R88" s="598">
        <f>+Q88/H88</f>
        <v>13.5</v>
      </c>
      <c r="S88" s="586">
        <f>+P88/Q88</f>
        <v>6.7407407407407405</v>
      </c>
      <c r="T88" s="563">
        <v>1057</v>
      </c>
      <c r="U88" s="564">
        <f>IF(T88&lt;&gt;0,-(T88-P88)/T88,"")</f>
        <v>-0.8278145695364238</v>
      </c>
      <c r="V88" s="451">
        <f t="shared" si="33"/>
        <v>100</v>
      </c>
      <c r="W88" s="284">
        <f t="shared" si="34"/>
        <v>16</v>
      </c>
      <c r="X88" s="684">
        <v>282</v>
      </c>
      <c r="Y88" s="685">
        <v>43</v>
      </c>
      <c r="Z88" s="462">
        <f t="shared" si="35"/>
        <v>0.627906976744186</v>
      </c>
      <c r="AA88" s="462">
        <f t="shared" si="36"/>
        <v>0.37209302325581395</v>
      </c>
      <c r="AB88" s="284">
        <f t="shared" si="37"/>
        <v>21.5</v>
      </c>
      <c r="AC88" s="451">
        <f t="shared" si="38"/>
        <v>6.558139534883721</v>
      </c>
      <c r="AD88" s="6">
        <v>841918</v>
      </c>
      <c r="AE88" s="7">
        <v>75218</v>
      </c>
      <c r="AF88" s="110">
        <f>AD88/AE88</f>
        <v>11.193038900263234</v>
      </c>
      <c r="AG88" s="395">
        <v>78</v>
      </c>
    </row>
    <row r="89" spans="1:33" s="95" customFormat="1" ht="12.75" customHeight="1">
      <c r="A89" s="642">
        <v>79</v>
      </c>
      <c r="B89" s="576"/>
      <c r="C89" s="580" t="s">
        <v>96</v>
      </c>
      <c r="D89" s="432" t="s">
        <v>53</v>
      </c>
      <c r="E89" s="431">
        <v>40655</v>
      </c>
      <c r="F89" s="432" t="s">
        <v>52</v>
      </c>
      <c r="G89" s="434">
        <v>26</v>
      </c>
      <c r="H89" s="434">
        <v>5</v>
      </c>
      <c r="I89" s="620">
        <v>7</v>
      </c>
      <c r="J89" s="574">
        <v>0</v>
      </c>
      <c r="K89" s="575">
        <v>0</v>
      </c>
      <c r="L89" s="574">
        <v>116</v>
      </c>
      <c r="M89" s="575">
        <v>14</v>
      </c>
      <c r="N89" s="574">
        <v>60</v>
      </c>
      <c r="O89" s="575">
        <v>8</v>
      </c>
      <c r="P89" s="584">
        <f>J89+L89+N89</f>
        <v>176</v>
      </c>
      <c r="Q89" s="585">
        <f>K89+M89+O89</f>
        <v>22</v>
      </c>
      <c r="R89" s="561">
        <f>Q89/H89</f>
        <v>4.4</v>
      </c>
      <c r="S89" s="562">
        <f>P89/Q89</f>
        <v>8</v>
      </c>
      <c r="T89" s="586">
        <v>1582</v>
      </c>
      <c r="U89" s="564">
        <f>IF(T89&lt;&gt;0,-(T89-P89)/T89,"")</f>
        <v>-0.888748419721871</v>
      </c>
      <c r="V89" s="451">
        <f t="shared" si="33"/>
        <v>95</v>
      </c>
      <c r="W89" s="284">
        <f t="shared" si="34"/>
        <v>11</v>
      </c>
      <c r="X89" s="677">
        <v>271</v>
      </c>
      <c r="Y89" s="678">
        <v>33</v>
      </c>
      <c r="Z89" s="462">
        <f t="shared" si="35"/>
        <v>0.6666666666666666</v>
      </c>
      <c r="AA89" s="462">
        <f t="shared" si="36"/>
        <v>0.3333333333333333</v>
      </c>
      <c r="AB89" s="284">
        <f t="shared" si="37"/>
        <v>6.6</v>
      </c>
      <c r="AC89" s="451">
        <f t="shared" si="38"/>
        <v>8.212121212121213</v>
      </c>
      <c r="AD89" s="41">
        <v>59075</v>
      </c>
      <c r="AE89" s="45">
        <v>9123</v>
      </c>
      <c r="AF89" s="107">
        <f>+AD89/AE89</f>
        <v>6.4753918667105115</v>
      </c>
      <c r="AG89" s="395">
        <v>79</v>
      </c>
    </row>
    <row r="90" spans="1:33" s="95" customFormat="1" ht="12.75" customHeight="1">
      <c r="A90" s="642">
        <v>80</v>
      </c>
      <c r="B90" s="576"/>
      <c r="C90" s="611"/>
      <c r="D90" s="621" t="s">
        <v>360</v>
      </c>
      <c r="E90" s="431">
        <v>40606</v>
      </c>
      <c r="F90" s="432" t="s">
        <v>24</v>
      </c>
      <c r="G90" s="622">
        <v>93</v>
      </c>
      <c r="H90" s="622">
        <v>1</v>
      </c>
      <c r="I90" s="307">
        <v>14</v>
      </c>
      <c r="J90" s="574">
        <v>0</v>
      </c>
      <c r="K90" s="575">
        <v>0</v>
      </c>
      <c r="L90" s="574">
        <v>0</v>
      </c>
      <c r="M90" s="575">
        <v>0</v>
      </c>
      <c r="N90" s="574">
        <v>0</v>
      </c>
      <c r="O90" s="575">
        <v>0</v>
      </c>
      <c r="P90" s="559">
        <f aca="true" t="shared" si="41" ref="P90:Q92">SUM(J90+L90+N90)</f>
        <v>0</v>
      </c>
      <c r="Q90" s="560">
        <f t="shared" si="41"/>
        <v>0</v>
      </c>
      <c r="R90" s="561">
        <f>IF(P90&lt;&gt;0,Q90/H90,"")</f>
      </c>
      <c r="S90" s="562"/>
      <c r="T90" s="563"/>
      <c r="U90" s="564"/>
      <c r="V90" s="451">
        <f t="shared" si="33"/>
        <v>250</v>
      </c>
      <c r="W90" s="284">
        <f t="shared" si="34"/>
        <v>75</v>
      </c>
      <c r="X90" s="680">
        <v>250</v>
      </c>
      <c r="Y90" s="688">
        <v>75</v>
      </c>
      <c r="Z90" s="462">
        <f t="shared" si="35"/>
        <v>0</v>
      </c>
      <c r="AA90" s="462">
        <f t="shared" si="36"/>
        <v>1</v>
      </c>
      <c r="AB90" s="284">
        <f t="shared" si="37"/>
        <v>75</v>
      </c>
      <c r="AC90" s="451">
        <f t="shared" si="38"/>
        <v>3.3333333333333335</v>
      </c>
      <c r="AD90" s="242">
        <v>1221986</v>
      </c>
      <c r="AE90" s="298">
        <v>109451</v>
      </c>
      <c r="AF90" s="107">
        <f>+AD90/AE90</f>
        <v>11.164685567057404</v>
      </c>
      <c r="AG90" s="395">
        <v>80</v>
      </c>
    </row>
    <row r="91" spans="1:33" s="95" customFormat="1" ht="12.75" customHeight="1">
      <c r="A91" s="642">
        <v>81</v>
      </c>
      <c r="B91" s="601"/>
      <c r="C91" s="555"/>
      <c r="D91" s="565" t="s">
        <v>34</v>
      </c>
      <c r="E91" s="556">
        <v>40634</v>
      </c>
      <c r="F91" s="608" t="s">
        <v>160</v>
      </c>
      <c r="G91" s="609">
        <v>36</v>
      </c>
      <c r="H91" s="446">
        <v>1</v>
      </c>
      <c r="I91" s="610">
        <v>10</v>
      </c>
      <c r="J91" s="569">
        <v>0</v>
      </c>
      <c r="K91" s="570">
        <v>0</v>
      </c>
      <c r="L91" s="569">
        <v>0</v>
      </c>
      <c r="M91" s="570">
        <v>0</v>
      </c>
      <c r="N91" s="569">
        <v>0</v>
      </c>
      <c r="O91" s="570">
        <v>0</v>
      </c>
      <c r="P91" s="559">
        <f t="shared" si="41"/>
        <v>0</v>
      </c>
      <c r="Q91" s="560">
        <f t="shared" si="41"/>
        <v>0</v>
      </c>
      <c r="R91" s="561"/>
      <c r="S91" s="562"/>
      <c r="T91" s="563"/>
      <c r="U91" s="564">
        <f>IF(T91&lt;&gt;0,-(T91-P91)/T91,"")</f>
      </c>
      <c r="V91" s="451">
        <f t="shared" si="33"/>
        <v>246</v>
      </c>
      <c r="W91" s="284">
        <f t="shared" si="34"/>
        <v>39</v>
      </c>
      <c r="X91" s="673">
        <v>246</v>
      </c>
      <c r="Y91" s="674">
        <v>39</v>
      </c>
      <c r="Z91" s="462">
        <f t="shared" si="35"/>
        <v>0</v>
      </c>
      <c r="AA91" s="462">
        <f t="shared" si="36"/>
        <v>1</v>
      </c>
      <c r="AB91" s="284">
        <f t="shared" si="37"/>
        <v>39</v>
      </c>
      <c r="AC91" s="451">
        <f t="shared" si="38"/>
        <v>6.3076923076923075</v>
      </c>
      <c r="AD91" s="9">
        <f>246204.5+109370+33780.5+17153+1902+8321+3738+833+560+246</f>
        <v>422108</v>
      </c>
      <c r="AE91" s="8">
        <f>18876+8155+2662+1743+244+979+452+94+110+39</f>
        <v>33354</v>
      </c>
      <c r="AF91" s="110">
        <f>AD91/AE91</f>
        <v>12.655393655933322</v>
      </c>
      <c r="AG91" s="395">
        <v>81</v>
      </c>
    </row>
    <row r="92" spans="1:33" s="95" customFormat="1" ht="12.75" customHeight="1">
      <c r="A92" s="642">
        <v>82</v>
      </c>
      <c r="B92" s="576"/>
      <c r="C92" s="580" t="s">
        <v>96</v>
      </c>
      <c r="D92" s="435" t="s">
        <v>23</v>
      </c>
      <c r="E92" s="431">
        <v>40578</v>
      </c>
      <c r="F92" s="432" t="s">
        <v>24</v>
      </c>
      <c r="G92" s="434">
        <v>224</v>
      </c>
      <c r="H92" s="434">
        <v>8</v>
      </c>
      <c r="I92" s="619">
        <v>18</v>
      </c>
      <c r="J92" s="574">
        <v>0</v>
      </c>
      <c r="K92" s="575">
        <v>0</v>
      </c>
      <c r="L92" s="574">
        <v>24</v>
      </c>
      <c r="M92" s="575">
        <v>4</v>
      </c>
      <c r="N92" s="574">
        <v>28</v>
      </c>
      <c r="O92" s="575">
        <v>4</v>
      </c>
      <c r="P92" s="559">
        <f t="shared" si="41"/>
        <v>52</v>
      </c>
      <c r="Q92" s="560">
        <f t="shared" si="41"/>
        <v>8</v>
      </c>
      <c r="R92" s="561">
        <f>IF(P92&lt;&gt;0,Q92/H92,"")</f>
        <v>1</v>
      </c>
      <c r="S92" s="562">
        <f>+P92/Q92</f>
        <v>6.5</v>
      </c>
      <c r="T92" s="563">
        <v>383</v>
      </c>
      <c r="U92" s="564">
        <f>IF(T92&lt;&gt;0,-(T92-P92)/T92,"")</f>
        <v>-0.8642297650130548</v>
      </c>
      <c r="V92" s="451">
        <f t="shared" si="33"/>
        <v>82</v>
      </c>
      <c r="W92" s="284">
        <f t="shared" si="34"/>
        <v>14</v>
      </c>
      <c r="X92" s="680">
        <v>134</v>
      </c>
      <c r="Y92" s="688">
        <v>22</v>
      </c>
      <c r="Z92" s="462">
        <f t="shared" si="35"/>
        <v>0.36363636363636365</v>
      </c>
      <c r="AA92" s="462">
        <f t="shared" si="36"/>
        <v>0.6363636363636364</v>
      </c>
      <c r="AB92" s="284">
        <f t="shared" si="37"/>
        <v>2.75</v>
      </c>
      <c r="AC92" s="451">
        <f t="shared" si="38"/>
        <v>6.090909090909091</v>
      </c>
      <c r="AD92" s="242">
        <v>21830542</v>
      </c>
      <c r="AE92" s="298">
        <v>2396134</v>
      </c>
      <c r="AF92" s="110">
        <f>AD92/AE92</f>
        <v>9.110735042364075</v>
      </c>
      <c r="AG92" s="395">
        <v>82</v>
      </c>
    </row>
    <row r="93" spans="1:33" s="95" customFormat="1" ht="12.75" customHeight="1">
      <c r="A93" s="642">
        <v>83</v>
      </c>
      <c r="B93" s="576"/>
      <c r="C93" s="555"/>
      <c r="D93" s="439" t="s">
        <v>94</v>
      </c>
      <c r="E93" s="431">
        <v>40585</v>
      </c>
      <c r="F93" s="440" t="s">
        <v>8</v>
      </c>
      <c r="G93" s="434">
        <v>41</v>
      </c>
      <c r="H93" s="434">
        <v>1</v>
      </c>
      <c r="I93" s="4">
        <v>10</v>
      </c>
      <c r="J93" s="557">
        <v>30</v>
      </c>
      <c r="K93" s="558">
        <v>6</v>
      </c>
      <c r="L93" s="557">
        <v>10</v>
      </c>
      <c r="M93" s="558">
        <v>2</v>
      </c>
      <c r="N93" s="557">
        <v>11</v>
      </c>
      <c r="O93" s="558">
        <v>2</v>
      </c>
      <c r="P93" s="559">
        <f>+J93+L93+N93</f>
        <v>51</v>
      </c>
      <c r="Q93" s="560">
        <f>+K93+M93+O93</f>
        <v>10</v>
      </c>
      <c r="R93" s="598">
        <f>+Q93/H93</f>
        <v>10</v>
      </c>
      <c r="S93" s="586">
        <f>+P93/Q93</f>
        <v>5.1</v>
      </c>
      <c r="T93" s="563"/>
      <c r="U93" s="564">
        <f>IF(T93&lt;&gt;0,-(T93-P93)/T93,"")</f>
      </c>
      <c r="V93" s="451">
        <f t="shared" si="33"/>
        <v>60</v>
      </c>
      <c r="W93" s="284">
        <f t="shared" si="34"/>
        <v>12</v>
      </c>
      <c r="X93" s="684">
        <v>111</v>
      </c>
      <c r="Y93" s="685">
        <v>22</v>
      </c>
      <c r="Z93" s="462">
        <f t="shared" si="35"/>
        <v>0.45454545454545453</v>
      </c>
      <c r="AA93" s="462">
        <f t="shared" si="36"/>
        <v>0.5454545454545454</v>
      </c>
      <c r="AB93" s="284">
        <f t="shared" si="37"/>
        <v>22</v>
      </c>
      <c r="AC93" s="451">
        <f t="shared" si="38"/>
        <v>5.045454545454546</v>
      </c>
      <c r="AD93" s="6">
        <v>346343</v>
      </c>
      <c r="AE93" s="7">
        <v>29491</v>
      </c>
      <c r="AF93" s="107">
        <f>+AD93/AE93</f>
        <v>11.744023600420467</v>
      </c>
      <c r="AG93" s="395">
        <v>83</v>
      </c>
    </row>
    <row r="94" spans="1:33" s="95" customFormat="1" ht="12.75" customHeight="1">
      <c r="A94" s="642">
        <v>84</v>
      </c>
      <c r="B94" s="577"/>
      <c r="C94" s="580" t="s">
        <v>96</v>
      </c>
      <c r="D94" s="432" t="s">
        <v>55</v>
      </c>
      <c r="E94" s="431">
        <v>40613</v>
      </c>
      <c r="F94" s="432" t="s">
        <v>10</v>
      </c>
      <c r="G94" s="434">
        <v>280</v>
      </c>
      <c r="H94" s="434">
        <v>4</v>
      </c>
      <c r="I94" s="4">
        <v>13</v>
      </c>
      <c r="J94" s="557">
        <v>14</v>
      </c>
      <c r="K94" s="558">
        <v>2</v>
      </c>
      <c r="L94" s="557">
        <v>14</v>
      </c>
      <c r="M94" s="558">
        <v>2</v>
      </c>
      <c r="N94" s="557">
        <v>14</v>
      </c>
      <c r="O94" s="558">
        <v>2</v>
      </c>
      <c r="P94" s="559">
        <f>+J94+L94+N94</f>
        <v>42</v>
      </c>
      <c r="Q94" s="560">
        <f>+K94+M94+O94</f>
        <v>6</v>
      </c>
      <c r="R94" s="561">
        <f>IF(P94&lt;&gt;0,Q94/H94,"")</f>
        <v>1.5</v>
      </c>
      <c r="S94" s="562">
        <f>IF(P94&lt;&gt;0,P94/Q94,"")</f>
        <v>7</v>
      </c>
      <c r="T94" s="563">
        <v>361</v>
      </c>
      <c r="U94" s="564">
        <f>IF(T94&lt;&gt;0,-(T94-P94)/T94,"")</f>
        <v>-0.8836565096952909</v>
      </c>
      <c r="V94" s="451">
        <f t="shared" si="33"/>
        <v>54</v>
      </c>
      <c r="W94" s="284">
        <f t="shared" si="34"/>
        <v>9</v>
      </c>
      <c r="X94" s="671">
        <v>96</v>
      </c>
      <c r="Y94" s="672">
        <v>15</v>
      </c>
      <c r="Z94" s="462">
        <f t="shared" si="35"/>
        <v>0.4</v>
      </c>
      <c r="AA94" s="462">
        <f t="shared" si="36"/>
        <v>0.6</v>
      </c>
      <c r="AB94" s="284">
        <f t="shared" si="37"/>
        <v>3.75</v>
      </c>
      <c r="AC94" s="451">
        <f t="shared" si="38"/>
        <v>6.4</v>
      </c>
      <c r="AD94" s="42">
        <v>6551969</v>
      </c>
      <c r="AE94" s="47">
        <v>734728</v>
      </c>
      <c r="AF94" s="107">
        <f>+AD94/AE94</f>
        <v>8.91754363519561</v>
      </c>
      <c r="AG94" s="395">
        <v>84</v>
      </c>
    </row>
    <row r="95" spans="1:33" s="95" customFormat="1" ht="12.75" customHeight="1" thickBot="1">
      <c r="A95" s="642">
        <v>85</v>
      </c>
      <c r="B95" s="623"/>
      <c r="C95" s="701" t="s">
        <v>96</v>
      </c>
      <c r="D95" s="641" t="s">
        <v>146</v>
      </c>
      <c r="E95" s="624">
        <v>40564</v>
      </c>
      <c r="F95" s="625" t="s">
        <v>160</v>
      </c>
      <c r="G95" s="626">
        <v>160</v>
      </c>
      <c r="H95" s="627">
        <v>1</v>
      </c>
      <c r="I95" s="628">
        <v>13</v>
      </c>
      <c r="J95" s="629">
        <v>0</v>
      </c>
      <c r="K95" s="630">
        <v>0</v>
      </c>
      <c r="L95" s="629">
        <v>0</v>
      </c>
      <c r="M95" s="630">
        <v>0</v>
      </c>
      <c r="N95" s="629">
        <v>0</v>
      </c>
      <c r="O95" s="630">
        <v>0</v>
      </c>
      <c r="P95" s="631">
        <f>SUM(J95+L95+N95)</f>
        <v>0</v>
      </c>
      <c r="Q95" s="632">
        <f>SUM(K95+M95+O95)</f>
        <v>0</v>
      </c>
      <c r="R95" s="633"/>
      <c r="S95" s="634"/>
      <c r="T95" s="635"/>
      <c r="U95" s="636">
        <f>IF(T95&lt;&gt;0,-(T95-P95)/T95,"")</f>
      </c>
      <c r="V95" s="522">
        <f t="shared" si="33"/>
        <v>87</v>
      </c>
      <c r="W95" s="521">
        <f t="shared" si="34"/>
        <v>12</v>
      </c>
      <c r="X95" s="702">
        <v>87</v>
      </c>
      <c r="Y95" s="703">
        <v>12</v>
      </c>
      <c r="Z95" s="523">
        <f t="shared" si="35"/>
        <v>0</v>
      </c>
      <c r="AA95" s="523">
        <f t="shared" si="36"/>
        <v>1</v>
      </c>
      <c r="AB95" s="521">
        <f t="shared" si="37"/>
        <v>12</v>
      </c>
      <c r="AC95" s="522">
        <f t="shared" si="38"/>
        <v>7.25</v>
      </c>
      <c r="AD95" s="637">
        <f>1102015+435620.5+74279.5+50432+22961.5+6480+10204+220+1188+476+80+190+87</f>
        <v>1704233.5</v>
      </c>
      <c r="AE95" s="638">
        <f>144071+60233+10598+7830+4045+1284+2234+29+297+67+11+26+12</f>
        <v>230737</v>
      </c>
      <c r="AF95" s="639">
        <f>+AD95/AE95</f>
        <v>7.386043417397296</v>
      </c>
      <c r="AG95" s="396">
        <v>85</v>
      </c>
    </row>
    <row r="96" spans="1:33" s="95" customFormat="1" ht="12.75" customHeight="1">
      <c r="A96" s="642"/>
      <c r="B96" s="689"/>
      <c r="C96" s="690"/>
      <c r="D96" s="691"/>
      <c r="E96" s="692"/>
      <c r="F96" s="691"/>
      <c r="G96" s="693"/>
      <c r="H96" s="693"/>
      <c r="I96" s="693"/>
      <c r="J96" s="694"/>
      <c r="K96" s="695"/>
      <c r="L96" s="694"/>
      <c r="M96" s="695"/>
      <c r="N96" s="694"/>
      <c r="O96" s="695"/>
      <c r="P96" s="694"/>
      <c r="Q96" s="695"/>
      <c r="R96" s="696"/>
      <c r="S96" s="697"/>
      <c r="T96" s="694"/>
      <c r="U96" s="698"/>
      <c r="V96" s="697"/>
      <c r="W96" s="696"/>
      <c r="X96" s="699"/>
      <c r="Y96" s="700"/>
      <c r="Z96" s="698"/>
      <c r="AA96" s="698"/>
      <c r="AB96" s="696"/>
      <c r="AC96" s="697"/>
      <c r="AD96" s="694"/>
      <c r="AE96" s="695"/>
      <c r="AF96" s="664"/>
      <c r="AG96" s="704"/>
    </row>
    <row r="97" spans="1:33" s="95" customFormat="1" ht="12.75" customHeight="1">
      <c r="A97" s="642"/>
      <c r="B97" s="97"/>
      <c r="C97" s="390"/>
      <c r="D97" s="121"/>
      <c r="E97" s="99"/>
      <c r="F97" s="100"/>
      <c r="G97" s="101"/>
      <c r="H97" s="101"/>
      <c r="I97" s="101"/>
      <c r="J97" s="117"/>
      <c r="K97" s="118"/>
      <c r="L97" s="117"/>
      <c r="M97" s="118"/>
      <c r="N97" s="117"/>
      <c r="O97" s="118"/>
      <c r="P97" s="40"/>
      <c r="Q97" s="43"/>
      <c r="R97" s="102"/>
      <c r="S97" s="103"/>
      <c r="T97" s="117"/>
      <c r="U97" s="463"/>
      <c r="V97" s="103"/>
      <c r="W97" s="102"/>
      <c r="X97" s="119"/>
      <c r="Y97" s="120"/>
      <c r="Z97" s="463"/>
      <c r="AA97" s="463"/>
      <c r="AB97" s="102"/>
      <c r="AC97" s="103"/>
      <c r="AD97" s="117"/>
      <c r="AE97" s="118"/>
      <c r="AF97" s="110"/>
      <c r="AG97" s="395"/>
    </row>
    <row r="98" spans="1:33" s="95" customFormat="1" ht="12.75" customHeight="1">
      <c r="A98" s="642"/>
      <c r="B98" s="122"/>
      <c r="C98" s="391"/>
      <c r="D98" s="121"/>
      <c r="E98" s="99"/>
      <c r="F98" s="100"/>
      <c r="G98" s="101"/>
      <c r="H98" s="101"/>
      <c r="I98" s="101"/>
      <c r="J98" s="117"/>
      <c r="K98" s="118"/>
      <c r="L98" s="117"/>
      <c r="M98" s="118"/>
      <c r="N98" s="117"/>
      <c r="O98" s="118"/>
      <c r="P98" s="40"/>
      <c r="Q98" s="43"/>
      <c r="R98" s="102"/>
      <c r="S98" s="103"/>
      <c r="T98" s="117"/>
      <c r="U98" s="463"/>
      <c r="V98" s="103"/>
      <c r="W98" s="102"/>
      <c r="X98" s="119"/>
      <c r="Y98" s="120"/>
      <c r="Z98" s="463"/>
      <c r="AA98" s="463"/>
      <c r="AB98" s="102"/>
      <c r="AC98" s="103"/>
      <c r="AD98" s="117"/>
      <c r="AE98" s="118"/>
      <c r="AF98" s="107"/>
      <c r="AG98" s="395"/>
    </row>
    <row r="99" spans="1:33" s="95" customFormat="1" ht="12.75" customHeight="1">
      <c r="A99" s="642"/>
      <c r="B99" s="97"/>
      <c r="C99" s="392"/>
      <c r="D99" s="100"/>
      <c r="E99" s="99"/>
      <c r="F99" s="100"/>
      <c r="G99" s="101"/>
      <c r="H99" s="101"/>
      <c r="I99" s="101"/>
      <c r="J99" s="40"/>
      <c r="K99" s="43"/>
      <c r="L99" s="40"/>
      <c r="M99" s="43"/>
      <c r="N99" s="40"/>
      <c r="O99" s="43"/>
      <c r="P99" s="40"/>
      <c r="Q99" s="43"/>
      <c r="R99" s="102"/>
      <c r="S99" s="103"/>
      <c r="T99" s="40"/>
      <c r="U99" s="463"/>
      <c r="V99" s="103"/>
      <c r="W99" s="102"/>
      <c r="X99" s="52"/>
      <c r="Y99" s="53"/>
      <c r="Z99" s="463"/>
      <c r="AA99" s="463"/>
      <c r="AB99" s="102"/>
      <c r="AC99" s="103"/>
      <c r="AD99" s="40"/>
      <c r="AE99" s="106"/>
      <c r="AF99" s="110"/>
      <c r="AG99" s="395"/>
    </row>
    <row r="100" spans="1:33" s="95" customFormat="1" ht="12.75" customHeight="1">
      <c r="A100" s="642"/>
      <c r="B100" s="122"/>
      <c r="C100" s="391"/>
      <c r="D100" s="100"/>
      <c r="E100" s="99"/>
      <c r="F100" s="100"/>
      <c r="G100" s="101"/>
      <c r="H100" s="101"/>
      <c r="I100" s="101"/>
      <c r="J100" s="40"/>
      <c r="K100" s="43"/>
      <c r="L100" s="40"/>
      <c r="M100" s="43"/>
      <c r="N100" s="40"/>
      <c r="O100" s="43"/>
      <c r="P100" s="40"/>
      <c r="Q100" s="43"/>
      <c r="R100" s="102"/>
      <c r="S100" s="103"/>
      <c r="T100" s="40"/>
      <c r="U100" s="463"/>
      <c r="V100" s="103"/>
      <c r="W100" s="102"/>
      <c r="X100" s="52"/>
      <c r="Y100" s="53"/>
      <c r="Z100" s="463"/>
      <c r="AA100" s="463"/>
      <c r="AB100" s="102"/>
      <c r="AC100" s="103"/>
      <c r="AD100" s="40"/>
      <c r="AE100" s="106"/>
      <c r="AF100" s="110"/>
      <c r="AG100" s="395"/>
    </row>
    <row r="101" spans="1:33" s="95" customFormat="1" ht="12.75" customHeight="1">
      <c r="A101" s="642"/>
      <c r="B101" s="97"/>
      <c r="C101" s="391"/>
      <c r="D101" s="121"/>
      <c r="E101" s="99"/>
      <c r="F101" s="100"/>
      <c r="G101" s="101"/>
      <c r="H101" s="101"/>
      <c r="I101" s="101"/>
      <c r="J101" s="117"/>
      <c r="K101" s="118"/>
      <c r="L101" s="117"/>
      <c r="M101" s="118"/>
      <c r="N101" s="117"/>
      <c r="O101" s="118"/>
      <c r="P101" s="40"/>
      <c r="Q101" s="43"/>
      <c r="R101" s="102"/>
      <c r="S101" s="103"/>
      <c r="T101" s="117"/>
      <c r="U101" s="463"/>
      <c r="V101" s="103"/>
      <c r="W101" s="102"/>
      <c r="X101" s="119"/>
      <c r="Y101" s="120"/>
      <c r="Z101" s="463"/>
      <c r="AA101" s="463"/>
      <c r="AB101" s="102"/>
      <c r="AC101" s="103"/>
      <c r="AD101" s="117"/>
      <c r="AE101" s="118"/>
      <c r="AF101" s="107"/>
      <c r="AG101" s="395"/>
    </row>
    <row r="102" spans="1:33" s="95" customFormat="1" ht="12.75" customHeight="1">
      <c r="A102" s="642"/>
      <c r="B102" s="116"/>
      <c r="C102" s="391"/>
      <c r="D102" s="123"/>
      <c r="E102" s="99"/>
      <c r="F102" s="124"/>
      <c r="G102" s="125"/>
      <c r="H102" s="125"/>
      <c r="I102" s="125"/>
      <c r="J102" s="40"/>
      <c r="K102" s="43"/>
      <c r="L102" s="40"/>
      <c r="M102" s="43"/>
      <c r="N102" s="40"/>
      <c r="O102" s="43"/>
      <c r="P102" s="40"/>
      <c r="Q102" s="43"/>
      <c r="R102" s="102"/>
      <c r="S102" s="103"/>
      <c r="T102" s="40"/>
      <c r="U102" s="463"/>
      <c r="V102" s="103"/>
      <c r="W102" s="102"/>
      <c r="X102" s="52"/>
      <c r="Y102" s="53"/>
      <c r="Z102" s="463"/>
      <c r="AA102" s="463"/>
      <c r="AB102" s="102"/>
      <c r="AC102" s="103"/>
      <c r="AD102" s="40"/>
      <c r="AE102" s="43"/>
      <c r="AF102" s="107"/>
      <c r="AG102" s="395"/>
    </row>
    <row r="103" spans="1:33" s="95" customFormat="1" ht="12.75" customHeight="1">
      <c r="A103" s="642"/>
      <c r="B103" s="97"/>
      <c r="C103" s="391"/>
      <c r="D103" s="100"/>
      <c r="E103" s="99"/>
      <c r="F103" s="100"/>
      <c r="G103" s="101"/>
      <c r="H103" s="101"/>
      <c r="I103" s="101"/>
      <c r="J103" s="117"/>
      <c r="K103" s="118"/>
      <c r="L103" s="117"/>
      <c r="M103" s="118"/>
      <c r="N103" s="117"/>
      <c r="O103" s="118"/>
      <c r="P103" s="40"/>
      <c r="Q103" s="43"/>
      <c r="R103" s="102"/>
      <c r="S103" s="103"/>
      <c r="T103" s="117"/>
      <c r="U103" s="463"/>
      <c r="V103" s="103"/>
      <c r="W103" s="102"/>
      <c r="X103" s="119"/>
      <c r="Y103" s="120"/>
      <c r="Z103" s="463"/>
      <c r="AA103" s="463"/>
      <c r="AB103" s="102"/>
      <c r="AC103" s="103"/>
      <c r="AD103" s="117"/>
      <c r="AE103" s="118"/>
      <c r="AF103" s="107"/>
      <c r="AG103" s="395"/>
    </row>
    <row r="104" spans="1:33" s="95" customFormat="1" ht="12.75" customHeight="1" thickBot="1">
      <c r="A104" s="642"/>
      <c r="B104" s="130"/>
      <c r="C104" s="394"/>
      <c r="D104" s="132"/>
      <c r="E104" s="133"/>
      <c r="F104" s="132"/>
      <c r="G104" s="134"/>
      <c r="H104" s="134"/>
      <c r="I104" s="134"/>
      <c r="J104" s="135"/>
      <c r="K104" s="136"/>
      <c r="L104" s="135"/>
      <c r="M104" s="136"/>
      <c r="N104" s="135"/>
      <c r="O104" s="136"/>
      <c r="P104" s="137"/>
      <c r="Q104" s="138"/>
      <c r="R104" s="139"/>
      <c r="S104" s="140"/>
      <c r="T104" s="135"/>
      <c r="U104" s="464"/>
      <c r="V104" s="140"/>
      <c r="W104" s="139"/>
      <c r="X104" s="141"/>
      <c r="Y104" s="142"/>
      <c r="Z104" s="464"/>
      <c r="AA104" s="464"/>
      <c r="AB104" s="139"/>
      <c r="AC104" s="140"/>
      <c r="AD104" s="135"/>
      <c r="AE104" s="136"/>
      <c r="AF104" s="143"/>
      <c r="AG104" s="396"/>
    </row>
    <row r="105" spans="1:32" s="95" customFormat="1" ht="15.75" thickBot="1">
      <c r="A105" s="145"/>
      <c r="B105" s="146"/>
      <c r="E105" s="147"/>
      <c r="G105" s="146"/>
      <c r="H105" s="146"/>
      <c r="I105" s="146"/>
      <c r="J105" s="148"/>
      <c r="K105" s="149"/>
      <c r="L105" s="148"/>
      <c r="M105" s="149"/>
      <c r="N105" s="148"/>
      <c r="O105" s="149"/>
      <c r="P105" s="150"/>
      <c r="Q105" s="151"/>
      <c r="R105" s="149"/>
      <c r="S105" s="148"/>
      <c r="T105" s="148"/>
      <c r="U105" s="153"/>
      <c r="V105" s="417"/>
      <c r="W105" s="155"/>
      <c r="X105" s="421"/>
      <c r="Y105" s="405"/>
      <c r="Z105" s="466"/>
      <c r="AA105" s="466"/>
      <c r="AB105" s="155"/>
      <c r="AC105" s="417"/>
      <c r="AD105" s="148"/>
      <c r="AE105" s="157"/>
      <c r="AF105" s="148"/>
    </row>
    <row r="106" spans="1:33" s="158" customFormat="1" ht="12.75">
      <c r="A106" s="822" t="s">
        <v>98</v>
      </c>
      <c r="B106" s="823"/>
      <c r="C106" s="823"/>
      <c r="D106" s="823"/>
      <c r="E106" s="823"/>
      <c r="F106" s="823"/>
      <c r="G106" s="823"/>
      <c r="H106" s="823"/>
      <c r="I106" s="823"/>
      <c r="J106" s="823"/>
      <c r="K106" s="823"/>
      <c r="L106" s="823"/>
      <c r="M106" s="823"/>
      <c r="N106" s="823"/>
      <c r="O106" s="823"/>
      <c r="P106" s="823"/>
      <c r="Q106" s="823"/>
      <c r="R106" s="823"/>
      <c r="S106" s="823"/>
      <c r="T106" s="823"/>
      <c r="U106" s="823"/>
      <c r="V106" s="823"/>
      <c r="W106" s="823"/>
      <c r="X106" s="823"/>
      <c r="Y106" s="823"/>
      <c r="Z106" s="823"/>
      <c r="AA106" s="823"/>
      <c r="AB106" s="823"/>
      <c r="AC106" s="823"/>
      <c r="AD106" s="823"/>
      <c r="AE106" s="823"/>
      <c r="AF106" s="823"/>
      <c r="AG106" s="824"/>
    </row>
    <row r="107" spans="1:33" s="158" customFormat="1" ht="12.75">
      <c r="A107" s="825"/>
      <c r="B107" s="826"/>
      <c r="C107" s="826"/>
      <c r="D107" s="826"/>
      <c r="E107" s="826"/>
      <c r="F107" s="826"/>
      <c r="G107" s="826"/>
      <c r="H107" s="826"/>
      <c r="I107" s="826"/>
      <c r="J107" s="826"/>
      <c r="K107" s="826"/>
      <c r="L107" s="826"/>
      <c r="M107" s="826"/>
      <c r="N107" s="826"/>
      <c r="O107" s="826"/>
      <c r="P107" s="826"/>
      <c r="Q107" s="826"/>
      <c r="R107" s="826"/>
      <c r="S107" s="826"/>
      <c r="T107" s="826"/>
      <c r="U107" s="826"/>
      <c r="V107" s="826"/>
      <c r="W107" s="826"/>
      <c r="X107" s="826"/>
      <c r="Y107" s="826"/>
      <c r="Z107" s="826"/>
      <c r="AA107" s="826"/>
      <c r="AB107" s="826"/>
      <c r="AC107" s="826"/>
      <c r="AD107" s="826"/>
      <c r="AE107" s="826"/>
      <c r="AF107" s="826"/>
      <c r="AG107" s="827"/>
    </row>
    <row r="108" spans="1:33" s="158" customFormat="1" ht="12.75">
      <c r="A108" s="825"/>
      <c r="B108" s="826"/>
      <c r="C108" s="826"/>
      <c r="D108" s="826"/>
      <c r="E108" s="826"/>
      <c r="F108" s="826"/>
      <c r="G108" s="826"/>
      <c r="H108" s="826"/>
      <c r="I108" s="826"/>
      <c r="J108" s="826"/>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7"/>
    </row>
    <row r="109" spans="1:33" s="158" customFormat="1" ht="12.75">
      <c r="A109" s="825"/>
      <c r="B109" s="826"/>
      <c r="C109" s="826"/>
      <c r="D109" s="826"/>
      <c r="E109" s="826"/>
      <c r="F109" s="826"/>
      <c r="G109" s="826"/>
      <c r="H109" s="826"/>
      <c r="I109" s="826"/>
      <c r="J109" s="826"/>
      <c r="K109" s="826"/>
      <c r="L109" s="826"/>
      <c r="M109" s="826"/>
      <c r="N109" s="826"/>
      <c r="O109" s="826"/>
      <c r="P109" s="826"/>
      <c r="Q109" s="826"/>
      <c r="R109" s="826"/>
      <c r="S109" s="826"/>
      <c r="T109" s="826"/>
      <c r="U109" s="826"/>
      <c r="V109" s="826"/>
      <c r="W109" s="826"/>
      <c r="X109" s="826"/>
      <c r="Y109" s="826"/>
      <c r="Z109" s="826"/>
      <c r="AA109" s="826"/>
      <c r="AB109" s="826"/>
      <c r="AC109" s="826"/>
      <c r="AD109" s="826"/>
      <c r="AE109" s="826"/>
      <c r="AF109" s="826"/>
      <c r="AG109" s="827"/>
    </row>
    <row r="110" spans="1:33" s="158" customFormat="1" ht="12.75">
      <c r="A110" s="825"/>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6"/>
      <c r="AA110" s="826"/>
      <c r="AB110" s="826"/>
      <c r="AC110" s="826"/>
      <c r="AD110" s="826"/>
      <c r="AE110" s="826"/>
      <c r="AF110" s="826"/>
      <c r="AG110" s="827"/>
    </row>
    <row r="111" spans="1:33" s="158" customFormat="1" ht="13.5" thickBot="1">
      <c r="A111" s="828"/>
      <c r="B111" s="829"/>
      <c r="C111" s="829"/>
      <c r="D111" s="829"/>
      <c r="E111" s="829"/>
      <c r="F111" s="829"/>
      <c r="G111" s="829"/>
      <c r="H111" s="829"/>
      <c r="I111" s="829"/>
      <c r="J111" s="829"/>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30"/>
    </row>
  </sheetData>
  <sheetProtection formatCells="0" formatColumns="0" formatRows="0" insertColumns="0" insertRows="0" insertHyperlinks="0" deleteColumns="0" deleteRows="0" sort="0" autoFilter="0" pivotTables="0"/>
  <mergeCells count="37">
    <mergeCell ref="A5:E5"/>
    <mergeCell ref="X1:AB1"/>
    <mergeCell ref="AC1:AG1"/>
    <mergeCell ref="X4:AB4"/>
    <mergeCell ref="A1:I1"/>
    <mergeCell ref="A2:I2"/>
    <mergeCell ref="A3:I3"/>
    <mergeCell ref="A4:E4"/>
    <mergeCell ref="X5:AG5"/>
    <mergeCell ref="A106:AG111"/>
    <mergeCell ref="D6:G6"/>
    <mergeCell ref="H6:I6"/>
    <mergeCell ref="J6:U6"/>
    <mergeCell ref="J7:K7"/>
    <mergeCell ref="L7:M7"/>
    <mergeCell ref="N7:O7"/>
    <mergeCell ref="P7:Q7"/>
    <mergeCell ref="R7:S7"/>
    <mergeCell ref="T7:U7"/>
    <mergeCell ref="AD7:AE7"/>
    <mergeCell ref="AB7:AC7"/>
    <mergeCell ref="Z9:AA9"/>
    <mergeCell ref="X7:Y7"/>
    <mergeCell ref="J9:K9"/>
    <mergeCell ref="L9:M9"/>
    <mergeCell ref="N9:O9"/>
    <mergeCell ref="P9:Q9"/>
    <mergeCell ref="Z7:AA7"/>
    <mergeCell ref="R9:S9"/>
    <mergeCell ref="T9:U9"/>
    <mergeCell ref="V7:W7"/>
    <mergeCell ref="AB9:AC9"/>
    <mergeCell ref="AD6:AG6"/>
    <mergeCell ref="V6:W6"/>
    <mergeCell ref="X6:Y6"/>
    <mergeCell ref="Z6:AA6"/>
    <mergeCell ref="AB6:AC6"/>
  </mergeCells>
  <hyperlinks>
    <hyperlink ref="X4" r:id="rId1" display="http://www.antraktsinema.com/boxoffice-rapor.php"/>
    <hyperlink ref="A3" r:id="rId2" display="http://www.antraktsinema.com"/>
  </hyperlinks>
  <printOptions/>
  <pageMargins left="0.3" right="0.13" top="0.18" bottom="0.21" header="0.13" footer="0.16"/>
  <pageSetup orientation="landscape" paperSize="9" scale="40" r:id="rId4"/>
  <ignoredErrors>
    <ignoredError sqref="AG17 AD13:AE43 AF42:AF43 AD47:AD69 AE65:AE69 AD71:AE93 AD95:AE96" unlockedFormula="1"/>
    <ignoredError sqref="AF13:AF41 AE47:AE64" formula="1" unlockedFormula="1"/>
    <ignoredError sqref="AF12 AF46:AF64 AE46 AF72:AF80" formula="1"/>
  </ignoredErrors>
  <drawing r:id="rId3"/>
</worksheet>
</file>

<file path=xl/worksheets/sheet2.xml><?xml version="1.0" encoding="utf-8"?>
<worksheet xmlns="http://schemas.openxmlformats.org/spreadsheetml/2006/main" xmlns:r="http://schemas.openxmlformats.org/officeDocument/2006/relationships">
  <dimension ref="A1:J158"/>
  <sheetViews>
    <sheetView zoomScale="130" zoomScaleNormal="130"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4.421875" style="159" bestFit="1" customWidth="1"/>
    <col min="2" max="2" width="50.57421875" style="162" bestFit="1" customWidth="1"/>
    <col min="3" max="3" width="9.28125" style="163" bestFit="1" customWidth="1"/>
    <col min="4" max="4" width="24.421875" style="163" bestFit="1" customWidth="1"/>
    <col min="5" max="5" width="5.8515625" style="163" bestFit="1" customWidth="1"/>
    <col min="6" max="6" width="8.140625" style="165" bestFit="1" customWidth="1"/>
    <col min="7" max="7" width="12.28125" style="162" bestFit="1" customWidth="1"/>
    <col min="8" max="8" width="8.8515625" style="162" bestFit="1" customWidth="1"/>
    <col min="9" max="9" width="9.140625" style="162" bestFit="1" customWidth="1"/>
    <col min="10" max="10" width="4.421875" style="162" bestFit="1" customWidth="1"/>
    <col min="11" max="15" width="6.8515625" style="162" customWidth="1"/>
    <col min="16" max="16384" width="4.421875" style="162" customWidth="1"/>
  </cols>
  <sheetData>
    <row r="1" spans="1:10" s="56" customFormat="1" ht="25.5">
      <c r="A1" s="856" t="s">
        <v>274</v>
      </c>
      <c r="B1" s="857"/>
      <c r="C1" s="857"/>
      <c r="D1" s="857"/>
      <c r="E1" s="857"/>
      <c r="F1" s="857"/>
      <c r="G1" s="858"/>
      <c r="H1" s="858"/>
      <c r="I1" s="858"/>
      <c r="J1" s="858"/>
    </row>
    <row r="2" spans="1:10" s="56" customFormat="1" ht="18.75">
      <c r="A2" s="859" t="s">
        <v>275</v>
      </c>
      <c r="B2" s="860"/>
      <c r="C2" s="860"/>
      <c r="D2" s="860"/>
      <c r="E2" s="860"/>
      <c r="F2" s="860"/>
      <c r="G2" s="858"/>
      <c r="H2" s="858"/>
      <c r="I2" s="858"/>
      <c r="J2" s="858"/>
    </row>
    <row r="3" spans="1:10" s="56" customFormat="1" ht="27" thickBot="1">
      <c r="A3" s="845" t="s">
        <v>154</v>
      </c>
      <c r="B3" s="846"/>
      <c r="C3" s="846"/>
      <c r="D3" s="846"/>
      <c r="E3" s="846"/>
      <c r="F3" s="846"/>
      <c r="G3" s="861"/>
      <c r="H3" s="861"/>
      <c r="I3" s="861"/>
      <c r="J3" s="861"/>
    </row>
    <row r="4" spans="1:10" s="56" customFormat="1" ht="32.25">
      <c r="A4" s="851" t="s">
        <v>342</v>
      </c>
      <c r="B4" s="852"/>
      <c r="C4" s="852"/>
      <c r="D4" s="60"/>
      <c r="E4" s="60"/>
      <c r="F4" s="60"/>
      <c r="G4" s="185"/>
      <c r="H4" s="186"/>
      <c r="I4" s="185"/>
      <c r="J4" s="185"/>
    </row>
    <row r="5" spans="1:10" s="56" customFormat="1" ht="33" thickBot="1">
      <c r="A5" s="853" t="s">
        <v>343</v>
      </c>
      <c r="B5" s="854"/>
      <c r="C5" s="854"/>
      <c r="D5" s="62"/>
      <c r="E5" s="62"/>
      <c r="F5" s="62"/>
      <c r="G5" s="855"/>
      <c r="H5" s="855"/>
      <c r="I5" s="855"/>
      <c r="J5" s="855"/>
    </row>
    <row r="6" spans="1:10" s="65" customFormat="1" ht="15.75" customHeight="1" thickBot="1">
      <c r="A6" s="63"/>
      <c r="B6" s="818" t="s">
        <v>130</v>
      </c>
      <c r="C6" s="818"/>
      <c r="D6" s="818"/>
      <c r="E6" s="818"/>
      <c r="F6" s="64"/>
      <c r="G6" s="818" t="s">
        <v>128</v>
      </c>
      <c r="H6" s="818"/>
      <c r="I6" s="818"/>
      <c r="J6" s="818"/>
    </row>
    <row r="7" spans="1:10" s="69" customFormat="1" ht="12.75" customHeight="1">
      <c r="A7" s="66"/>
      <c r="B7" s="1"/>
      <c r="C7" s="68" t="s">
        <v>99</v>
      </c>
      <c r="D7" s="1"/>
      <c r="E7" s="1" t="s">
        <v>102</v>
      </c>
      <c r="F7" s="1" t="s">
        <v>104</v>
      </c>
      <c r="G7" s="816"/>
      <c r="H7" s="816"/>
      <c r="I7" s="67" t="s">
        <v>114</v>
      </c>
      <c r="J7" s="67"/>
    </row>
    <row r="8" spans="1:10" s="69" customFormat="1" ht="13.5" thickBot="1">
      <c r="A8" s="70"/>
      <c r="B8" s="72" t="s">
        <v>9</v>
      </c>
      <c r="C8" s="73" t="s">
        <v>100</v>
      </c>
      <c r="D8" s="74" t="s">
        <v>1</v>
      </c>
      <c r="E8" s="74" t="s">
        <v>101</v>
      </c>
      <c r="F8" s="74" t="s">
        <v>99</v>
      </c>
      <c r="G8" s="71" t="s">
        <v>7</v>
      </c>
      <c r="H8" s="71" t="s">
        <v>6</v>
      </c>
      <c r="I8" s="71" t="s">
        <v>115</v>
      </c>
      <c r="J8" s="71"/>
    </row>
    <row r="9" spans="1:10" s="83" customFormat="1" ht="12.75" customHeight="1">
      <c r="A9" s="78"/>
      <c r="B9" s="78"/>
      <c r="C9" s="79" t="s">
        <v>106</v>
      </c>
      <c r="D9" s="78"/>
      <c r="E9" s="78" t="s">
        <v>109</v>
      </c>
      <c r="F9" s="78" t="s">
        <v>112</v>
      </c>
      <c r="G9" s="82"/>
      <c r="H9" s="82"/>
      <c r="I9" s="80" t="s">
        <v>120</v>
      </c>
      <c r="J9" s="80"/>
    </row>
    <row r="10" spans="1:10" s="83" customFormat="1" ht="13.5" thickBot="1">
      <c r="A10" s="84"/>
      <c r="B10" s="85" t="s">
        <v>105</v>
      </c>
      <c r="C10" s="86" t="s">
        <v>107</v>
      </c>
      <c r="D10" s="84" t="s">
        <v>108</v>
      </c>
      <c r="E10" s="84" t="s">
        <v>110</v>
      </c>
      <c r="F10" s="84" t="s">
        <v>113</v>
      </c>
      <c r="G10" s="87" t="s">
        <v>119</v>
      </c>
      <c r="H10" s="87" t="s">
        <v>121</v>
      </c>
      <c r="I10" s="87" t="s">
        <v>121</v>
      </c>
      <c r="J10" s="84"/>
    </row>
    <row r="11" spans="1:10" s="95" customFormat="1" ht="15">
      <c r="A11" s="91">
        <v>1</v>
      </c>
      <c r="B11" s="790" t="s">
        <v>26</v>
      </c>
      <c r="C11" s="428">
        <v>40550</v>
      </c>
      <c r="D11" s="429" t="s">
        <v>24</v>
      </c>
      <c r="E11" s="541">
        <v>356</v>
      </c>
      <c r="F11" s="791">
        <v>22</v>
      </c>
      <c r="G11" s="792">
        <v>36546435</v>
      </c>
      <c r="H11" s="793">
        <v>3923575</v>
      </c>
      <c r="I11" s="553">
        <f>+G11/H11</f>
        <v>9.314575355383802</v>
      </c>
      <c r="J11" s="94">
        <v>1</v>
      </c>
    </row>
    <row r="12" spans="1:10" s="95" customFormat="1" ht="15">
      <c r="A12" s="96">
        <v>2</v>
      </c>
      <c r="B12" s="514" t="s">
        <v>23</v>
      </c>
      <c r="C12" s="431">
        <v>40578</v>
      </c>
      <c r="D12" s="432" t="s">
        <v>24</v>
      </c>
      <c r="E12" s="434">
        <v>224</v>
      </c>
      <c r="F12" s="201">
        <v>18</v>
      </c>
      <c r="G12" s="745">
        <v>21830542</v>
      </c>
      <c r="H12" s="746">
        <v>2396134</v>
      </c>
      <c r="I12" s="110">
        <f>G12/H12</f>
        <v>9.110735042364075</v>
      </c>
      <c r="J12" s="108">
        <v>2</v>
      </c>
    </row>
    <row r="13" spans="1:10" s="95" customFormat="1" ht="15">
      <c r="A13" s="96">
        <v>3</v>
      </c>
      <c r="B13" s="794" t="s">
        <v>278</v>
      </c>
      <c r="C13" s="748">
        <v>40571</v>
      </c>
      <c r="D13" s="747" t="s">
        <v>32</v>
      </c>
      <c r="E13" s="749">
        <v>364</v>
      </c>
      <c r="F13" s="36">
        <v>14</v>
      </c>
      <c r="G13" s="48">
        <f>9270289+4217769.25+1762200.5+76.25+863944.5+635392-7+421743.5+30+17848+42283+4475+2710+9188.5+236+9382+7318+3597</f>
        <v>17268475.5</v>
      </c>
      <c r="H13" s="49">
        <f>1060415+493112+207846+16+104665+81570-1+60457+6+2952+6890+337+594+1519+29+1560+1216+600</f>
        <v>2023783</v>
      </c>
      <c r="I13" s="228">
        <f>+G13/H13</f>
        <v>8.532770311836792</v>
      </c>
      <c r="J13" s="108">
        <v>3</v>
      </c>
    </row>
    <row r="14" spans="1:10" s="95" customFormat="1" ht="15">
      <c r="A14" s="96">
        <v>4</v>
      </c>
      <c r="B14" s="514" t="s">
        <v>74</v>
      </c>
      <c r="C14" s="431">
        <v>40682</v>
      </c>
      <c r="D14" s="432" t="s">
        <v>24</v>
      </c>
      <c r="E14" s="434">
        <v>115</v>
      </c>
      <c r="F14" s="201">
        <v>3</v>
      </c>
      <c r="G14" s="745">
        <v>10032693</v>
      </c>
      <c r="H14" s="746">
        <v>858362</v>
      </c>
      <c r="I14" s="107">
        <f>+G14/H14</f>
        <v>11.688184006281732</v>
      </c>
      <c r="J14" s="108">
        <v>4</v>
      </c>
    </row>
    <row r="15" spans="1:10" s="95" customFormat="1" ht="15">
      <c r="A15" s="96">
        <v>5</v>
      </c>
      <c r="B15" s="515" t="s">
        <v>15</v>
      </c>
      <c r="C15" s="431">
        <v>40599</v>
      </c>
      <c r="D15" s="432" t="s">
        <v>10</v>
      </c>
      <c r="E15" s="433">
        <v>246</v>
      </c>
      <c r="F15" s="101">
        <v>14</v>
      </c>
      <c r="G15" s="527">
        <v>7522395</v>
      </c>
      <c r="H15" s="528">
        <v>841393</v>
      </c>
      <c r="I15" s="453">
        <f>G15/H15</f>
        <v>8.940405969624182</v>
      </c>
      <c r="J15" s="108">
        <v>5</v>
      </c>
    </row>
    <row r="16" spans="1:10" s="95" customFormat="1" ht="15">
      <c r="A16" s="96">
        <v>6</v>
      </c>
      <c r="B16" s="794" t="s">
        <v>279</v>
      </c>
      <c r="C16" s="748">
        <v>40550</v>
      </c>
      <c r="D16" s="747" t="s">
        <v>32</v>
      </c>
      <c r="E16" s="749">
        <v>238</v>
      </c>
      <c r="F16" s="36">
        <v>15</v>
      </c>
      <c r="G16" s="48">
        <f>3050831.5+2178855.5+1196710.5+496983-200+210922.5+72277.5+4+43197.5+17348.5+5963-21+911+2090+3211+288+13851+660</f>
        <v>7293883.5</v>
      </c>
      <c r="H16" s="49">
        <f>393137+282255+156413+64920+60+27548+10641+7089+3227+1196+161+455+643+72+2547+132</f>
        <v>950496</v>
      </c>
      <c r="I16" s="220">
        <f>+G16/H16</f>
        <v>7.673765591859408</v>
      </c>
      <c r="J16" s="108">
        <v>6</v>
      </c>
    </row>
    <row r="17" spans="1:10" s="95" customFormat="1" ht="15">
      <c r="A17" s="96">
        <v>7</v>
      </c>
      <c r="B17" s="515" t="s">
        <v>55</v>
      </c>
      <c r="C17" s="431">
        <v>40613</v>
      </c>
      <c r="D17" s="432" t="s">
        <v>10</v>
      </c>
      <c r="E17" s="434">
        <v>280</v>
      </c>
      <c r="F17" s="4">
        <v>13</v>
      </c>
      <c r="G17" s="50">
        <v>6551969</v>
      </c>
      <c r="H17" s="51">
        <v>734728</v>
      </c>
      <c r="I17" s="107">
        <f>+G17/H17</f>
        <v>8.91754363519561</v>
      </c>
      <c r="J17" s="108">
        <v>7</v>
      </c>
    </row>
    <row r="18" spans="1:10" s="95" customFormat="1" ht="15">
      <c r="A18" s="96">
        <v>8</v>
      </c>
      <c r="B18" s="516" t="s">
        <v>59</v>
      </c>
      <c r="C18" s="431">
        <v>40662</v>
      </c>
      <c r="D18" s="432" t="s">
        <v>24</v>
      </c>
      <c r="E18" s="434">
        <v>172</v>
      </c>
      <c r="F18" s="201">
        <v>6</v>
      </c>
      <c r="G18" s="745">
        <v>5851867</v>
      </c>
      <c r="H18" s="746">
        <v>638749</v>
      </c>
      <c r="I18" s="107">
        <f>+G18/H18</f>
        <v>9.161449959217157</v>
      </c>
      <c r="J18" s="108">
        <v>8</v>
      </c>
    </row>
    <row r="19" spans="1:10" s="95" customFormat="1" ht="15">
      <c r="A19" s="96">
        <v>9</v>
      </c>
      <c r="B19" s="517" t="s">
        <v>27</v>
      </c>
      <c r="C19" s="431">
        <v>40627</v>
      </c>
      <c r="D19" s="432" t="s">
        <v>36</v>
      </c>
      <c r="E19" s="434">
        <v>137</v>
      </c>
      <c r="F19" s="201">
        <v>11</v>
      </c>
      <c r="G19" s="15">
        <f>1066061.5+1061275+813239.75+606216+468367.5+266511+137274.5+89937.5+9478+4671.5+2215.5</f>
        <v>4525247.75</v>
      </c>
      <c r="H19" s="12">
        <f>110278+106719+82858+62672+50883+32012+17904+13463+1427+637+352</f>
        <v>479205</v>
      </c>
      <c r="I19" s="110">
        <f>G19/H19</f>
        <v>9.443239845160214</v>
      </c>
      <c r="J19" s="108">
        <v>9</v>
      </c>
    </row>
    <row r="20" spans="1:10" s="95" customFormat="1" ht="15">
      <c r="A20" s="96">
        <v>10</v>
      </c>
      <c r="B20" s="515" t="s">
        <v>12</v>
      </c>
      <c r="C20" s="431">
        <v>40564</v>
      </c>
      <c r="D20" s="432" t="s">
        <v>10</v>
      </c>
      <c r="E20" s="434">
        <v>109</v>
      </c>
      <c r="F20" s="4">
        <v>20</v>
      </c>
      <c r="G20" s="50">
        <f>3982498+1190</f>
        <v>3983688</v>
      </c>
      <c r="H20" s="51">
        <f>404938+238</f>
        <v>405176</v>
      </c>
      <c r="I20" s="110">
        <f>G20/H20</f>
        <v>9.831993997670148</v>
      </c>
      <c r="J20" s="108">
        <v>10</v>
      </c>
    </row>
    <row r="21" spans="1:10" s="95" customFormat="1" ht="15">
      <c r="A21" s="96">
        <v>11</v>
      </c>
      <c r="B21" s="516" t="s">
        <v>77</v>
      </c>
      <c r="C21" s="431">
        <v>40662</v>
      </c>
      <c r="D21" s="432" t="s">
        <v>24</v>
      </c>
      <c r="E21" s="434">
        <v>241</v>
      </c>
      <c r="F21" s="201">
        <v>6</v>
      </c>
      <c r="G21" s="745">
        <v>3573790</v>
      </c>
      <c r="H21" s="746">
        <v>308278</v>
      </c>
      <c r="I21" s="110">
        <f>G21/H21</f>
        <v>11.59275069904437</v>
      </c>
      <c r="J21" s="108">
        <v>11</v>
      </c>
    </row>
    <row r="22" spans="1:10" s="95" customFormat="1" ht="15">
      <c r="A22" s="96">
        <v>12</v>
      </c>
      <c r="B22" s="517" t="s">
        <v>35</v>
      </c>
      <c r="C22" s="431">
        <v>40641</v>
      </c>
      <c r="D22" s="432" t="s">
        <v>36</v>
      </c>
      <c r="E22" s="434">
        <v>137</v>
      </c>
      <c r="F22" s="201">
        <v>9</v>
      </c>
      <c r="G22" s="15">
        <f>1093950.25+883807.25+882248.49+232093.5+101981.5+57830.5+19947.5+33359.5+10973.5</f>
        <v>3316191.99</v>
      </c>
      <c r="H22" s="12">
        <f>103570+88345+90215+25333+13427+8958+3731+5336+2366</f>
        <v>341281</v>
      </c>
      <c r="I22" s="110">
        <f>G22/H22</f>
        <v>9.716896018237172</v>
      </c>
      <c r="J22" s="108">
        <v>12</v>
      </c>
    </row>
    <row r="23" spans="1:10" s="95" customFormat="1" ht="15">
      <c r="A23" s="96">
        <v>13</v>
      </c>
      <c r="B23" s="794" t="s">
        <v>280</v>
      </c>
      <c r="C23" s="748">
        <v>40905</v>
      </c>
      <c r="D23" s="750" t="s">
        <v>24</v>
      </c>
      <c r="E23" s="749">
        <v>200</v>
      </c>
      <c r="F23" s="36">
        <v>12</v>
      </c>
      <c r="G23" s="48">
        <v>2981369</v>
      </c>
      <c r="H23" s="49">
        <v>243539</v>
      </c>
      <c r="I23" s="234">
        <f>+G23/H23</f>
        <v>12.241854487371633</v>
      </c>
      <c r="J23" s="108">
        <v>13</v>
      </c>
    </row>
    <row r="24" spans="1:10" s="95" customFormat="1" ht="15">
      <c r="A24" s="96">
        <v>14</v>
      </c>
      <c r="B24" s="795" t="s">
        <v>281</v>
      </c>
      <c r="C24" s="752">
        <v>40578</v>
      </c>
      <c r="D24" s="751" t="s">
        <v>22</v>
      </c>
      <c r="E24" s="753">
        <v>79</v>
      </c>
      <c r="F24" s="368">
        <v>10</v>
      </c>
      <c r="G24" s="52">
        <v>2674923.5</v>
      </c>
      <c r="H24" s="369">
        <v>221196</v>
      </c>
      <c r="I24" s="228">
        <v>12.093001229678656</v>
      </c>
      <c r="J24" s="108">
        <v>14</v>
      </c>
    </row>
    <row r="25" spans="1:10" s="95" customFormat="1" ht="15">
      <c r="A25" s="96">
        <v>15</v>
      </c>
      <c r="B25" s="515" t="s">
        <v>78</v>
      </c>
      <c r="C25" s="431">
        <v>40682</v>
      </c>
      <c r="D25" s="432" t="s">
        <v>22</v>
      </c>
      <c r="E25" s="434">
        <v>45</v>
      </c>
      <c r="F25" s="4">
        <v>3</v>
      </c>
      <c r="G25" s="52">
        <f>868723.5+629960.75+471670+272432+164061+97109.5+34971.5+29195+10591.5+4973+1214+25859.5</f>
        <v>2610761.25</v>
      </c>
      <c r="H25" s="49">
        <f>93361+70981+54177+33865+22657+14644+6278+5343+1965+923+199+3609</f>
        <v>308002</v>
      </c>
      <c r="I25" s="107">
        <f>+G25/H25</f>
        <v>8.476442523100499</v>
      </c>
      <c r="J25" s="108">
        <v>15</v>
      </c>
    </row>
    <row r="26" spans="1:10" s="95" customFormat="1" ht="15">
      <c r="A26" s="96">
        <v>16</v>
      </c>
      <c r="B26" s="796" t="s">
        <v>282</v>
      </c>
      <c r="C26" s="441">
        <v>40557</v>
      </c>
      <c r="D26" s="755" t="s">
        <v>8</v>
      </c>
      <c r="E26" s="756">
        <v>66</v>
      </c>
      <c r="F26" s="4">
        <v>13</v>
      </c>
      <c r="G26" s="13">
        <v>2599014</v>
      </c>
      <c r="H26" s="14">
        <v>251543</v>
      </c>
      <c r="I26" s="382">
        <f>+G26/H26</f>
        <v>10.332285136139745</v>
      </c>
      <c r="J26" s="108">
        <v>16</v>
      </c>
    </row>
    <row r="27" spans="1:10" s="95" customFormat="1" ht="15">
      <c r="A27" s="96">
        <v>17</v>
      </c>
      <c r="B27" s="517" t="s">
        <v>16</v>
      </c>
      <c r="C27" s="431">
        <v>40599</v>
      </c>
      <c r="D27" s="432" t="s">
        <v>36</v>
      </c>
      <c r="E27" s="433">
        <v>58</v>
      </c>
      <c r="F27" s="101">
        <v>14</v>
      </c>
      <c r="G27" s="529">
        <f>949627.55+646695.25+355755.95+109363.25+47014.5+33893+37764+26018+18120.5+5385+3265+2580+4844+2732.5</f>
        <v>2243058.5</v>
      </c>
      <c r="H27" s="530">
        <f>77399+54036+29350+9290+5968+4492+5157+3726+2500+804+552+417+1095+683</f>
        <v>195469</v>
      </c>
      <c r="I27" s="453">
        <f>G27/H27</f>
        <v>11.475264619965314</v>
      </c>
      <c r="J27" s="108">
        <v>17</v>
      </c>
    </row>
    <row r="28" spans="1:10" s="95" customFormat="1" ht="15">
      <c r="A28" s="96">
        <v>18</v>
      </c>
      <c r="B28" s="797" t="s">
        <v>29</v>
      </c>
      <c r="C28" s="441">
        <v>40606</v>
      </c>
      <c r="D28" s="757" t="s">
        <v>22</v>
      </c>
      <c r="E28" s="758">
        <v>152</v>
      </c>
      <c r="F28" s="3">
        <v>14</v>
      </c>
      <c r="G28" s="52">
        <f>1064857.25+602581.25+269086.5+86552+70688+40243.5+15124.5+5534.5+5248.5+1364+305+140+147+994</f>
        <v>2162866</v>
      </c>
      <c r="H28" s="49">
        <f>118954+67997+33243+12973+11521+6623+2561+922+800+239+45+20+21+199</f>
        <v>256118</v>
      </c>
      <c r="I28" s="110">
        <f>G28/H28</f>
        <v>8.444802786215728</v>
      </c>
      <c r="J28" s="108">
        <v>18</v>
      </c>
    </row>
    <row r="29" spans="1:10" s="95" customFormat="1" ht="15">
      <c r="A29" s="96">
        <v>19</v>
      </c>
      <c r="B29" s="516" t="s">
        <v>149</v>
      </c>
      <c r="C29" s="442">
        <v>40592</v>
      </c>
      <c r="D29" s="432" t="s">
        <v>24</v>
      </c>
      <c r="E29" s="433">
        <v>27</v>
      </c>
      <c r="F29" s="101">
        <v>15</v>
      </c>
      <c r="G29" s="525">
        <v>1906316</v>
      </c>
      <c r="H29" s="526">
        <v>153546</v>
      </c>
      <c r="I29" s="453">
        <f>G29/H29</f>
        <v>12.415276203873757</v>
      </c>
      <c r="J29" s="108">
        <v>19</v>
      </c>
    </row>
    <row r="30" spans="1:10" s="95" customFormat="1" ht="15">
      <c r="A30" s="96">
        <v>20</v>
      </c>
      <c r="B30" s="517" t="s">
        <v>37</v>
      </c>
      <c r="C30" s="431">
        <v>40641</v>
      </c>
      <c r="D30" s="432" t="s">
        <v>36</v>
      </c>
      <c r="E30" s="434">
        <v>128</v>
      </c>
      <c r="F30" s="201">
        <v>9</v>
      </c>
      <c r="G30" s="15">
        <f>740297.75+546709.5+343470.5+98979.5+54338.5+38190+7487.5+1828+3682</f>
        <v>1834983.25</v>
      </c>
      <c r="H30" s="12">
        <f>69545+52953+34357+10790+6857+5964+1318+450+785</f>
        <v>183019</v>
      </c>
      <c r="I30" s="110">
        <f>G30/H30</f>
        <v>10.026189903780482</v>
      </c>
      <c r="J30" s="108">
        <v>20</v>
      </c>
    </row>
    <row r="31" spans="1:10" s="95" customFormat="1" ht="15">
      <c r="A31" s="96">
        <v>21</v>
      </c>
      <c r="B31" s="516" t="s">
        <v>39</v>
      </c>
      <c r="C31" s="431">
        <v>40651</v>
      </c>
      <c r="D31" s="432" t="s">
        <v>24</v>
      </c>
      <c r="E31" s="434">
        <v>65</v>
      </c>
      <c r="F31" s="201">
        <v>8</v>
      </c>
      <c r="G31" s="745">
        <v>1723657</v>
      </c>
      <c r="H31" s="746">
        <v>180571</v>
      </c>
      <c r="I31" s="110">
        <f>G31/H31</f>
        <v>9.545591484789917</v>
      </c>
      <c r="J31" s="108">
        <v>21</v>
      </c>
    </row>
    <row r="32" spans="1:10" s="95" customFormat="1" ht="15">
      <c r="A32" s="96">
        <v>22</v>
      </c>
      <c r="B32" s="798" t="s">
        <v>146</v>
      </c>
      <c r="C32" s="445">
        <v>40564</v>
      </c>
      <c r="D32" s="432" t="s">
        <v>36</v>
      </c>
      <c r="E32" s="446">
        <v>160</v>
      </c>
      <c r="F32" s="211">
        <v>13</v>
      </c>
      <c r="G32" s="15">
        <f>1102015+435620.5+74279.5+50432+22961.5+6480+10204+220+1188+476+80+190+87</f>
        <v>1704233.5</v>
      </c>
      <c r="H32" s="12">
        <f>144071+60233+10598+7830+4045+1284+2234+29+297+67+11+26+12</f>
        <v>230737</v>
      </c>
      <c r="I32" s="107">
        <f>+G32/H32</f>
        <v>7.386043417397296</v>
      </c>
      <c r="J32" s="108">
        <v>22</v>
      </c>
    </row>
    <row r="33" spans="1:10" s="95" customFormat="1" ht="15">
      <c r="A33" s="96">
        <v>23</v>
      </c>
      <c r="B33" s="515" t="s">
        <v>28</v>
      </c>
      <c r="C33" s="431">
        <v>40627</v>
      </c>
      <c r="D33" s="432" t="s">
        <v>10</v>
      </c>
      <c r="E33" s="434">
        <v>73</v>
      </c>
      <c r="F33" s="4">
        <v>11</v>
      </c>
      <c r="G33" s="50">
        <v>1684954</v>
      </c>
      <c r="H33" s="51">
        <v>154099</v>
      </c>
      <c r="I33" s="110">
        <f>G33/H33</f>
        <v>10.934230592022011</v>
      </c>
      <c r="J33" s="108">
        <v>23</v>
      </c>
    </row>
    <row r="34" spans="1:10" s="95" customFormat="1" ht="15">
      <c r="A34" s="96">
        <v>24</v>
      </c>
      <c r="B34" s="799" t="s">
        <v>283</v>
      </c>
      <c r="C34" s="441">
        <v>40585</v>
      </c>
      <c r="D34" s="757" t="s">
        <v>10</v>
      </c>
      <c r="E34" s="758">
        <v>89</v>
      </c>
      <c r="F34" s="3">
        <v>13</v>
      </c>
      <c r="G34" s="50">
        <v>1439120</v>
      </c>
      <c r="H34" s="51">
        <v>144531</v>
      </c>
      <c r="I34" s="220">
        <f>+G34/H34</f>
        <v>9.957171817810712</v>
      </c>
      <c r="J34" s="108">
        <v>24</v>
      </c>
    </row>
    <row r="35" spans="1:10" s="95" customFormat="1" ht="15">
      <c r="A35" s="96">
        <v>25</v>
      </c>
      <c r="B35" s="799" t="s">
        <v>284</v>
      </c>
      <c r="C35" s="441">
        <v>40627</v>
      </c>
      <c r="D35" s="757" t="s">
        <v>10</v>
      </c>
      <c r="E35" s="758">
        <v>126</v>
      </c>
      <c r="F35" s="3">
        <v>6</v>
      </c>
      <c r="G35" s="50">
        <v>1419139</v>
      </c>
      <c r="H35" s="51">
        <v>127317</v>
      </c>
      <c r="I35" s="383">
        <f>+G35/H35</f>
        <v>11.146500467337434</v>
      </c>
      <c r="J35" s="108">
        <v>25</v>
      </c>
    </row>
    <row r="36" spans="1:10" s="95" customFormat="1" ht="15">
      <c r="A36" s="96">
        <v>26</v>
      </c>
      <c r="B36" s="515" t="s">
        <v>142</v>
      </c>
      <c r="C36" s="431">
        <v>40543</v>
      </c>
      <c r="D36" s="432" t="s">
        <v>36</v>
      </c>
      <c r="E36" s="433">
        <v>99</v>
      </c>
      <c r="F36" s="101">
        <v>18</v>
      </c>
      <c r="G36" s="119">
        <f>74157.5+721285.5+410076+112730.5+28262.5+6646+19483.5+940+1245+2674.5+7128+1782+331+245+6545.5+694+1782+1782+1782</f>
        <v>1399572.5</v>
      </c>
      <c r="H36" s="120">
        <f>7361+62279+35611+10987+4077+689+3901+125+178+502+1781+445+78+59+1496+114+446+446+446</f>
        <v>131021</v>
      </c>
      <c r="I36" s="107">
        <f>+G36/H36</f>
        <v>10.682047152746506</v>
      </c>
      <c r="J36" s="108">
        <v>26</v>
      </c>
    </row>
    <row r="37" spans="1:10" s="95" customFormat="1" ht="15">
      <c r="A37" s="96">
        <v>27</v>
      </c>
      <c r="B37" s="516" t="s">
        <v>285</v>
      </c>
      <c r="C37" s="431">
        <v>40557</v>
      </c>
      <c r="D37" s="432" t="s">
        <v>24</v>
      </c>
      <c r="E37" s="434">
        <v>129</v>
      </c>
      <c r="F37" s="201">
        <v>21</v>
      </c>
      <c r="G37" s="745">
        <v>1384417</v>
      </c>
      <c r="H37" s="746">
        <v>123773</v>
      </c>
      <c r="I37" s="107">
        <f>+G37/H37</f>
        <v>11.185129228507025</v>
      </c>
      <c r="J37" s="108">
        <v>27</v>
      </c>
    </row>
    <row r="38" spans="1:10" s="95" customFormat="1" ht="15">
      <c r="A38" s="96">
        <v>28</v>
      </c>
      <c r="B38" s="799" t="s">
        <v>286</v>
      </c>
      <c r="C38" s="441">
        <v>40613</v>
      </c>
      <c r="D38" s="757" t="s">
        <v>22</v>
      </c>
      <c r="E38" s="758">
        <v>89</v>
      </c>
      <c r="F38" s="3">
        <v>8</v>
      </c>
      <c r="G38" s="52">
        <f>621196.5+432703+128317.5+127575.5+6914.5+46+54+128</f>
        <v>1316935</v>
      </c>
      <c r="H38" s="49">
        <f>55015+39897+12333+11559+853+5+10+19</f>
        <v>119691</v>
      </c>
      <c r="I38" s="228">
        <f>IF(G38&lt;&gt;0,G38/H38,"")</f>
        <v>11.002790518919552</v>
      </c>
      <c r="J38" s="108">
        <v>28</v>
      </c>
    </row>
    <row r="39" spans="1:10" s="95" customFormat="1" ht="15">
      <c r="A39" s="96">
        <v>29</v>
      </c>
      <c r="B39" s="794" t="s">
        <v>287</v>
      </c>
      <c r="C39" s="748">
        <v>40557</v>
      </c>
      <c r="D39" s="432" t="s">
        <v>36</v>
      </c>
      <c r="E39" s="749">
        <v>50</v>
      </c>
      <c r="F39" s="36">
        <v>14</v>
      </c>
      <c r="G39" s="15">
        <f>462199.75+464711.5+220315+61757.25+29707.5+19286.5+8649+8790+1188+2323+1706+5301+3087+570</f>
        <v>1289591.5</v>
      </c>
      <c r="H39" s="12">
        <f>36851+37511+17353+5020+3902+3186+1212+1112+297+256+244+743+557+80</f>
        <v>108324</v>
      </c>
      <c r="I39" s="197">
        <f>G39/H39</f>
        <v>11.904947195450685</v>
      </c>
      <c r="J39" s="108">
        <v>29</v>
      </c>
    </row>
    <row r="40" spans="1:10" s="95" customFormat="1" ht="15">
      <c r="A40" s="96">
        <v>30</v>
      </c>
      <c r="B40" s="516" t="s">
        <v>25</v>
      </c>
      <c r="C40" s="431">
        <v>40606</v>
      </c>
      <c r="D40" s="432" t="s">
        <v>24</v>
      </c>
      <c r="E40" s="433">
        <v>104</v>
      </c>
      <c r="F40" s="101">
        <v>13</v>
      </c>
      <c r="G40" s="525">
        <v>1279846</v>
      </c>
      <c r="H40" s="526">
        <v>132030</v>
      </c>
      <c r="I40" s="453">
        <f>G40/H40</f>
        <v>9.69359993940771</v>
      </c>
      <c r="J40" s="108">
        <v>30</v>
      </c>
    </row>
    <row r="41" spans="1:10" s="95" customFormat="1" ht="15">
      <c r="A41" s="96">
        <v>31</v>
      </c>
      <c r="B41" s="800" t="s">
        <v>360</v>
      </c>
      <c r="C41" s="431">
        <v>40606</v>
      </c>
      <c r="D41" s="432" t="s">
        <v>24</v>
      </c>
      <c r="E41" s="444">
        <v>93</v>
      </c>
      <c r="F41" s="239">
        <v>14</v>
      </c>
      <c r="G41" s="745">
        <v>1221986</v>
      </c>
      <c r="H41" s="746">
        <v>109451</v>
      </c>
      <c r="I41" s="107">
        <f>+G41/H41</f>
        <v>11.164685567057404</v>
      </c>
      <c r="J41" s="108">
        <v>31</v>
      </c>
    </row>
    <row r="42" spans="1:10" s="95" customFormat="1" ht="15">
      <c r="A42" s="96">
        <v>32</v>
      </c>
      <c r="B42" s="515" t="s">
        <v>47</v>
      </c>
      <c r="C42" s="431">
        <v>40655</v>
      </c>
      <c r="D42" s="432" t="s">
        <v>10</v>
      </c>
      <c r="E42" s="434">
        <v>70</v>
      </c>
      <c r="F42" s="4">
        <v>7</v>
      </c>
      <c r="G42" s="50">
        <v>1151198</v>
      </c>
      <c r="H42" s="51">
        <v>109336</v>
      </c>
      <c r="I42" s="110">
        <f>G42/H42</f>
        <v>10.528993195287919</v>
      </c>
      <c r="J42" s="108">
        <v>32</v>
      </c>
    </row>
    <row r="43" spans="1:10" s="95" customFormat="1" ht="15">
      <c r="A43" s="96">
        <v>33</v>
      </c>
      <c r="B43" s="515" t="s">
        <v>18</v>
      </c>
      <c r="C43" s="431">
        <v>40620</v>
      </c>
      <c r="D43" s="432" t="s">
        <v>10</v>
      </c>
      <c r="E43" s="433">
        <v>89</v>
      </c>
      <c r="F43" s="101">
        <v>11</v>
      </c>
      <c r="G43" s="527">
        <v>1137795</v>
      </c>
      <c r="H43" s="528">
        <v>113358</v>
      </c>
      <c r="I43" s="453">
        <f>G43/H43</f>
        <v>10.037183083681787</v>
      </c>
      <c r="J43" s="108">
        <v>33</v>
      </c>
    </row>
    <row r="44" spans="1:10" s="95" customFormat="1" ht="15">
      <c r="A44" s="96">
        <v>34</v>
      </c>
      <c r="B44" s="515" t="s">
        <v>346</v>
      </c>
      <c r="C44" s="445">
        <v>40697</v>
      </c>
      <c r="D44" s="432" t="s">
        <v>10</v>
      </c>
      <c r="E44" s="434">
        <v>101</v>
      </c>
      <c r="F44" s="4">
        <v>1</v>
      </c>
      <c r="G44" s="50">
        <v>1126764</v>
      </c>
      <c r="H44" s="51">
        <v>103130</v>
      </c>
      <c r="I44" s="110">
        <f>G44/H44</f>
        <v>10.925666634345001</v>
      </c>
      <c r="J44" s="108">
        <v>34</v>
      </c>
    </row>
    <row r="45" spans="1:10" s="95" customFormat="1" ht="15">
      <c r="A45" s="96">
        <v>35</v>
      </c>
      <c r="B45" s="516" t="s">
        <v>67</v>
      </c>
      <c r="C45" s="431">
        <v>40676</v>
      </c>
      <c r="D45" s="432" t="s">
        <v>24</v>
      </c>
      <c r="E45" s="434">
        <v>100</v>
      </c>
      <c r="F45" s="201">
        <v>4</v>
      </c>
      <c r="G45" s="745">
        <v>1077477</v>
      </c>
      <c r="H45" s="746">
        <v>112800</v>
      </c>
      <c r="I45" s="110">
        <f>G45/H45</f>
        <v>9.552101063829788</v>
      </c>
      <c r="J45" s="108">
        <v>35</v>
      </c>
    </row>
    <row r="46" spans="1:10" s="95" customFormat="1" ht="15">
      <c r="A46" s="96">
        <v>36</v>
      </c>
      <c r="B46" s="517" t="s">
        <v>13</v>
      </c>
      <c r="C46" s="431">
        <v>40585</v>
      </c>
      <c r="D46" s="432" t="s">
        <v>36</v>
      </c>
      <c r="E46" s="434">
        <v>58</v>
      </c>
      <c r="F46" s="201">
        <v>17</v>
      </c>
      <c r="G46" s="15">
        <f>236018+209847.25+105622+138051.5+64189.5+34454+20202.5+27754+16946+8179.5+9672.5+8494+21812+25095+12109+8066+3824</f>
        <v>950336.75</v>
      </c>
      <c r="H46" s="12">
        <f>25731+24506+13184+19079+9581+4996+3067+4392+3122+1175+1530+1410+3175+3587+1436+923+420</f>
        <v>121314</v>
      </c>
      <c r="I46" s="107">
        <f>+G46/H46</f>
        <v>7.833693967720131</v>
      </c>
      <c r="J46" s="108">
        <v>36</v>
      </c>
    </row>
    <row r="47" spans="1:10" s="95" customFormat="1" ht="15">
      <c r="A47" s="96">
        <v>37</v>
      </c>
      <c r="B47" s="796" t="s">
        <v>288</v>
      </c>
      <c r="C47" s="441">
        <v>40613</v>
      </c>
      <c r="D47" s="754" t="s">
        <v>174</v>
      </c>
      <c r="E47" s="756">
        <v>105</v>
      </c>
      <c r="F47" s="4">
        <v>10</v>
      </c>
      <c r="G47" s="254">
        <v>895090.5</v>
      </c>
      <c r="H47" s="255">
        <v>101557</v>
      </c>
      <c r="I47" s="220">
        <f>+G47/H47</f>
        <v>8.813676063688373</v>
      </c>
      <c r="J47" s="108">
        <v>37</v>
      </c>
    </row>
    <row r="48" spans="1:10" s="95" customFormat="1" ht="15">
      <c r="A48" s="96">
        <v>38</v>
      </c>
      <c r="B48" s="515" t="s">
        <v>66</v>
      </c>
      <c r="C48" s="431">
        <v>40676</v>
      </c>
      <c r="D48" s="432" t="s">
        <v>10</v>
      </c>
      <c r="E48" s="434">
        <v>112</v>
      </c>
      <c r="F48" s="4">
        <v>4</v>
      </c>
      <c r="G48" s="50">
        <v>853187</v>
      </c>
      <c r="H48" s="51">
        <v>88842</v>
      </c>
      <c r="I48" s="578">
        <f>G48/H48</f>
        <v>9.603419553814637</v>
      </c>
      <c r="J48" s="108">
        <v>38</v>
      </c>
    </row>
    <row r="49" spans="1:10" s="95" customFormat="1" ht="15">
      <c r="A49" s="96">
        <v>39</v>
      </c>
      <c r="B49" s="516" t="s">
        <v>88</v>
      </c>
      <c r="C49" s="431">
        <v>40620</v>
      </c>
      <c r="D49" s="432" t="s">
        <v>24</v>
      </c>
      <c r="E49" s="433">
        <v>51</v>
      </c>
      <c r="F49" s="101">
        <v>10</v>
      </c>
      <c r="G49" s="104">
        <v>850901</v>
      </c>
      <c r="H49" s="367">
        <v>72835</v>
      </c>
      <c r="I49" s="107">
        <f>+G49/H49</f>
        <v>11.682583922564701</v>
      </c>
      <c r="J49" s="108">
        <v>39</v>
      </c>
    </row>
    <row r="50" spans="1:10" s="95" customFormat="1" ht="15">
      <c r="A50" s="96">
        <v>40</v>
      </c>
      <c r="B50" s="731" t="s">
        <v>19</v>
      </c>
      <c r="C50" s="431">
        <v>40620</v>
      </c>
      <c r="D50" s="440" t="s">
        <v>8</v>
      </c>
      <c r="E50" s="434">
        <v>37</v>
      </c>
      <c r="F50" s="4">
        <v>12</v>
      </c>
      <c r="G50" s="13">
        <v>841918</v>
      </c>
      <c r="H50" s="14">
        <v>75218</v>
      </c>
      <c r="I50" s="110">
        <f>G50/H50</f>
        <v>11.193038900263234</v>
      </c>
      <c r="J50" s="108">
        <v>40</v>
      </c>
    </row>
    <row r="51" spans="1:10" s="95" customFormat="1" ht="15">
      <c r="A51" s="96">
        <v>41</v>
      </c>
      <c r="B51" s="517" t="s">
        <v>46</v>
      </c>
      <c r="C51" s="431">
        <v>40655</v>
      </c>
      <c r="D51" s="432" t="s">
        <v>36</v>
      </c>
      <c r="E51" s="434">
        <v>156</v>
      </c>
      <c r="F51" s="201">
        <v>7</v>
      </c>
      <c r="G51" s="15">
        <f>633760.5+136320.5+35218.5+12632+4659.5+2946+8058</f>
        <v>833595</v>
      </c>
      <c r="H51" s="12">
        <f>74640+17307+4811+1875+917+522+1372</f>
        <v>101444</v>
      </c>
      <c r="I51" s="107">
        <f>+G51/H51</f>
        <v>8.217292299199558</v>
      </c>
      <c r="J51" s="108">
        <v>41</v>
      </c>
    </row>
    <row r="52" spans="1:10" s="95" customFormat="1" ht="15">
      <c r="A52" s="96">
        <v>42</v>
      </c>
      <c r="B52" s="798" t="s">
        <v>347</v>
      </c>
      <c r="C52" s="445">
        <v>40697</v>
      </c>
      <c r="D52" s="432" t="s">
        <v>36</v>
      </c>
      <c r="E52" s="567">
        <v>111</v>
      </c>
      <c r="F52" s="201">
        <v>1</v>
      </c>
      <c r="G52" s="15">
        <f>1292+812789</f>
        <v>814081</v>
      </c>
      <c r="H52" s="12">
        <f>124+79271</f>
        <v>79395</v>
      </c>
      <c r="I52" s="107">
        <f>+G52/H52</f>
        <v>10.25355500976132</v>
      </c>
      <c r="J52" s="108">
        <v>42</v>
      </c>
    </row>
    <row r="53" spans="1:10" s="95" customFormat="1" ht="15">
      <c r="A53" s="96">
        <v>43</v>
      </c>
      <c r="B53" s="517" t="s">
        <v>40</v>
      </c>
      <c r="C53" s="431">
        <v>40648</v>
      </c>
      <c r="D53" s="432" t="s">
        <v>36</v>
      </c>
      <c r="E53" s="434">
        <v>72</v>
      </c>
      <c r="F53" s="201">
        <v>8</v>
      </c>
      <c r="G53" s="15">
        <f>313705+218661+94172+73484.5+60319.5+15976+18868+7512</f>
        <v>802698</v>
      </c>
      <c r="H53" s="12">
        <f>29673+21437+10530+10169+8845+2631+2981+1155</f>
        <v>87421</v>
      </c>
      <c r="I53" s="107">
        <f>+G53/H53</f>
        <v>9.181981446105627</v>
      </c>
      <c r="J53" s="108">
        <v>43</v>
      </c>
    </row>
    <row r="54" spans="1:10" s="95" customFormat="1" ht="15">
      <c r="A54" s="96">
        <v>44</v>
      </c>
      <c r="B54" s="794" t="s">
        <v>289</v>
      </c>
      <c r="C54" s="748">
        <v>40571</v>
      </c>
      <c r="D54" s="747" t="s">
        <v>169</v>
      </c>
      <c r="E54" s="749">
        <v>20</v>
      </c>
      <c r="F54" s="36">
        <v>14</v>
      </c>
      <c r="G54" s="247">
        <v>778232</v>
      </c>
      <c r="H54" s="248">
        <v>64654</v>
      </c>
      <c r="I54" s="220">
        <f>+G54/H54</f>
        <v>12.036873201967396</v>
      </c>
      <c r="J54" s="108">
        <v>44</v>
      </c>
    </row>
    <row r="55" spans="1:10" s="95" customFormat="1" ht="15">
      <c r="A55" s="96">
        <v>45</v>
      </c>
      <c r="B55" s="801" t="s">
        <v>290</v>
      </c>
      <c r="C55" s="748">
        <v>40627</v>
      </c>
      <c r="D55" s="750" t="s">
        <v>24</v>
      </c>
      <c r="E55" s="749">
        <v>80</v>
      </c>
      <c r="F55" s="36">
        <v>8</v>
      </c>
      <c r="G55" s="48">
        <v>689625</v>
      </c>
      <c r="H55" s="194">
        <v>71616</v>
      </c>
      <c r="I55" s="234">
        <f>+G55/H55</f>
        <v>9.629482238605899</v>
      </c>
      <c r="J55" s="108">
        <v>45</v>
      </c>
    </row>
    <row r="56" spans="1:10" s="95" customFormat="1" ht="15">
      <c r="A56" s="96">
        <v>46</v>
      </c>
      <c r="B56" s="515" t="s">
        <v>31</v>
      </c>
      <c r="C56" s="431">
        <v>40634</v>
      </c>
      <c r="D56" s="432" t="s">
        <v>10</v>
      </c>
      <c r="E56" s="433">
        <v>76</v>
      </c>
      <c r="F56" s="101">
        <v>9</v>
      </c>
      <c r="G56" s="527">
        <v>681170</v>
      </c>
      <c r="H56" s="528">
        <v>69882</v>
      </c>
      <c r="I56" s="453">
        <f>G56/H56</f>
        <v>9.747431384333591</v>
      </c>
      <c r="J56" s="108">
        <v>46</v>
      </c>
    </row>
    <row r="57" spans="1:10" s="95" customFormat="1" ht="15">
      <c r="A57" s="96">
        <v>47</v>
      </c>
      <c r="B57" s="515" t="s">
        <v>87</v>
      </c>
      <c r="C57" s="431">
        <v>40634</v>
      </c>
      <c r="D57" s="432" t="s">
        <v>52</v>
      </c>
      <c r="E57" s="433">
        <v>149</v>
      </c>
      <c r="F57" s="101">
        <v>9</v>
      </c>
      <c r="G57" s="525">
        <v>674482</v>
      </c>
      <c r="H57" s="526">
        <v>96075</v>
      </c>
      <c r="I57" s="453">
        <f>G57/H57</f>
        <v>7.0203695029924535</v>
      </c>
      <c r="J57" s="108">
        <v>47</v>
      </c>
    </row>
    <row r="58" spans="1:10" s="95" customFormat="1" ht="15">
      <c r="A58" s="96">
        <v>48</v>
      </c>
      <c r="B58" s="517" t="s">
        <v>68</v>
      </c>
      <c r="C58" s="431">
        <v>40669</v>
      </c>
      <c r="D58" s="432" t="s">
        <v>36</v>
      </c>
      <c r="E58" s="434">
        <v>58</v>
      </c>
      <c r="F58" s="201">
        <v>5</v>
      </c>
      <c r="G58" s="15">
        <f>283662.5+204713+63694+61522.5+37976</f>
        <v>651568</v>
      </c>
      <c r="H58" s="12">
        <f>29595+21640+7444+8447+5671</f>
        <v>72797</v>
      </c>
      <c r="I58" s="107">
        <f>+G58/H58</f>
        <v>8.950478728519032</v>
      </c>
      <c r="J58" s="108">
        <v>48</v>
      </c>
    </row>
    <row r="59" spans="1:10" s="95" customFormat="1" ht="15">
      <c r="A59" s="96">
        <v>49</v>
      </c>
      <c r="B59" s="517" t="s">
        <v>148</v>
      </c>
      <c r="C59" s="431">
        <v>40599</v>
      </c>
      <c r="D59" s="432" t="s">
        <v>36</v>
      </c>
      <c r="E59" s="433">
        <v>60</v>
      </c>
      <c r="F59" s="101">
        <v>13</v>
      </c>
      <c r="G59" s="119">
        <f>324952+205669.75+36076.25+7149.5+4976+6474+8888+8102.5+7995.5+1904.5+2442.5+3379+326</f>
        <v>618335.5</v>
      </c>
      <c r="H59" s="120">
        <f>28582+18445+3670+1269+845+865+1858+1230+1292+340+347+689+52</f>
        <v>59484</v>
      </c>
      <c r="I59" s="110">
        <f>G59/H59</f>
        <v>10.394988568354515</v>
      </c>
      <c r="J59" s="108">
        <v>49</v>
      </c>
    </row>
    <row r="60" spans="1:10" s="95" customFormat="1" ht="15">
      <c r="A60" s="96">
        <v>50</v>
      </c>
      <c r="B60" s="795" t="s">
        <v>291</v>
      </c>
      <c r="C60" s="752">
        <v>40592</v>
      </c>
      <c r="D60" s="751" t="s">
        <v>10</v>
      </c>
      <c r="E60" s="753">
        <v>168</v>
      </c>
      <c r="F60" s="368">
        <v>3</v>
      </c>
      <c r="G60" s="50">
        <v>572572</v>
      </c>
      <c r="H60" s="51">
        <v>51135</v>
      </c>
      <c r="I60" s="220">
        <v>11.197262149212868</v>
      </c>
      <c r="J60" s="108">
        <v>50</v>
      </c>
    </row>
    <row r="61" spans="1:10" s="95" customFormat="1" ht="15">
      <c r="A61" s="96">
        <v>51</v>
      </c>
      <c r="B61" s="516" t="s">
        <v>42</v>
      </c>
      <c r="C61" s="431">
        <v>40648</v>
      </c>
      <c r="D61" s="432" t="s">
        <v>24</v>
      </c>
      <c r="E61" s="434">
        <v>76</v>
      </c>
      <c r="F61" s="201">
        <v>8</v>
      </c>
      <c r="G61" s="745">
        <v>561170</v>
      </c>
      <c r="H61" s="761">
        <v>59559</v>
      </c>
      <c r="I61" s="110">
        <f>G61/H61</f>
        <v>9.42208566295606</v>
      </c>
      <c r="J61" s="108">
        <v>51</v>
      </c>
    </row>
    <row r="62" spans="1:10" s="95" customFormat="1" ht="15">
      <c r="A62" s="96">
        <v>52</v>
      </c>
      <c r="B62" s="515" t="s">
        <v>75</v>
      </c>
      <c r="C62" s="431">
        <v>40682</v>
      </c>
      <c r="D62" s="432" t="s">
        <v>10</v>
      </c>
      <c r="E62" s="434">
        <v>164</v>
      </c>
      <c r="F62" s="4">
        <v>3</v>
      </c>
      <c r="G62" s="50">
        <v>555014</v>
      </c>
      <c r="H62" s="51">
        <v>60106</v>
      </c>
      <c r="I62" s="107">
        <f>+G62/H62</f>
        <v>9.233920074534987</v>
      </c>
      <c r="J62" s="108">
        <v>52</v>
      </c>
    </row>
    <row r="63" spans="1:10" s="95" customFormat="1" ht="15">
      <c r="A63" s="96">
        <v>53</v>
      </c>
      <c r="B63" s="515" t="s">
        <v>41</v>
      </c>
      <c r="C63" s="431">
        <v>40648</v>
      </c>
      <c r="D63" s="432" t="s">
        <v>10</v>
      </c>
      <c r="E63" s="433">
        <v>76</v>
      </c>
      <c r="F63" s="101">
        <v>6</v>
      </c>
      <c r="G63" s="113">
        <v>545267</v>
      </c>
      <c r="H63" s="114">
        <v>56316</v>
      </c>
      <c r="I63" s="128">
        <f>+G63/H63</f>
        <v>9.682275019532637</v>
      </c>
      <c r="J63" s="108">
        <v>53</v>
      </c>
    </row>
    <row r="64" spans="1:10" s="95" customFormat="1" ht="15">
      <c r="A64" s="96">
        <v>54</v>
      </c>
      <c r="B64" s="801" t="s">
        <v>292</v>
      </c>
      <c r="C64" s="748">
        <v>40592</v>
      </c>
      <c r="D64" s="750" t="s">
        <v>24</v>
      </c>
      <c r="E64" s="749">
        <v>80</v>
      </c>
      <c r="F64" s="192">
        <v>8</v>
      </c>
      <c r="G64" s="48">
        <v>520522</v>
      </c>
      <c r="H64" s="344">
        <v>59736</v>
      </c>
      <c r="I64" s="384">
        <f>+G64/H64</f>
        <v>8.713706977367082</v>
      </c>
      <c r="J64" s="108">
        <v>54</v>
      </c>
    </row>
    <row r="65" spans="1:10" s="95" customFormat="1" ht="15">
      <c r="A65" s="96">
        <v>55</v>
      </c>
      <c r="B65" s="797" t="s">
        <v>355</v>
      </c>
      <c r="C65" s="441">
        <v>40564</v>
      </c>
      <c r="D65" s="757" t="s">
        <v>22</v>
      </c>
      <c r="E65" s="758">
        <v>100</v>
      </c>
      <c r="F65" s="3">
        <v>9</v>
      </c>
      <c r="G65" s="52">
        <f>351928.5+109593.5+20592.5+6351+8236+2820+477+622+1188</f>
        <v>501808.5</v>
      </c>
      <c r="H65" s="344">
        <f>40887+13714+2624+866+1497+479+81+311+238</f>
        <v>60697</v>
      </c>
      <c r="I65" s="110">
        <f>G65/H65</f>
        <v>8.267434963836763</v>
      </c>
      <c r="J65" s="108">
        <v>55</v>
      </c>
    </row>
    <row r="66" spans="1:10" s="95" customFormat="1" ht="15">
      <c r="A66" s="96">
        <v>56</v>
      </c>
      <c r="B66" s="515" t="s">
        <v>327</v>
      </c>
      <c r="C66" s="431">
        <v>40690</v>
      </c>
      <c r="D66" s="432" t="s">
        <v>10</v>
      </c>
      <c r="E66" s="434">
        <v>65</v>
      </c>
      <c r="F66" s="4">
        <v>2</v>
      </c>
      <c r="G66" s="50">
        <v>478523</v>
      </c>
      <c r="H66" s="51">
        <v>45743</v>
      </c>
      <c r="I66" s="128">
        <f>+G66/H66</f>
        <v>10.461119734166976</v>
      </c>
      <c r="J66" s="108">
        <v>56</v>
      </c>
    </row>
    <row r="67" spans="1:10" s="95" customFormat="1" ht="15">
      <c r="A67" s="96">
        <v>57</v>
      </c>
      <c r="B67" s="798" t="s">
        <v>14</v>
      </c>
      <c r="C67" s="445">
        <v>40592</v>
      </c>
      <c r="D67" s="432" t="s">
        <v>36</v>
      </c>
      <c r="E67" s="446">
        <v>26</v>
      </c>
      <c r="F67" s="211">
        <v>16</v>
      </c>
      <c r="G67" s="15">
        <f>237198+117355.25+39279+7609+10490+5994.5+4177+5529+13722.5+15666+5837+4401.5+5554+1816.5+656+560</f>
        <v>475845.25</v>
      </c>
      <c r="H67" s="12">
        <f>20106+9312+4270+1420+2469+1087+657+754+2056+2109+1033+786+862+334+111+80</f>
        <v>47446</v>
      </c>
      <c r="I67" s="107">
        <f>+G67/H67</f>
        <v>10.029196349534207</v>
      </c>
      <c r="J67" s="108">
        <v>57</v>
      </c>
    </row>
    <row r="68" spans="1:10" s="95" customFormat="1" ht="15">
      <c r="A68" s="96">
        <v>58</v>
      </c>
      <c r="B68" s="798" t="s">
        <v>34</v>
      </c>
      <c r="C68" s="445">
        <v>40634</v>
      </c>
      <c r="D68" s="432" t="s">
        <v>36</v>
      </c>
      <c r="E68" s="446">
        <v>36</v>
      </c>
      <c r="F68" s="211">
        <v>10</v>
      </c>
      <c r="G68" s="15">
        <f>246204.5+109370+33780.5+17153+1902+8321+3738+833+560+246</f>
        <v>422108</v>
      </c>
      <c r="H68" s="12">
        <f>18876+8155+2662+1743+244+979+452+94+110+39</f>
        <v>33354</v>
      </c>
      <c r="I68" s="110">
        <f>G68/H68</f>
        <v>12.655393655933322</v>
      </c>
      <c r="J68" s="108">
        <v>58</v>
      </c>
    </row>
    <row r="69" spans="1:10" s="95" customFormat="1" ht="15">
      <c r="A69" s="96">
        <v>59</v>
      </c>
      <c r="B69" s="731" t="s">
        <v>80</v>
      </c>
      <c r="C69" s="431">
        <v>40669</v>
      </c>
      <c r="D69" s="440" t="s">
        <v>8</v>
      </c>
      <c r="E69" s="434">
        <v>51</v>
      </c>
      <c r="F69" s="4">
        <v>5</v>
      </c>
      <c r="G69" s="13">
        <v>415885</v>
      </c>
      <c r="H69" s="14">
        <v>38987</v>
      </c>
      <c r="I69" s="107">
        <f>+G69/H69</f>
        <v>10.667273706620156</v>
      </c>
      <c r="J69" s="108">
        <v>59</v>
      </c>
    </row>
    <row r="70" spans="1:10" s="95" customFormat="1" ht="15">
      <c r="A70" s="96">
        <v>60</v>
      </c>
      <c r="B70" s="517" t="s">
        <v>60</v>
      </c>
      <c r="C70" s="431">
        <v>40669</v>
      </c>
      <c r="D70" s="432" t="s">
        <v>36</v>
      </c>
      <c r="E70" s="434">
        <v>31</v>
      </c>
      <c r="F70" s="201">
        <v>5</v>
      </c>
      <c r="G70" s="15">
        <f>175019+105176.5+33821+39610.5+24959.5</f>
        <v>378586.5</v>
      </c>
      <c r="H70" s="12">
        <f>19673+11998+4200+5352+3807</f>
        <v>45030</v>
      </c>
      <c r="I70" s="110">
        <f>G70/H70</f>
        <v>8.407428381079281</v>
      </c>
      <c r="J70" s="108">
        <v>60</v>
      </c>
    </row>
    <row r="71" spans="1:10" s="95" customFormat="1" ht="15">
      <c r="A71" s="96">
        <v>61</v>
      </c>
      <c r="B71" s="731" t="s">
        <v>94</v>
      </c>
      <c r="C71" s="431">
        <v>40585</v>
      </c>
      <c r="D71" s="440" t="s">
        <v>8</v>
      </c>
      <c r="E71" s="434">
        <v>41</v>
      </c>
      <c r="F71" s="4">
        <v>10</v>
      </c>
      <c r="G71" s="13">
        <v>346343</v>
      </c>
      <c r="H71" s="14">
        <v>29491</v>
      </c>
      <c r="I71" s="107">
        <f>+G71/H71</f>
        <v>11.744023600420467</v>
      </c>
      <c r="J71" s="108">
        <v>61</v>
      </c>
    </row>
    <row r="72" spans="1:10" s="95" customFormat="1" ht="15">
      <c r="A72" s="96">
        <v>62</v>
      </c>
      <c r="B72" s="802" t="s">
        <v>293</v>
      </c>
      <c r="C72" s="762">
        <v>40606</v>
      </c>
      <c r="D72" s="763" t="s">
        <v>24</v>
      </c>
      <c r="E72" s="764">
        <v>52</v>
      </c>
      <c r="F72" s="370">
        <v>5</v>
      </c>
      <c r="G72" s="371">
        <v>327940</v>
      </c>
      <c r="H72" s="372">
        <v>26292</v>
      </c>
      <c r="I72" s="220">
        <v>12.472995588011562</v>
      </c>
      <c r="J72" s="108">
        <v>62</v>
      </c>
    </row>
    <row r="73" spans="1:10" s="95" customFormat="1" ht="15">
      <c r="A73" s="96">
        <v>63</v>
      </c>
      <c r="B73" s="798" t="s">
        <v>17</v>
      </c>
      <c r="C73" s="445">
        <v>40613</v>
      </c>
      <c r="D73" s="432" t="s">
        <v>36</v>
      </c>
      <c r="E73" s="446">
        <v>25</v>
      </c>
      <c r="F73" s="211">
        <v>13</v>
      </c>
      <c r="G73" s="15">
        <f>75934+53479.5+29060+17465+26762+20460.5+20847+12710+19039+8622+2147+3636+459</f>
        <v>290621</v>
      </c>
      <c r="H73" s="12">
        <f>9554+7103+4053+2490+4055+3124+3295+2389+2957+1767+459+626+92</f>
        <v>41964</v>
      </c>
      <c r="I73" s="107">
        <f aca="true" t="shared" si="0" ref="I73:I78">+G73/H73</f>
        <v>6.925483747974455</v>
      </c>
      <c r="J73" s="108">
        <v>63</v>
      </c>
    </row>
    <row r="74" spans="1:10" s="95" customFormat="1" ht="15">
      <c r="A74" s="96">
        <v>64</v>
      </c>
      <c r="B74" s="518" t="s">
        <v>48</v>
      </c>
      <c r="C74" s="438">
        <v>40655</v>
      </c>
      <c r="D74" s="437" t="s">
        <v>70</v>
      </c>
      <c r="E74" s="600">
        <v>35</v>
      </c>
      <c r="F74" s="232">
        <v>7</v>
      </c>
      <c r="G74" s="765">
        <v>289555.5</v>
      </c>
      <c r="H74" s="746">
        <v>27707</v>
      </c>
      <c r="I74" s="107">
        <f t="shared" si="0"/>
        <v>10.450626195546253</v>
      </c>
      <c r="J74" s="108">
        <v>64</v>
      </c>
    </row>
    <row r="75" spans="1:10" s="95" customFormat="1" ht="15">
      <c r="A75" s="96">
        <v>65</v>
      </c>
      <c r="B75" s="801" t="s">
        <v>294</v>
      </c>
      <c r="C75" s="748">
        <v>40599</v>
      </c>
      <c r="D75" s="750" t="s">
        <v>24</v>
      </c>
      <c r="E75" s="749">
        <v>30</v>
      </c>
      <c r="F75" s="36">
        <v>12</v>
      </c>
      <c r="G75" s="48">
        <v>273347</v>
      </c>
      <c r="H75" s="194">
        <v>22741</v>
      </c>
      <c r="I75" s="234">
        <f t="shared" si="0"/>
        <v>12.020007915219207</v>
      </c>
      <c r="J75" s="108">
        <v>65</v>
      </c>
    </row>
    <row r="76" spans="1:10" s="95" customFormat="1" ht="15">
      <c r="A76" s="96">
        <v>66</v>
      </c>
      <c r="B76" s="517" t="s">
        <v>58</v>
      </c>
      <c r="C76" s="431">
        <v>40662</v>
      </c>
      <c r="D76" s="432" t="s">
        <v>36</v>
      </c>
      <c r="E76" s="434">
        <v>19</v>
      </c>
      <c r="F76" s="201">
        <v>6</v>
      </c>
      <c r="G76" s="15">
        <f>101742.25+50164.5+51750+9401+13450.5+18562.5</f>
        <v>245070.75</v>
      </c>
      <c r="H76" s="12">
        <f>8064+3844+5093+985+1765+2797</f>
        <v>22548</v>
      </c>
      <c r="I76" s="107">
        <f t="shared" si="0"/>
        <v>10.868846460883448</v>
      </c>
      <c r="J76" s="108">
        <v>66</v>
      </c>
    </row>
    <row r="77" spans="1:10" s="95" customFormat="1" ht="15">
      <c r="A77" s="96">
        <v>67</v>
      </c>
      <c r="B77" s="803" t="s">
        <v>295</v>
      </c>
      <c r="C77" s="441">
        <v>40543</v>
      </c>
      <c r="D77" s="755" t="s">
        <v>83</v>
      </c>
      <c r="E77" s="766" t="s">
        <v>296</v>
      </c>
      <c r="F77" s="373" t="s">
        <v>297</v>
      </c>
      <c r="G77" s="13">
        <v>241335</v>
      </c>
      <c r="H77" s="14">
        <v>20302</v>
      </c>
      <c r="I77" s="220">
        <f t="shared" si="0"/>
        <v>11.88725248743966</v>
      </c>
      <c r="J77" s="108">
        <v>67</v>
      </c>
    </row>
    <row r="78" spans="1:10" s="95" customFormat="1" ht="15">
      <c r="A78" s="96">
        <v>68</v>
      </c>
      <c r="B78" s="517" t="s">
        <v>38</v>
      </c>
      <c r="C78" s="431">
        <v>40641</v>
      </c>
      <c r="D78" s="432" t="s">
        <v>36</v>
      </c>
      <c r="E78" s="433">
        <v>22</v>
      </c>
      <c r="F78" s="101">
        <v>8</v>
      </c>
      <c r="G78" s="529">
        <f>116634.25+59106.5+23134.5+13753.5+15970+8455.5+1576+1761</f>
        <v>240391.25</v>
      </c>
      <c r="H78" s="530">
        <f>8833+4531+2274+1803+2249+1097+201+284</f>
        <v>21272</v>
      </c>
      <c r="I78" s="452">
        <f t="shared" si="0"/>
        <v>11.300829729221512</v>
      </c>
      <c r="J78" s="108">
        <v>68</v>
      </c>
    </row>
    <row r="79" spans="1:10" s="95" customFormat="1" ht="15">
      <c r="A79" s="96">
        <v>69</v>
      </c>
      <c r="B79" s="731" t="s">
        <v>50</v>
      </c>
      <c r="C79" s="431">
        <v>40641</v>
      </c>
      <c r="D79" s="439" t="s">
        <v>83</v>
      </c>
      <c r="E79" s="434">
        <v>20</v>
      </c>
      <c r="F79" s="125">
        <v>9</v>
      </c>
      <c r="G79" s="13">
        <v>237992</v>
      </c>
      <c r="H79" s="14">
        <v>31718</v>
      </c>
      <c r="I79" s="110">
        <f>G79/H79</f>
        <v>7.503373478781764</v>
      </c>
      <c r="J79" s="108">
        <v>69</v>
      </c>
    </row>
    <row r="80" spans="1:10" s="95" customFormat="1" ht="15">
      <c r="A80" s="96">
        <v>70</v>
      </c>
      <c r="B80" s="731" t="s">
        <v>56</v>
      </c>
      <c r="C80" s="431">
        <v>40662</v>
      </c>
      <c r="D80" s="440" t="s">
        <v>8</v>
      </c>
      <c r="E80" s="434">
        <v>68</v>
      </c>
      <c r="F80" s="4">
        <v>6</v>
      </c>
      <c r="G80" s="13">
        <v>230438</v>
      </c>
      <c r="H80" s="14">
        <v>27654</v>
      </c>
      <c r="I80" s="110">
        <f>G80/H80</f>
        <v>8.332899399725175</v>
      </c>
      <c r="J80" s="108">
        <v>70</v>
      </c>
    </row>
    <row r="81" spans="1:10" s="95" customFormat="1" ht="15">
      <c r="A81" s="96">
        <v>71</v>
      </c>
      <c r="B81" s="804" t="s">
        <v>298</v>
      </c>
      <c r="C81" s="768">
        <v>40543</v>
      </c>
      <c r="D81" s="432" t="s">
        <v>36</v>
      </c>
      <c r="E81" s="769">
        <v>77</v>
      </c>
      <c r="F81" s="374">
        <v>9</v>
      </c>
      <c r="G81" s="15">
        <v>213117.5</v>
      </c>
      <c r="H81" s="12">
        <v>22798</v>
      </c>
      <c r="I81" s="220">
        <v>9.348078778840248</v>
      </c>
      <c r="J81" s="108">
        <v>71</v>
      </c>
    </row>
    <row r="82" spans="1:10" s="95" customFormat="1" ht="15">
      <c r="A82" s="96">
        <v>72</v>
      </c>
      <c r="B82" s="805" t="s">
        <v>299</v>
      </c>
      <c r="C82" s="752">
        <v>40557</v>
      </c>
      <c r="D82" s="770" t="s">
        <v>8</v>
      </c>
      <c r="E82" s="771">
        <v>66</v>
      </c>
      <c r="F82" s="375">
        <v>8</v>
      </c>
      <c r="G82" s="13">
        <v>207906</v>
      </c>
      <c r="H82" s="14">
        <v>24812</v>
      </c>
      <c r="I82" s="220">
        <v>8.37925197485088</v>
      </c>
      <c r="J82" s="108">
        <v>72</v>
      </c>
    </row>
    <row r="83" spans="1:10" s="95" customFormat="1" ht="15">
      <c r="A83" s="96">
        <v>73</v>
      </c>
      <c r="B83" s="798" t="s">
        <v>348</v>
      </c>
      <c r="C83" s="445">
        <v>40697</v>
      </c>
      <c r="D83" s="432" t="s">
        <v>36</v>
      </c>
      <c r="E83" s="567">
        <v>71</v>
      </c>
      <c r="F83" s="201">
        <v>1</v>
      </c>
      <c r="G83" s="15">
        <f>204018.5</f>
        <v>204018.5</v>
      </c>
      <c r="H83" s="12">
        <f>20915</f>
        <v>20915</v>
      </c>
      <c r="I83" s="110">
        <f>G83/H83</f>
        <v>9.75464977289027</v>
      </c>
      <c r="J83" s="108">
        <v>73</v>
      </c>
    </row>
    <row r="84" spans="1:10" s="95" customFormat="1" ht="15">
      <c r="A84" s="96">
        <v>74</v>
      </c>
      <c r="B84" s="802" t="s">
        <v>300</v>
      </c>
      <c r="C84" s="762">
        <v>40543</v>
      </c>
      <c r="D84" s="763" t="s">
        <v>24</v>
      </c>
      <c r="E84" s="764">
        <v>118</v>
      </c>
      <c r="F84" s="370">
        <v>11</v>
      </c>
      <c r="G84" s="371">
        <v>201844</v>
      </c>
      <c r="H84" s="372">
        <v>22349</v>
      </c>
      <c r="I84" s="220">
        <v>9.031455546109445</v>
      </c>
      <c r="J84" s="108">
        <v>74</v>
      </c>
    </row>
    <row r="85" spans="1:10" s="95" customFormat="1" ht="15">
      <c r="A85" s="96">
        <v>75</v>
      </c>
      <c r="B85" s="806" t="s">
        <v>139</v>
      </c>
      <c r="C85" s="443">
        <v>40613</v>
      </c>
      <c r="D85" s="437" t="s">
        <v>70</v>
      </c>
      <c r="E85" s="772">
        <v>1</v>
      </c>
      <c r="F85" s="232">
        <v>13</v>
      </c>
      <c r="G85" s="765">
        <v>201350.5</v>
      </c>
      <c r="H85" s="746">
        <v>26451</v>
      </c>
      <c r="I85" s="107">
        <f>+G85/H85</f>
        <v>7.612207477978148</v>
      </c>
      <c r="J85" s="108">
        <v>75</v>
      </c>
    </row>
    <row r="86" spans="1:10" s="95" customFormat="1" ht="15">
      <c r="A86" s="96">
        <v>76</v>
      </c>
      <c r="B86" s="796" t="s">
        <v>301</v>
      </c>
      <c r="C86" s="441">
        <v>40634</v>
      </c>
      <c r="D86" s="754" t="s">
        <v>174</v>
      </c>
      <c r="E86" s="756">
        <v>44</v>
      </c>
      <c r="F86" s="4">
        <v>7</v>
      </c>
      <c r="G86" s="254">
        <v>189001.75</v>
      </c>
      <c r="H86" s="255">
        <v>21097</v>
      </c>
      <c r="I86" s="220">
        <f>+G86/H86</f>
        <v>8.95870265914585</v>
      </c>
      <c r="J86" s="108">
        <v>76</v>
      </c>
    </row>
    <row r="87" spans="1:10" s="95" customFormat="1" ht="15">
      <c r="A87" s="96">
        <v>77</v>
      </c>
      <c r="B87" s="515" t="s">
        <v>49</v>
      </c>
      <c r="C87" s="431">
        <v>40655</v>
      </c>
      <c r="D87" s="432" t="s">
        <v>32</v>
      </c>
      <c r="E87" s="434">
        <v>25</v>
      </c>
      <c r="F87" s="201">
        <v>7</v>
      </c>
      <c r="G87" s="773">
        <f>94030+36665.5+19228.5+15274+9884.5+3195.5+2792</f>
        <v>181070</v>
      </c>
      <c r="H87" s="761">
        <f>8677+3579+2658+2286+1470+489+408</f>
        <v>19567</v>
      </c>
      <c r="I87" s="110">
        <f>G87/H87</f>
        <v>9.253845760719578</v>
      </c>
      <c r="J87" s="108">
        <v>77</v>
      </c>
    </row>
    <row r="88" spans="1:10" s="95" customFormat="1" ht="15">
      <c r="A88" s="96">
        <v>78</v>
      </c>
      <c r="B88" s="807" t="s">
        <v>147</v>
      </c>
      <c r="C88" s="447">
        <v>40613</v>
      </c>
      <c r="D88" s="432" t="s">
        <v>36</v>
      </c>
      <c r="E88" s="448">
        <v>22</v>
      </c>
      <c r="F88" s="276">
        <v>11</v>
      </c>
      <c r="G88" s="529">
        <f>116753+45641.5+1507+3664+4533+723.5+456.5+2184+2545+520.5+610</f>
        <v>179138</v>
      </c>
      <c r="H88" s="530">
        <f>8727+3759+162+393+667+140+67+296+333+73+92</f>
        <v>14709</v>
      </c>
      <c r="I88" s="453">
        <f>G88/H88</f>
        <v>12.178802093956081</v>
      </c>
      <c r="J88" s="108">
        <v>78</v>
      </c>
    </row>
    <row r="89" spans="1:10" s="95" customFormat="1" ht="15">
      <c r="A89" s="96">
        <v>79</v>
      </c>
      <c r="B89" s="517" t="s">
        <v>20</v>
      </c>
      <c r="C89" s="431">
        <v>40620</v>
      </c>
      <c r="D89" s="432" t="s">
        <v>36</v>
      </c>
      <c r="E89" s="433">
        <v>18</v>
      </c>
      <c r="F89" s="101">
        <v>10</v>
      </c>
      <c r="G89" s="119">
        <f>39453.5+44225+30459.5+23462+13989+8982.5+6844+2370+4120+2588</f>
        <v>176493.5</v>
      </c>
      <c r="H89" s="120">
        <f>5345+6302+4080+3427+1964+1106+1298+366+730+571</f>
        <v>25189</v>
      </c>
      <c r="I89" s="110">
        <f>G89/H89</f>
        <v>7.006768827662869</v>
      </c>
      <c r="J89" s="108">
        <v>79</v>
      </c>
    </row>
    <row r="90" spans="1:10" s="95" customFormat="1" ht="15">
      <c r="A90" s="96">
        <v>80</v>
      </c>
      <c r="B90" s="517" t="s">
        <v>76</v>
      </c>
      <c r="C90" s="431">
        <v>40682</v>
      </c>
      <c r="D90" s="432" t="s">
        <v>36</v>
      </c>
      <c r="E90" s="434">
        <v>101</v>
      </c>
      <c r="F90" s="201">
        <v>3</v>
      </c>
      <c r="G90" s="15">
        <f>27003.5+85794+43816.5+12611.5</f>
        <v>169225.5</v>
      </c>
      <c r="H90" s="12">
        <f>3081+10215+5836+1972</f>
        <v>21104</v>
      </c>
      <c r="I90" s="110">
        <f>G90/H90</f>
        <v>8.018645754359364</v>
      </c>
      <c r="J90" s="108">
        <v>80</v>
      </c>
    </row>
    <row r="91" spans="1:10" s="95" customFormat="1" ht="15">
      <c r="A91" s="96">
        <v>81</v>
      </c>
      <c r="B91" s="516" t="s">
        <v>62</v>
      </c>
      <c r="C91" s="431">
        <v>40669</v>
      </c>
      <c r="D91" s="432" t="s">
        <v>24</v>
      </c>
      <c r="E91" s="434">
        <v>71</v>
      </c>
      <c r="F91" s="201">
        <v>5</v>
      </c>
      <c r="G91" s="745">
        <v>164287</v>
      </c>
      <c r="H91" s="746">
        <v>17326</v>
      </c>
      <c r="I91" s="110">
        <f>G91/H91</f>
        <v>9.482107814844742</v>
      </c>
      <c r="J91" s="108">
        <v>81</v>
      </c>
    </row>
    <row r="92" spans="1:10" s="95" customFormat="1" ht="15">
      <c r="A92" s="96">
        <v>82</v>
      </c>
      <c r="B92" s="731" t="s">
        <v>61</v>
      </c>
      <c r="C92" s="431">
        <v>40669</v>
      </c>
      <c r="D92" s="440" t="s">
        <v>8</v>
      </c>
      <c r="E92" s="434">
        <v>20</v>
      </c>
      <c r="F92" s="4">
        <v>5</v>
      </c>
      <c r="G92" s="13">
        <v>154638</v>
      </c>
      <c r="H92" s="14">
        <v>13314</v>
      </c>
      <c r="I92" s="107">
        <f>+G92/H92</f>
        <v>11.614691302388463</v>
      </c>
      <c r="J92" s="108">
        <v>82</v>
      </c>
    </row>
    <row r="93" spans="1:10" s="95" customFormat="1" ht="15">
      <c r="A93" s="96">
        <v>83</v>
      </c>
      <c r="B93" s="796" t="s">
        <v>302</v>
      </c>
      <c r="C93" s="441">
        <v>40592</v>
      </c>
      <c r="D93" s="755" t="s">
        <v>8</v>
      </c>
      <c r="E93" s="756">
        <v>68</v>
      </c>
      <c r="F93" s="4">
        <v>6</v>
      </c>
      <c r="G93" s="13">
        <v>148435</v>
      </c>
      <c r="H93" s="14">
        <v>15321</v>
      </c>
      <c r="I93" s="228">
        <f>+G93/H93</f>
        <v>9.688336270478429</v>
      </c>
      <c r="J93" s="108">
        <v>83</v>
      </c>
    </row>
    <row r="94" spans="1:10" s="95" customFormat="1" ht="15">
      <c r="A94" s="96">
        <v>84</v>
      </c>
      <c r="B94" s="515" t="s">
        <v>21</v>
      </c>
      <c r="C94" s="431">
        <v>40620</v>
      </c>
      <c r="D94" s="432" t="s">
        <v>22</v>
      </c>
      <c r="E94" s="434">
        <v>218</v>
      </c>
      <c r="F94" s="4">
        <v>12</v>
      </c>
      <c r="G94" s="52">
        <f>13185+73231+37777+23268.5</f>
        <v>147461.5</v>
      </c>
      <c r="H94" s="49">
        <f>1138+8298+4612+3436</f>
        <v>17484</v>
      </c>
      <c r="I94" s="107">
        <f>+G94/H94</f>
        <v>8.434082589796386</v>
      </c>
      <c r="J94" s="108">
        <v>84</v>
      </c>
    </row>
    <row r="95" spans="1:10" s="95" customFormat="1" ht="15">
      <c r="A95" s="96">
        <v>85</v>
      </c>
      <c r="B95" s="516" t="s">
        <v>328</v>
      </c>
      <c r="C95" s="431">
        <v>40690</v>
      </c>
      <c r="D95" s="432" t="s">
        <v>24</v>
      </c>
      <c r="E95" s="434">
        <v>35</v>
      </c>
      <c r="F95" s="201">
        <v>2</v>
      </c>
      <c r="G95" s="745">
        <v>145812</v>
      </c>
      <c r="H95" s="761">
        <v>12100</v>
      </c>
      <c r="I95" s="107">
        <f>+G95/H95</f>
        <v>12.050578512396694</v>
      </c>
      <c r="J95" s="108">
        <v>85</v>
      </c>
    </row>
    <row r="96" spans="1:10" s="95" customFormat="1" ht="15">
      <c r="A96" s="96">
        <v>86</v>
      </c>
      <c r="B96" s="731" t="s">
        <v>43</v>
      </c>
      <c r="C96" s="431">
        <v>40648</v>
      </c>
      <c r="D96" s="440" t="s">
        <v>8</v>
      </c>
      <c r="E96" s="434">
        <v>10</v>
      </c>
      <c r="F96" s="4">
        <v>8</v>
      </c>
      <c r="G96" s="13">
        <v>143396</v>
      </c>
      <c r="H96" s="14">
        <v>12472</v>
      </c>
      <c r="I96" s="110">
        <f>G96/H96</f>
        <v>11.497434252726107</v>
      </c>
      <c r="J96" s="108">
        <v>86</v>
      </c>
    </row>
    <row r="97" spans="1:10" s="95" customFormat="1" ht="15">
      <c r="A97" s="96">
        <v>87</v>
      </c>
      <c r="B97" s="517" t="s">
        <v>44</v>
      </c>
      <c r="C97" s="431">
        <v>40648</v>
      </c>
      <c r="D97" s="432" t="s">
        <v>36</v>
      </c>
      <c r="E97" s="433">
        <v>28</v>
      </c>
      <c r="F97" s="101">
        <v>7</v>
      </c>
      <c r="G97" s="529">
        <f>67573+47761.5+14206.5+4949+3617+1080.5+492</f>
        <v>139679.5</v>
      </c>
      <c r="H97" s="530">
        <f>6695+4901+2068+559+504+215+178</f>
        <v>15120</v>
      </c>
      <c r="I97" s="453">
        <f>G97/H97</f>
        <v>9.238062169312169</v>
      </c>
      <c r="J97" s="108">
        <v>87</v>
      </c>
    </row>
    <row r="98" spans="1:10" s="95" customFormat="1" ht="15">
      <c r="A98" s="96">
        <v>88</v>
      </c>
      <c r="B98" s="798" t="s">
        <v>303</v>
      </c>
      <c r="C98" s="445">
        <v>40662</v>
      </c>
      <c r="D98" s="432" t="s">
        <v>36</v>
      </c>
      <c r="E98" s="567">
        <v>8</v>
      </c>
      <c r="F98" s="201">
        <v>5</v>
      </c>
      <c r="G98" s="15">
        <f>67674.75+46830+18110+1476+5524</f>
        <v>139614.75</v>
      </c>
      <c r="H98" s="12">
        <f>4668+3128+1120+94+406</f>
        <v>9416</v>
      </c>
      <c r="I98" s="107">
        <f>+G98/H98</f>
        <v>14.827394859813085</v>
      </c>
      <c r="J98" s="108">
        <v>88</v>
      </c>
    </row>
    <row r="99" spans="1:10" s="95" customFormat="1" ht="15">
      <c r="A99" s="96">
        <v>89</v>
      </c>
      <c r="B99" s="515" t="s">
        <v>63</v>
      </c>
      <c r="C99" s="431">
        <v>40655</v>
      </c>
      <c r="D99" s="432" t="s">
        <v>32</v>
      </c>
      <c r="E99" s="434">
        <v>67</v>
      </c>
      <c r="F99" s="201">
        <v>5</v>
      </c>
      <c r="G99" s="773">
        <f>67248.5+45099.5+15076+5484+3476</f>
        <v>136384</v>
      </c>
      <c r="H99" s="761">
        <f>9201+6328+2377+887+535</f>
        <v>19328</v>
      </c>
      <c r="I99" s="110">
        <f>G99/H99</f>
        <v>7.056291390728477</v>
      </c>
      <c r="J99" s="108">
        <v>89</v>
      </c>
    </row>
    <row r="100" spans="1:10" s="95" customFormat="1" ht="15">
      <c r="A100" s="96">
        <v>90</v>
      </c>
      <c r="B100" s="517" t="s">
        <v>51</v>
      </c>
      <c r="C100" s="431">
        <v>40655</v>
      </c>
      <c r="D100" s="432" t="s">
        <v>36</v>
      </c>
      <c r="E100" s="434">
        <v>15</v>
      </c>
      <c r="F100" s="201">
        <v>7</v>
      </c>
      <c r="G100" s="15">
        <f>41594+16674.5+20041.5+21789.5+6150+7886+17173.5</f>
        <v>131309</v>
      </c>
      <c r="H100" s="12">
        <f>4913+2342+2355+2524+869+1326+2610</f>
        <v>16939</v>
      </c>
      <c r="I100" s="110">
        <f>G100/H100</f>
        <v>7.751874372749277</v>
      </c>
      <c r="J100" s="108">
        <v>90</v>
      </c>
    </row>
    <row r="101" spans="1:10" s="95" customFormat="1" ht="15">
      <c r="A101" s="96">
        <v>91</v>
      </c>
      <c r="B101" s="795" t="s">
        <v>304</v>
      </c>
      <c r="C101" s="752">
        <v>40634</v>
      </c>
      <c r="D101" s="751" t="s">
        <v>305</v>
      </c>
      <c r="E101" s="753">
        <v>1</v>
      </c>
      <c r="F101" s="368">
        <v>3</v>
      </c>
      <c r="G101" s="376">
        <v>125780</v>
      </c>
      <c r="H101" s="377">
        <v>12578</v>
      </c>
      <c r="I101" s="220">
        <f>+G101/H101</f>
        <v>10</v>
      </c>
      <c r="J101" s="108">
        <v>91</v>
      </c>
    </row>
    <row r="102" spans="1:10" s="95" customFormat="1" ht="15">
      <c r="A102" s="96">
        <v>92</v>
      </c>
      <c r="B102" s="516" t="s">
        <v>349</v>
      </c>
      <c r="C102" s="445">
        <v>40697</v>
      </c>
      <c r="D102" s="432" t="s">
        <v>24</v>
      </c>
      <c r="E102" s="434">
        <v>20</v>
      </c>
      <c r="F102" s="201">
        <v>1</v>
      </c>
      <c r="G102" s="745">
        <v>124838</v>
      </c>
      <c r="H102" s="746">
        <v>10413</v>
      </c>
      <c r="I102" s="110">
        <f>G102/H102</f>
        <v>11.988668011139922</v>
      </c>
      <c r="J102" s="108">
        <v>92</v>
      </c>
    </row>
    <row r="103" spans="1:10" s="95" customFormat="1" ht="15">
      <c r="A103" s="96">
        <v>93</v>
      </c>
      <c r="B103" s="731" t="s">
        <v>329</v>
      </c>
      <c r="C103" s="431">
        <v>40690</v>
      </c>
      <c r="D103" s="440" t="s">
        <v>32</v>
      </c>
      <c r="E103" s="434">
        <v>50</v>
      </c>
      <c r="F103" s="201">
        <v>2</v>
      </c>
      <c r="G103" s="773">
        <f>76356.75+35939.25</f>
        <v>112296</v>
      </c>
      <c r="H103" s="761">
        <f>6986+3827</f>
        <v>10813</v>
      </c>
      <c r="I103" s="107">
        <f>+G103/H103</f>
        <v>10.385276981411264</v>
      </c>
      <c r="J103" s="108">
        <v>93</v>
      </c>
    </row>
    <row r="104" spans="1:10" s="95" customFormat="1" ht="15">
      <c r="A104" s="96">
        <v>94</v>
      </c>
      <c r="B104" s="801" t="s">
        <v>306</v>
      </c>
      <c r="C104" s="774">
        <v>40557</v>
      </c>
      <c r="D104" s="760" t="s">
        <v>70</v>
      </c>
      <c r="E104" s="775">
        <v>7</v>
      </c>
      <c r="F104" s="192">
        <v>13</v>
      </c>
      <c r="G104" s="193">
        <v>106233</v>
      </c>
      <c r="H104" s="194">
        <v>8418</v>
      </c>
      <c r="I104" s="534">
        <f>G104/H104</f>
        <v>12.619743406985032</v>
      </c>
      <c r="J104" s="108">
        <v>94</v>
      </c>
    </row>
    <row r="105" spans="1:10" s="95" customFormat="1" ht="15">
      <c r="A105" s="96">
        <v>95</v>
      </c>
      <c r="B105" s="799" t="s">
        <v>307</v>
      </c>
      <c r="C105" s="441">
        <v>40543</v>
      </c>
      <c r="D105" s="757" t="s">
        <v>22</v>
      </c>
      <c r="E105" s="758">
        <v>20</v>
      </c>
      <c r="F105" s="3">
        <v>12</v>
      </c>
      <c r="G105" s="52">
        <v>98710.5</v>
      </c>
      <c r="H105" s="49">
        <v>10570</v>
      </c>
      <c r="I105" s="228">
        <f>IF(G105&lt;&gt;0,G105/H105,"")</f>
        <v>9.338741721854305</v>
      </c>
      <c r="J105" s="108">
        <v>95</v>
      </c>
    </row>
    <row r="106" spans="1:10" s="95" customFormat="1" ht="15">
      <c r="A106" s="96">
        <v>96</v>
      </c>
      <c r="B106" s="798" t="s">
        <v>143</v>
      </c>
      <c r="C106" s="445">
        <v>40627</v>
      </c>
      <c r="D106" s="432" t="s">
        <v>36</v>
      </c>
      <c r="E106" s="446">
        <v>28</v>
      </c>
      <c r="F106" s="211">
        <v>11</v>
      </c>
      <c r="G106" s="15">
        <f>43236.5+18123.5+2183+2517+14418.5+7091+2412+1549+490+210+952</f>
        <v>93182.5</v>
      </c>
      <c r="H106" s="12">
        <f>4478+2475+287+545+1573+1026+361+242+30+145</f>
        <v>11162</v>
      </c>
      <c r="I106" s="107">
        <f>+G106/H106</f>
        <v>8.348190288478767</v>
      </c>
      <c r="J106" s="108">
        <v>96</v>
      </c>
    </row>
    <row r="107" spans="1:10" s="95" customFormat="1" ht="15">
      <c r="A107" s="96">
        <v>97</v>
      </c>
      <c r="B107" s="731" t="s">
        <v>91</v>
      </c>
      <c r="C107" s="431">
        <v>40655</v>
      </c>
      <c r="D107" s="439" t="s">
        <v>92</v>
      </c>
      <c r="E107" s="434">
        <v>10</v>
      </c>
      <c r="F107" s="125">
        <v>7</v>
      </c>
      <c r="G107" s="13">
        <v>90151</v>
      </c>
      <c r="H107" s="14">
        <v>8276</v>
      </c>
      <c r="I107" s="107">
        <f>+G107/H107</f>
        <v>10.893064282261962</v>
      </c>
      <c r="J107" s="108">
        <v>97</v>
      </c>
    </row>
    <row r="108" spans="1:10" s="95" customFormat="1" ht="15">
      <c r="A108" s="96">
        <v>98</v>
      </c>
      <c r="B108" s="804" t="s">
        <v>308</v>
      </c>
      <c r="C108" s="768">
        <v>40564</v>
      </c>
      <c r="D108" s="432" t="s">
        <v>36</v>
      </c>
      <c r="E108" s="769">
        <v>13</v>
      </c>
      <c r="F108" s="374">
        <v>7</v>
      </c>
      <c r="G108" s="15">
        <v>87903</v>
      </c>
      <c r="H108" s="12">
        <v>7337</v>
      </c>
      <c r="I108" s="220">
        <v>11.980782336104674</v>
      </c>
      <c r="J108" s="108">
        <v>98</v>
      </c>
    </row>
    <row r="109" spans="1:10" s="95" customFormat="1" ht="15">
      <c r="A109" s="96">
        <v>99</v>
      </c>
      <c r="B109" s="518" t="s">
        <v>69</v>
      </c>
      <c r="C109" s="438">
        <v>40676</v>
      </c>
      <c r="D109" s="437" t="s">
        <v>70</v>
      </c>
      <c r="E109" s="600">
        <v>15</v>
      </c>
      <c r="F109" s="232">
        <v>4</v>
      </c>
      <c r="G109" s="765">
        <v>84424.75</v>
      </c>
      <c r="H109" s="746">
        <v>6811</v>
      </c>
      <c r="I109" s="107">
        <f>+G109/H109</f>
        <v>12.395353105270885</v>
      </c>
      <c r="J109" s="108">
        <v>99</v>
      </c>
    </row>
    <row r="110" spans="1:10" s="95" customFormat="1" ht="15">
      <c r="A110" s="96">
        <v>100</v>
      </c>
      <c r="B110" s="794" t="s">
        <v>309</v>
      </c>
      <c r="C110" s="748">
        <v>40620</v>
      </c>
      <c r="D110" s="747" t="s">
        <v>169</v>
      </c>
      <c r="E110" s="749">
        <v>15</v>
      </c>
      <c r="F110" s="36">
        <v>5</v>
      </c>
      <c r="G110" s="247">
        <v>81762</v>
      </c>
      <c r="H110" s="248">
        <v>6140</v>
      </c>
      <c r="I110" s="220">
        <f>+G110/H110</f>
        <v>13.31628664495114</v>
      </c>
      <c r="J110" s="108">
        <v>100</v>
      </c>
    </row>
    <row r="111" spans="1:10" s="95" customFormat="1" ht="15">
      <c r="A111" s="96">
        <v>101</v>
      </c>
      <c r="B111" s="518" t="s">
        <v>79</v>
      </c>
      <c r="C111" s="438">
        <v>40683</v>
      </c>
      <c r="D111" s="437" t="s">
        <v>70</v>
      </c>
      <c r="E111" s="600">
        <v>33</v>
      </c>
      <c r="F111" s="232">
        <v>3</v>
      </c>
      <c r="G111" s="765">
        <v>81240.25</v>
      </c>
      <c r="H111" s="746">
        <v>9087</v>
      </c>
      <c r="I111" s="110">
        <f>G111/H111</f>
        <v>8.940271816881259</v>
      </c>
      <c r="J111" s="108">
        <v>101</v>
      </c>
    </row>
    <row r="112" spans="1:10" s="95" customFormat="1" ht="15">
      <c r="A112" s="96">
        <v>102</v>
      </c>
      <c r="B112" s="794" t="s">
        <v>310</v>
      </c>
      <c r="C112" s="748">
        <v>40543</v>
      </c>
      <c r="D112" s="747" t="s">
        <v>52</v>
      </c>
      <c r="E112" s="749">
        <v>37</v>
      </c>
      <c r="F112" s="36">
        <v>11</v>
      </c>
      <c r="G112" s="48">
        <v>70550.5</v>
      </c>
      <c r="H112" s="49">
        <v>10066</v>
      </c>
      <c r="I112" s="384">
        <f>G112/H112</f>
        <v>7.008791972978343</v>
      </c>
      <c r="J112" s="108">
        <v>102</v>
      </c>
    </row>
    <row r="113" spans="1:10" s="95" customFormat="1" ht="15">
      <c r="A113" s="96">
        <v>103</v>
      </c>
      <c r="B113" s="806" t="s">
        <v>311</v>
      </c>
      <c r="C113" s="776">
        <v>40543</v>
      </c>
      <c r="D113" s="759" t="s">
        <v>70</v>
      </c>
      <c r="E113" s="444">
        <v>2</v>
      </c>
      <c r="F113" s="232">
        <v>13</v>
      </c>
      <c r="G113" s="765">
        <v>69613.5</v>
      </c>
      <c r="H113" s="746">
        <v>5640</v>
      </c>
      <c r="I113" s="110">
        <f>G113/H113</f>
        <v>12.34281914893617</v>
      </c>
      <c r="J113" s="108">
        <v>103</v>
      </c>
    </row>
    <row r="114" spans="1:10" s="95" customFormat="1" ht="15">
      <c r="A114" s="96">
        <v>104</v>
      </c>
      <c r="B114" s="515" t="s">
        <v>85</v>
      </c>
      <c r="C114" s="431">
        <v>40655</v>
      </c>
      <c r="D114" s="432" t="s">
        <v>86</v>
      </c>
      <c r="E114" s="434">
        <v>5</v>
      </c>
      <c r="F114" s="125">
        <v>7</v>
      </c>
      <c r="G114" s="104">
        <v>62851</v>
      </c>
      <c r="H114" s="120">
        <v>9856</v>
      </c>
      <c r="I114" s="110">
        <f>G114/H114</f>
        <v>6.376927759740259</v>
      </c>
      <c r="J114" s="108">
        <v>104</v>
      </c>
    </row>
    <row r="115" spans="1:10" s="95" customFormat="1" ht="15">
      <c r="A115" s="96">
        <v>105</v>
      </c>
      <c r="B115" s="808" t="s">
        <v>312</v>
      </c>
      <c r="C115" s="768">
        <v>40585</v>
      </c>
      <c r="D115" s="767" t="s">
        <v>24</v>
      </c>
      <c r="E115" s="769">
        <v>13</v>
      </c>
      <c r="F115" s="374">
        <v>2</v>
      </c>
      <c r="G115" s="378">
        <v>60408</v>
      </c>
      <c r="H115" s="379">
        <v>4591</v>
      </c>
      <c r="I115" s="220">
        <v>13.157917664996733</v>
      </c>
      <c r="J115" s="108">
        <v>105</v>
      </c>
    </row>
    <row r="116" spans="1:10" s="95" customFormat="1" ht="15">
      <c r="A116" s="96">
        <v>106</v>
      </c>
      <c r="B116" s="515" t="s">
        <v>53</v>
      </c>
      <c r="C116" s="431">
        <v>40655</v>
      </c>
      <c r="D116" s="432" t="s">
        <v>52</v>
      </c>
      <c r="E116" s="434">
        <v>26</v>
      </c>
      <c r="F116" s="201">
        <v>7</v>
      </c>
      <c r="G116" s="48">
        <v>59075</v>
      </c>
      <c r="H116" s="49">
        <v>9123</v>
      </c>
      <c r="I116" s="107">
        <f>+G116/H116</f>
        <v>6.4753918667105115</v>
      </c>
      <c r="J116" s="108">
        <v>106</v>
      </c>
    </row>
    <row r="117" spans="1:10" s="95" customFormat="1" ht="15">
      <c r="A117" s="96">
        <v>107</v>
      </c>
      <c r="B117" s="517" t="s">
        <v>71</v>
      </c>
      <c r="C117" s="431">
        <v>40676</v>
      </c>
      <c r="D117" s="432" t="s">
        <v>36</v>
      </c>
      <c r="E117" s="434">
        <v>10</v>
      </c>
      <c r="F117" s="201">
        <v>4</v>
      </c>
      <c r="G117" s="15">
        <f>25538+8567.5+9964.5+12234</f>
        <v>56304</v>
      </c>
      <c r="H117" s="12">
        <f>2653+1137+1115+1743</f>
        <v>6648</v>
      </c>
      <c r="I117" s="110">
        <f>G117/H117</f>
        <v>8.469314079422382</v>
      </c>
      <c r="J117" s="108">
        <v>107</v>
      </c>
    </row>
    <row r="118" spans="1:10" s="95" customFormat="1" ht="15">
      <c r="A118" s="96">
        <v>108</v>
      </c>
      <c r="B118" s="518" t="s">
        <v>81</v>
      </c>
      <c r="C118" s="438">
        <v>40683</v>
      </c>
      <c r="D118" s="437" t="s">
        <v>70</v>
      </c>
      <c r="E118" s="600">
        <v>15</v>
      </c>
      <c r="F118" s="232">
        <v>3</v>
      </c>
      <c r="G118" s="778">
        <v>54883.25</v>
      </c>
      <c r="H118" s="761">
        <v>4239</v>
      </c>
      <c r="I118" s="110">
        <f>G118/H118</f>
        <v>12.94721632460486</v>
      </c>
      <c r="J118" s="108">
        <v>108</v>
      </c>
    </row>
    <row r="119" spans="1:10" s="95" customFormat="1" ht="15">
      <c r="A119" s="96">
        <v>109</v>
      </c>
      <c r="B119" s="517" t="s">
        <v>144</v>
      </c>
      <c r="C119" s="431">
        <v>40606</v>
      </c>
      <c r="D119" s="432" t="s">
        <v>36</v>
      </c>
      <c r="E119" s="433">
        <v>6</v>
      </c>
      <c r="F119" s="101">
        <v>11</v>
      </c>
      <c r="G119" s="119">
        <f>23509.5+4775.5+1638+419+8818.5+506+3133+2970+2646+2538+107</f>
        <v>51060.5</v>
      </c>
      <c r="H119" s="120">
        <f>1642+339+312+83+823+52+341+742+437+351+14</f>
        <v>5136</v>
      </c>
      <c r="I119" s="107">
        <f>+G119/H119</f>
        <v>9.94168613707165</v>
      </c>
      <c r="J119" s="108">
        <v>109</v>
      </c>
    </row>
    <row r="120" spans="1:10" s="95" customFormat="1" ht="15">
      <c r="A120" s="96">
        <v>110</v>
      </c>
      <c r="B120" s="809" t="s">
        <v>64</v>
      </c>
      <c r="C120" s="779">
        <v>40669</v>
      </c>
      <c r="D120" s="707" t="s">
        <v>70</v>
      </c>
      <c r="E120" s="780">
        <v>10</v>
      </c>
      <c r="F120" s="781">
        <v>5</v>
      </c>
      <c r="G120" s="778">
        <v>44252.25</v>
      </c>
      <c r="H120" s="761">
        <v>3359</v>
      </c>
      <c r="I120" s="110">
        <f>G120/H120</f>
        <v>13.174233402798452</v>
      </c>
      <c r="J120" s="108">
        <v>110</v>
      </c>
    </row>
    <row r="121" spans="1:10" s="95" customFormat="1" ht="15">
      <c r="A121" s="96">
        <v>111</v>
      </c>
      <c r="B121" s="795" t="s">
        <v>313</v>
      </c>
      <c r="C121" s="752">
        <v>40634</v>
      </c>
      <c r="D121" s="751" t="s">
        <v>314</v>
      </c>
      <c r="E121" s="753">
        <v>10</v>
      </c>
      <c r="F121" s="368">
        <v>5</v>
      </c>
      <c r="G121" s="376">
        <v>42084</v>
      </c>
      <c r="H121" s="377">
        <v>6690</v>
      </c>
      <c r="I121" s="220">
        <f>+G121/H121</f>
        <v>6.290582959641256</v>
      </c>
      <c r="J121" s="108">
        <v>111</v>
      </c>
    </row>
    <row r="122" spans="1:10" s="95" customFormat="1" ht="15">
      <c r="A122" s="96">
        <v>112</v>
      </c>
      <c r="B122" s="517" t="s">
        <v>33</v>
      </c>
      <c r="C122" s="431">
        <v>40634</v>
      </c>
      <c r="D122" s="432" t="s">
        <v>36</v>
      </c>
      <c r="E122" s="433">
        <v>15</v>
      </c>
      <c r="F122" s="101">
        <v>8</v>
      </c>
      <c r="G122" s="119">
        <f>24857+8396+642+3588+1398.5+758+731+306</f>
        <v>40676.5</v>
      </c>
      <c r="H122" s="120">
        <f>1900+772+80+693+212+86+92+46</f>
        <v>3881</v>
      </c>
      <c r="I122" s="107">
        <f>+G122/H122</f>
        <v>10.48093274929142</v>
      </c>
      <c r="J122" s="108">
        <v>112</v>
      </c>
    </row>
    <row r="123" spans="1:10" s="95" customFormat="1" ht="15">
      <c r="A123" s="96">
        <v>113</v>
      </c>
      <c r="B123" s="731" t="s">
        <v>82</v>
      </c>
      <c r="C123" s="431">
        <v>40683</v>
      </c>
      <c r="D123" s="439" t="s">
        <v>83</v>
      </c>
      <c r="E123" s="434">
        <v>10</v>
      </c>
      <c r="F123" s="125">
        <v>3</v>
      </c>
      <c r="G123" s="13">
        <v>39803</v>
      </c>
      <c r="H123" s="14">
        <v>3969</v>
      </c>
      <c r="I123" s="110">
        <f>G123/H123</f>
        <v>10.028470647518267</v>
      </c>
      <c r="J123" s="108">
        <v>113</v>
      </c>
    </row>
    <row r="124" spans="1:10" s="95" customFormat="1" ht="15">
      <c r="A124" s="96">
        <v>114</v>
      </c>
      <c r="B124" s="515" t="s">
        <v>350</v>
      </c>
      <c r="C124" s="443">
        <v>40697</v>
      </c>
      <c r="D124" s="432" t="s">
        <v>52</v>
      </c>
      <c r="E124" s="434">
        <v>49</v>
      </c>
      <c r="F124" s="125">
        <v>1</v>
      </c>
      <c r="G124" s="48">
        <v>39094.5</v>
      </c>
      <c r="H124" s="49">
        <v>4682</v>
      </c>
      <c r="I124" s="128">
        <f>+G124/H124</f>
        <v>8.349957283212303</v>
      </c>
      <c r="J124" s="108">
        <v>114</v>
      </c>
    </row>
    <row r="125" spans="1:10" s="95" customFormat="1" ht="15">
      <c r="A125" s="96">
        <v>115</v>
      </c>
      <c r="B125" s="518" t="s">
        <v>330</v>
      </c>
      <c r="C125" s="438">
        <v>40690</v>
      </c>
      <c r="D125" s="437" t="s">
        <v>70</v>
      </c>
      <c r="E125" s="600">
        <v>17</v>
      </c>
      <c r="F125" s="232">
        <v>2</v>
      </c>
      <c r="G125" s="765">
        <v>35682</v>
      </c>
      <c r="H125" s="746">
        <v>3614</v>
      </c>
      <c r="I125" s="110">
        <f>G125/H125</f>
        <v>9.873270614277809</v>
      </c>
      <c r="J125" s="108">
        <v>115</v>
      </c>
    </row>
    <row r="126" spans="1:10" s="95" customFormat="1" ht="15">
      <c r="A126" s="96">
        <v>116</v>
      </c>
      <c r="B126" s="806" t="s">
        <v>351</v>
      </c>
      <c r="C126" s="443">
        <v>40697</v>
      </c>
      <c r="D126" s="437" t="s">
        <v>70</v>
      </c>
      <c r="E126" s="772">
        <v>15</v>
      </c>
      <c r="F126" s="232">
        <v>1</v>
      </c>
      <c r="G126" s="765">
        <v>34298</v>
      </c>
      <c r="H126" s="746">
        <v>4015</v>
      </c>
      <c r="I126" s="110">
        <f>G126/H126</f>
        <v>8.542465753424658</v>
      </c>
      <c r="J126" s="108">
        <v>116</v>
      </c>
    </row>
    <row r="127" spans="1:10" s="95" customFormat="1" ht="15">
      <c r="A127" s="96">
        <v>117</v>
      </c>
      <c r="B127" s="517" t="s">
        <v>72</v>
      </c>
      <c r="C127" s="431">
        <v>40676</v>
      </c>
      <c r="D127" s="432" t="s">
        <v>36</v>
      </c>
      <c r="E127" s="434">
        <v>10</v>
      </c>
      <c r="F127" s="201">
        <v>5</v>
      </c>
      <c r="G127" s="15">
        <f>19776.5+5289.5+3941.5+4149</f>
        <v>33156.5</v>
      </c>
      <c r="H127" s="12">
        <f>2214+710+772+646</f>
        <v>4342</v>
      </c>
      <c r="I127" s="110">
        <f>G127/H127</f>
        <v>7.63622754491018</v>
      </c>
      <c r="J127" s="108">
        <v>117</v>
      </c>
    </row>
    <row r="128" spans="1:10" s="95" customFormat="1" ht="15">
      <c r="A128" s="96">
        <v>118</v>
      </c>
      <c r="B128" s="804" t="s">
        <v>315</v>
      </c>
      <c r="C128" s="768">
        <v>40606</v>
      </c>
      <c r="D128" s="767" t="s">
        <v>32</v>
      </c>
      <c r="E128" s="769">
        <v>30</v>
      </c>
      <c r="F128" s="374">
        <v>4</v>
      </c>
      <c r="G128" s="378">
        <v>32873.5</v>
      </c>
      <c r="H128" s="369">
        <v>5254</v>
      </c>
      <c r="I128" s="220">
        <v>6.25685192234488</v>
      </c>
      <c r="J128" s="108">
        <v>118</v>
      </c>
    </row>
    <row r="129" spans="1:10" s="95" customFormat="1" ht="15">
      <c r="A129" s="96">
        <v>119</v>
      </c>
      <c r="B129" s="515" t="s">
        <v>331</v>
      </c>
      <c r="C129" s="431">
        <v>40690</v>
      </c>
      <c r="D129" s="432" t="s">
        <v>36</v>
      </c>
      <c r="E129" s="434">
        <v>11</v>
      </c>
      <c r="F129" s="201">
        <v>2</v>
      </c>
      <c r="G129" s="15">
        <f>21135+10001</f>
        <v>31136</v>
      </c>
      <c r="H129" s="12">
        <f>2229+1334</f>
        <v>3563</v>
      </c>
      <c r="I129" s="110">
        <f>G129/H129</f>
        <v>8.738703339882122</v>
      </c>
      <c r="J129" s="108">
        <v>119</v>
      </c>
    </row>
    <row r="130" spans="1:10" s="95" customFormat="1" ht="15">
      <c r="A130" s="96">
        <v>120</v>
      </c>
      <c r="B130" s="517" t="s">
        <v>84</v>
      </c>
      <c r="C130" s="431">
        <v>40683</v>
      </c>
      <c r="D130" s="432" t="s">
        <v>36</v>
      </c>
      <c r="E130" s="434">
        <v>6</v>
      </c>
      <c r="F130" s="201">
        <v>3</v>
      </c>
      <c r="G130" s="15">
        <f>16905.5+10044+3710</f>
        <v>30659.5</v>
      </c>
      <c r="H130" s="12">
        <f>1241+811+837</f>
        <v>2889</v>
      </c>
      <c r="I130" s="107">
        <f>+G130/H130</f>
        <v>10.612495673243338</v>
      </c>
      <c r="J130" s="108">
        <v>120</v>
      </c>
    </row>
    <row r="131" spans="1:10" s="95" customFormat="1" ht="15">
      <c r="A131" s="96">
        <v>121</v>
      </c>
      <c r="B131" s="518" t="s">
        <v>317</v>
      </c>
      <c r="C131" s="438">
        <v>40662</v>
      </c>
      <c r="D131" s="432" t="s">
        <v>36</v>
      </c>
      <c r="E131" s="600">
        <v>10</v>
      </c>
      <c r="F131" s="201">
        <v>5</v>
      </c>
      <c r="G131" s="15">
        <f>12741+4425+5437.5+2837.5+1398</f>
        <v>26839</v>
      </c>
      <c r="H131" s="12">
        <f>1277+498+629+407+231</f>
        <v>3042</v>
      </c>
      <c r="I131" s="110">
        <f>G131/H131</f>
        <v>8.822813938198554</v>
      </c>
      <c r="J131" s="108">
        <v>121</v>
      </c>
    </row>
    <row r="132" spans="1:10" s="95" customFormat="1" ht="15">
      <c r="A132" s="96">
        <v>122</v>
      </c>
      <c r="B132" s="518" t="s">
        <v>30</v>
      </c>
      <c r="C132" s="438">
        <v>40627</v>
      </c>
      <c r="D132" s="437" t="s">
        <v>70</v>
      </c>
      <c r="E132" s="600">
        <v>2</v>
      </c>
      <c r="F132" s="232">
        <v>11</v>
      </c>
      <c r="G132" s="765">
        <v>26579.5</v>
      </c>
      <c r="H132" s="746">
        <v>3558</v>
      </c>
      <c r="I132" s="107">
        <f>+G132/H132</f>
        <v>7.4703485103991</v>
      </c>
      <c r="J132" s="108">
        <v>122</v>
      </c>
    </row>
    <row r="133" spans="1:10" s="95" customFormat="1" ht="15">
      <c r="A133" s="96">
        <v>123</v>
      </c>
      <c r="B133" s="794" t="s">
        <v>316</v>
      </c>
      <c r="C133" s="748">
        <v>40557</v>
      </c>
      <c r="D133" s="747" t="s">
        <v>169</v>
      </c>
      <c r="E133" s="749">
        <v>12</v>
      </c>
      <c r="F133" s="36">
        <v>7</v>
      </c>
      <c r="G133" s="247">
        <v>25081</v>
      </c>
      <c r="H133" s="248">
        <v>2782</v>
      </c>
      <c r="I133" s="252">
        <v>9.015456506110711</v>
      </c>
      <c r="J133" s="108">
        <v>123</v>
      </c>
    </row>
    <row r="134" spans="1:10" s="95" customFormat="1" ht="15">
      <c r="A134" s="96">
        <v>124</v>
      </c>
      <c r="B134" s="515" t="s">
        <v>65</v>
      </c>
      <c r="C134" s="431">
        <v>40669</v>
      </c>
      <c r="D134" s="432" t="s">
        <v>22</v>
      </c>
      <c r="E134" s="434">
        <v>9</v>
      </c>
      <c r="F134" s="4">
        <v>5</v>
      </c>
      <c r="G134" s="52">
        <f>10611.5+6246+3879+1660+2650</f>
        <v>25046.5</v>
      </c>
      <c r="H134" s="344">
        <f>1405+909+512+224+387</f>
        <v>3437</v>
      </c>
      <c r="I134" s="110">
        <f>G134/H134</f>
        <v>7.287314518475415</v>
      </c>
      <c r="J134" s="108">
        <v>124</v>
      </c>
    </row>
    <row r="135" spans="1:10" s="95" customFormat="1" ht="15">
      <c r="A135" s="96">
        <v>125</v>
      </c>
      <c r="B135" s="807" t="s">
        <v>318</v>
      </c>
      <c r="C135" s="748">
        <v>40550</v>
      </c>
      <c r="D135" s="432" t="s">
        <v>36</v>
      </c>
      <c r="E135" s="749">
        <v>2</v>
      </c>
      <c r="F135" s="192">
        <v>10</v>
      </c>
      <c r="G135" s="15">
        <f>8356+3109+3208+1189+694+1140+96+624+1782+356.5</f>
        <v>20554.5</v>
      </c>
      <c r="H135" s="12">
        <f>789+330+327+132+146+315+11+68+446+89</f>
        <v>2653</v>
      </c>
      <c r="I135" s="197">
        <f>G135/H135</f>
        <v>7.747644176404071</v>
      </c>
      <c r="J135" s="108">
        <v>125</v>
      </c>
    </row>
    <row r="136" spans="1:10" s="95" customFormat="1" ht="15">
      <c r="A136" s="96">
        <v>126</v>
      </c>
      <c r="B136" s="806" t="s">
        <v>57</v>
      </c>
      <c r="C136" s="443">
        <v>40662</v>
      </c>
      <c r="D136" s="437" t="s">
        <v>70</v>
      </c>
      <c r="E136" s="772">
        <v>2</v>
      </c>
      <c r="F136" s="232">
        <v>5</v>
      </c>
      <c r="G136" s="765">
        <v>19863.75</v>
      </c>
      <c r="H136" s="746">
        <v>2533</v>
      </c>
      <c r="I136" s="110">
        <f>G136/H136</f>
        <v>7.841985787603632</v>
      </c>
      <c r="J136" s="108">
        <v>126</v>
      </c>
    </row>
    <row r="137" spans="1:10" s="95" customFormat="1" ht="15">
      <c r="A137" s="96">
        <v>127</v>
      </c>
      <c r="B137" s="807" t="s">
        <v>319</v>
      </c>
      <c r="C137" s="748">
        <v>40662</v>
      </c>
      <c r="D137" s="432" t="s">
        <v>36</v>
      </c>
      <c r="E137" s="749">
        <v>10</v>
      </c>
      <c r="F137" s="36">
        <v>3</v>
      </c>
      <c r="G137" s="15">
        <f>12563.75+2983.5+2680</f>
        <v>18227.25</v>
      </c>
      <c r="H137" s="12">
        <f>1693+350+279</f>
        <v>2322</v>
      </c>
      <c r="I137" s="197">
        <f>G137/H137</f>
        <v>7.849806201550388</v>
      </c>
      <c r="J137" s="108">
        <v>127</v>
      </c>
    </row>
    <row r="138" spans="1:10" s="95" customFormat="1" ht="15">
      <c r="A138" s="96">
        <v>128</v>
      </c>
      <c r="B138" s="518" t="s">
        <v>321</v>
      </c>
      <c r="C138" s="443">
        <v>40564</v>
      </c>
      <c r="D138" s="437" t="s">
        <v>70</v>
      </c>
      <c r="E138" s="444">
        <v>1</v>
      </c>
      <c r="F138" s="239">
        <v>9</v>
      </c>
      <c r="G138" s="531">
        <v>14581</v>
      </c>
      <c r="H138" s="526">
        <v>1892</v>
      </c>
      <c r="I138" s="453">
        <f>G138/H138</f>
        <v>7.706659619450317</v>
      </c>
      <c r="J138" s="108">
        <v>128</v>
      </c>
    </row>
    <row r="139" spans="1:10" s="95" customFormat="1" ht="15">
      <c r="A139" s="96">
        <v>129</v>
      </c>
      <c r="B139" s="810" t="s">
        <v>320</v>
      </c>
      <c r="C139" s="783">
        <v>40620</v>
      </c>
      <c r="D139" s="782" t="s">
        <v>52</v>
      </c>
      <c r="E139" s="784">
        <v>1</v>
      </c>
      <c r="F139" s="785">
        <v>4</v>
      </c>
      <c r="G139" s="380">
        <v>14205</v>
      </c>
      <c r="H139" s="786">
        <v>1576</v>
      </c>
      <c r="I139" s="220">
        <v>9.013324873096447</v>
      </c>
      <c r="J139" s="108">
        <v>129</v>
      </c>
    </row>
    <row r="140" spans="1:10" s="95" customFormat="1" ht="15">
      <c r="A140" s="96">
        <v>130</v>
      </c>
      <c r="B140" s="515" t="s">
        <v>332</v>
      </c>
      <c r="C140" s="431">
        <v>40690</v>
      </c>
      <c r="D140" s="432" t="s">
        <v>22</v>
      </c>
      <c r="E140" s="434">
        <v>5</v>
      </c>
      <c r="F140" s="4">
        <v>2</v>
      </c>
      <c r="G140" s="52">
        <f>10523.5+2274</f>
        <v>12797.5</v>
      </c>
      <c r="H140" s="49">
        <f>1295+340</f>
        <v>1635</v>
      </c>
      <c r="I140" s="110">
        <f>G140/H140</f>
        <v>7.827217125382263</v>
      </c>
      <c r="J140" s="108">
        <v>130</v>
      </c>
    </row>
    <row r="141" spans="1:10" s="95" customFormat="1" ht="15">
      <c r="A141" s="96">
        <v>131</v>
      </c>
      <c r="B141" s="808" t="s">
        <v>322</v>
      </c>
      <c r="C141" s="787">
        <v>40564</v>
      </c>
      <c r="D141" s="777" t="s">
        <v>70</v>
      </c>
      <c r="E141" s="788">
        <v>3</v>
      </c>
      <c r="F141" s="789">
        <v>5</v>
      </c>
      <c r="G141" s="381">
        <v>12546.5</v>
      </c>
      <c r="H141" s="379">
        <v>891</v>
      </c>
      <c r="I141" s="220">
        <v>14.081369248035914</v>
      </c>
      <c r="J141" s="108">
        <v>131</v>
      </c>
    </row>
    <row r="142" spans="1:10" s="95" customFormat="1" ht="15">
      <c r="A142" s="96">
        <v>132</v>
      </c>
      <c r="B142" s="515" t="s">
        <v>89</v>
      </c>
      <c r="C142" s="431">
        <v>40655</v>
      </c>
      <c r="D142" s="432" t="s">
        <v>90</v>
      </c>
      <c r="E142" s="433">
        <v>1</v>
      </c>
      <c r="F142" s="101">
        <v>5</v>
      </c>
      <c r="G142" s="532">
        <v>10083</v>
      </c>
      <c r="H142" s="533">
        <v>1564</v>
      </c>
      <c r="I142" s="453">
        <f>G142/H142</f>
        <v>6.44693094629156</v>
      </c>
      <c r="J142" s="108">
        <v>132</v>
      </c>
    </row>
    <row r="143" spans="1:10" s="95" customFormat="1" ht="15">
      <c r="A143" s="96">
        <v>133</v>
      </c>
      <c r="B143" s="794" t="s">
        <v>323</v>
      </c>
      <c r="C143" s="748">
        <v>40592</v>
      </c>
      <c r="D143" s="747" t="s">
        <v>52</v>
      </c>
      <c r="E143" s="749">
        <v>3</v>
      </c>
      <c r="F143" s="192">
        <v>6</v>
      </c>
      <c r="G143" s="48">
        <v>9368</v>
      </c>
      <c r="H143" s="344">
        <v>1297</v>
      </c>
      <c r="I143" s="234">
        <f>G143/H143</f>
        <v>7.222821896684657</v>
      </c>
      <c r="J143" s="108">
        <v>133</v>
      </c>
    </row>
    <row r="144" spans="1:10" s="95" customFormat="1" ht="15">
      <c r="A144" s="96">
        <v>134</v>
      </c>
      <c r="B144" s="798" t="s">
        <v>73</v>
      </c>
      <c r="C144" s="445">
        <v>40676</v>
      </c>
      <c r="D144" s="432" t="s">
        <v>36</v>
      </c>
      <c r="E144" s="567">
        <v>3</v>
      </c>
      <c r="F144" s="201">
        <v>3</v>
      </c>
      <c r="G144" s="15">
        <f>6347+909.5+628</f>
        <v>7884.5</v>
      </c>
      <c r="H144" s="12">
        <f>404+81+65</f>
        <v>550</v>
      </c>
      <c r="I144" s="107">
        <f>+G144/H144</f>
        <v>14.335454545454546</v>
      </c>
      <c r="J144" s="108">
        <v>134</v>
      </c>
    </row>
    <row r="145" spans="1:10" s="95" customFormat="1" ht="15">
      <c r="A145" s="96">
        <v>135</v>
      </c>
      <c r="B145" s="798" t="s">
        <v>325</v>
      </c>
      <c r="C145" s="445">
        <v>40606</v>
      </c>
      <c r="D145" s="432" t="s">
        <v>36</v>
      </c>
      <c r="E145" s="446">
        <v>3</v>
      </c>
      <c r="F145" s="211">
        <v>7</v>
      </c>
      <c r="G145" s="15">
        <f>3944+1062+155+222+677+559+950</f>
        <v>7569</v>
      </c>
      <c r="H145" s="12">
        <f>424+116+24+26+92+116+142</f>
        <v>940</v>
      </c>
      <c r="I145" s="110">
        <f>G145/H145</f>
        <v>8.052127659574468</v>
      </c>
      <c r="J145" s="108">
        <v>135</v>
      </c>
    </row>
    <row r="146" spans="1:10" s="95" customFormat="1" ht="15">
      <c r="A146" s="96">
        <v>136</v>
      </c>
      <c r="B146" s="806" t="s">
        <v>352</v>
      </c>
      <c r="C146" s="443">
        <v>40697</v>
      </c>
      <c r="D146" s="437" t="s">
        <v>70</v>
      </c>
      <c r="E146" s="772">
        <v>2</v>
      </c>
      <c r="F146" s="232">
        <v>1</v>
      </c>
      <c r="G146" s="765">
        <v>7428.5</v>
      </c>
      <c r="H146" s="746">
        <v>523</v>
      </c>
      <c r="I146" s="107">
        <f>+G146/H146</f>
        <v>14.203632887189293</v>
      </c>
      <c r="J146" s="108">
        <v>136</v>
      </c>
    </row>
    <row r="147" spans="1:10" s="95" customFormat="1" ht="15">
      <c r="A147" s="96">
        <v>137</v>
      </c>
      <c r="B147" s="798" t="s">
        <v>353</v>
      </c>
      <c r="C147" s="445">
        <v>40697</v>
      </c>
      <c r="D147" s="432" t="s">
        <v>36</v>
      </c>
      <c r="E147" s="567">
        <v>6</v>
      </c>
      <c r="F147" s="201">
        <v>1</v>
      </c>
      <c r="G147" s="15">
        <f>7308.5</f>
        <v>7308.5</v>
      </c>
      <c r="H147" s="12">
        <f>676</f>
        <v>676</v>
      </c>
      <c r="I147" s="107">
        <f>+G147/H147</f>
        <v>10.81139053254438</v>
      </c>
      <c r="J147" s="108">
        <v>137</v>
      </c>
    </row>
    <row r="148" spans="1:10" s="95" customFormat="1" ht="15">
      <c r="A148" s="96">
        <v>138</v>
      </c>
      <c r="B148" s="801" t="s">
        <v>324</v>
      </c>
      <c r="C148" s="774">
        <v>40641</v>
      </c>
      <c r="D148" s="760" t="s">
        <v>70</v>
      </c>
      <c r="E148" s="775">
        <v>2</v>
      </c>
      <c r="F148" s="192">
        <v>5</v>
      </c>
      <c r="G148" s="193">
        <v>6790.5</v>
      </c>
      <c r="H148" s="194">
        <v>907</v>
      </c>
      <c r="I148" s="234">
        <f>G148/H148</f>
        <v>7.486769570011026</v>
      </c>
      <c r="J148" s="108">
        <v>138</v>
      </c>
    </row>
    <row r="149" spans="1:10" s="95" customFormat="1" ht="15">
      <c r="A149" s="96">
        <v>139</v>
      </c>
      <c r="B149" s="801" t="s">
        <v>326</v>
      </c>
      <c r="C149" s="748">
        <v>40669</v>
      </c>
      <c r="D149" s="750" t="s">
        <v>24</v>
      </c>
      <c r="E149" s="749">
        <v>2</v>
      </c>
      <c r="F149" s="36">
        <v>1</v>
      </c>
      <c r="G149" s="48">
        <v>4244</v>
      </c>
      <c r="H149" s="194">
        <v>341</v>
      </c>
      <c r="I149" s="234">
        <f>+G149/H149</f>
        <v>12.44574780058651</v>
      </c>
      <c r="J149" s="108">
        <v>139</v>
      </c>
    </row>
    <row r="150" spans="1:10" s="95" customFormat="1" ht="15">
      <c r="A150" s="96">
        <v>140</v>
      </c>
      <c r="B150" s="515" t="s">
        <v>54</v>
      </c>
      <c r="C150" s="431">
        <v>40627</v>
      </c>
      <c r="D150" s="432" t="s">
        <v>22</v>
      </c>
      <c r="E150" s="433">
        <v>2</v>
      </c>
      <c r="F150" s="101">
        <v>7</v>
      </c>
      <c r="G150" s="52">
        <f>2223.5+279.5+324+90+90+114+120</f>
        <v>3241</v>
      </c>
      <c r="H150" s="367">
        <f>155+19+39+15+15+20+20</f>
        <v>283</v>
      </c>
      <c r="I150" s="110">
        <f>G150/H150</f>
        <v>11.452296819787986</v>
      </c>
      <c r="J150" s="108">
        <v>140</v>
      </c>
    </row>
    <row r="151" spans="1:10" s="95" customFormat="1" ht="15.75" thickBot="1">
      <c r="A151" s="96">
        <v>141</v>
      </c>
      <c r="B151" s="811" t="s">
        <v>354</v>
      </c>
      <c r="C151" s="812">
        <v>40704</v>
      </c>
      <c r="D151" s="520" t="s">
        <v>36</v>
      </c>
      <c r="E151" s="627">
        <v>25</v>
      </c>
      <c r="F151" s="813">
        <v>0</v>
      </c>
      <c r="G151" s="814">
        <f>1507.5</f>
        <v>1507.5</v>
      </c>
      <c r="H151" s="815">
        <f>73</f>
        <v>73</v>
      </c>
      <c r="I151" s="143">
        <f>G151/H151</f>
        <v>20.65068493150685</v>
      </c>
      <c r="J151" s="108">
        <v>141</v>
      </c>
    </row>
    <row r="152" spans="1:9" s="95" customFormat="1" ht="15.75" thickBot="1">
      <c r="A152" s="145"/>
      <c r="C152" s="147"/>
      <c r="E152" s="146"/>
      <c r="F152" s="146"/>
      <c r="G152" s="148"/>
      <c r="H152" s="157"/>
      <c r="I152" s="152"/>
    </row>
    <row r="153" spans="1:10" s="158" customFormat="1" ht="12.75">
      <c r="A153" s="822" t="s">
        <v>98</v>
      </c>
      <c r="B153" s="823"/>
      <c r="C153" s="823"/>
      <c r="D153" s="823"/>
      <c r="E153" s="823"/>
      <c r="F153" s="823"/>
      <c r="G153" s="823"/>
      <c r="H153" s="823"/>
      <c r="I153" s="823"/>
      <c r="J153" s="824"/>
    </row>
    <row r="154" spans="1:10" s="158" customFormat="1" ht="12.75">
      <c r="A154" s="825"/>
      <c r="B154" s="826"/>
      <c r="C154" s="826"/>
      <c r="D154" s="826"/>
      <c r="E154" s="826"/>
      <c r="F154" s="826"/>
      <c r="G154" s="826"/>
      <c r="H154" s="826"/>
      <c r="I154" s="826"/>
      <c r="J154" s="827"/>
    </row>
    <row r="155" spans="1:10" s="158" customFormat="1" ht="12.75">
      <c r="A155" s="825"/>
      <c r="B155" s="826"/>
      <c r="C155" s="826"/>
      <c r="D155" s="826"/>
      <c r="E155" s="826"/>
      <c r="F155" s="826"/>
      <c r="G155" s="826"/>
      <c r="H155" s="826"/>
      <c r="I155" s="826"/>
      <c r="J155" s="827"/>
    </row>
    <row r="156" spans="1:10" s="158" customFormat="1" ht="12.75">
      <c r="A156" s="825"/>
      <c r="B156" s="826"/>
      <c r="C156" s="826"/>
      <c r="D156" s="826"/>
      <c r="E156" s="826"/>
      <c r="F156" s="826"/>
      <c r="G156" s="826"/>
      <c r="H156" s="826"/>
      <c r="I156" s="826"/>
      <c r="J156" s="827"/>
    </row>
    <row r="157" spans="1:10" s="158" customFormat="1" ht="12.75">
      <c r="A157" s="825"/>
      <c r="B157" s="826"/>
      <c r="C157" s="826"/>
      <c r="D157" s="826"/>
      <c r="E157" s="826"/>
      <c r="F157" s="826"/>
      <c r="G157" s="826"/>
      <c r="H157" s="826"/>
      <c r="I157" s="826"/>
      <c r="J157" s="827"/>
    </row>
    <row r="158" spans="1:10" s="158" customFormat="1" ht="13.5" thickBot="1">
      <c r="A158" s="828"/>
      <c r="B158" s="829"/>
      <c r="C158" s="829"/>
      <c r="D158" s="829"/>
      <c r="E158" s="829"/>
      <c r="F158" s="829"/>
      <c r="G158" s="829"/>
      <c r="H158" s="829"/>
      <c r="I158" s="829"/>
      <c r="J158" s="830"/>
    </row>
  </sheetData>
  <sheetProtection/>
  <mergeCells count="10">
    <mergeCell ref="A1:J1"/>
    <mergeCell ref="A2:J2"/>
    <mergeCell ref="A3:J3"/>
    <mergeCell ref="B6:E6"/>
    <mergeCell ref="G6:J6"/>
    <mergeCell ref="G7:H7"/>
    <mergeCell ref="A153:J158"/>
    <mergeCell ref="A4:C4"/>
    <mergeCell ref="A5:C5"/>
    <mergeCell ref="G5:J5"/>
  </mergeCells>
  <hyperlinks>
    <hyperlink ref="A3" r:id="rId1" display="http://www.antraktsinema.com"/>
  </hyperlinks>
  <printOptions/>
  <pageMargins left="0.75" right="0.75" top="1" bottom="1" header="0.5" footer="0.5"/>
  <pageSetup horizontalDpi="200" verticalDpi="200" orientation="portrait" paperSize="9" r:id="rId3"/>
  <ignoredErrors>
    <ignoredError sqref="I12:I33 I59:I70" formula="1"/>
    <ignoredError sqref="G19:H33 G39:H58 I39:I40 I52:I57 G67:H83 G88:H103 I88:I97" unlockedFormula="1"/>
    <ignoredError sqref="I41:I51 I58 I98:I103" formula="1" unlockedFormula="1"/>
    <ignoredError sqref="E77:F80" numberStoredAsText="1"/>
  </ignoredErrors>
  <drawing r:id="rId2"/>
</worksheet>
</file>

<file path=xl/worksheets/sheet3.xml><?xml version="1.0" encoding="utf-8"?>
<worksheet xmlns="http://schemas.openxmlformats.org/spreadsheetml/2006/main" xmlns:r="http://schemas.openxmlformats.org/officeDocument/2006/relationships">
  <dimension ref="A1:Q428"/>
  <sheetViews>
    <sheetView zoomScale="108" zoomScaleNormal="108" zoomScalePageLayoutView="0" workbookViewId="0" topLeftCell="A1">
      <pane xSplit="7" ySplit="10" topLeftCell="H11" activePane="bottomRight" state="frozen"/>
      <selection pane="topLeft" activeCell="A1" sqref="A1"/>
      <selection pane="topRight" activeCell="J1" sqref="J1"/>
      <selection pane="bottomLeft" activeCell="A11" sqref="A11"/>
      <selection pane="bottomRight" activeCell="A6" sqref="A6"/>
    </sheetView>
  </sheetViews>
  <sheetFormatPr defaultColWidth="4.421875" defaultRowHeight="12.75"/>
  <cols>
    <col min="1" max="1" width="4.421875" style="159" bestFit="1" customWidth="1"/>
    <col min="2" max="2" width="39.28125" style="162" bestFit="1" customWidth="1"/>
    <col min="3" max="3" width="7.8515625" style="163" bestFit="1" customWidth="1"/>
    <col min="4" max="4" width="19.7109375" style="163" bestFit="1" customWidth="1"/>
    <col min="5" max="5" width="5.8515625" style="163" bestFit="1" customWidth="1"/>
    <col min="6" max="6" width="6.140625" style="164" bestFit="1" customWidth="1"/>
    <col min="7" max="7" width="8.140625" style="165" bestFit="1" customWidth="1"/>
    <col min="8" max="8" width="17.140625" style="173" customWidth="1"/>
    <col min="9" max="9" width="15.7109375" style="173" customWidth="1"/>
    <col min="10" max="10" width="6.00390625" style="174" bestFit="1" customWidth="1"/>
    <col min="11" max="11" width="7.57421875" style="175" bestFit="1" customWidth="1"/>
    <col min="12" max="12" width="12.28125" style="162" bestFit="1" customWidth="1"/>
    <col min="13" max="13" width="8.8515625" style="162" bestFit="1" customWidth="1"/>
    <col min="14" max="14" width="9.140625" style="162" bestFit="1" customWidth="1"/>
    <col min="15" max="15" width="4.421875" style="162" bestFit="1" customWidth="1"/>
    <col min="16" max="20" width="6.8515625" style="162" customWidth="1"/>
    <col min="21" max="16384" width="4.421875" style="162" customWidth="1"/>
  </cols>
  <sheetData>
    <row r="1" spans="1:15" s="56" customFormat="1" ht="34.5">
      <c r="A1" s="866" t="s">
        <v>272</v>
      </c>
      <c r="B1" s="867"/>
      <c r="C1" s="867"/>
      <c r="D1" s="867"/>
      <c r="E1" s="867"/>
      <c r="F1" s="867"/>
      <c r="G1" s="867"/>
      <c r="H1" s="862"/>
      <c r="I1" s="862"/>
      <c r="J1" s="862"/>
      <c r="K1" s="862"/>
      <c r="L1" s="862"/>
      <c r="M1" s="862"/>
      <c r="N1" s="862"/>
      <c r="O1" s="862"/>
    </row>
    <row r="2" spans="1:15" s="56" customFormat="1" ht="18.75">
      <c r="A2" s="859" t="s">
        <v>276</v>
      </c>
      <c r="B2" s="868"/>
      <c r="C2" s="868"/>
      <c r="D2" s="868"/>
      <c r="E2" s="868"/>
      <c r="F2" s="868"/>
      <c r="G2" s="868"/>
      <c r="H2" s="177"/>
      <c r="I2" s="177"/>
      <c r="J2" s="177"/>
      <c r="K2" s="177"/>
      <c r="L2" s="177"/>
      <c r="M2" s="177"/>
      <c r="N2" s="177"/>
      <c r="O2" s="177"/>
    </row>
    <row r="3" spans="1:15" s="56" customFormat="1" ht="27" thickBot="1">
      <c r="A3" s="845" t="s">
        <v>154</v>
      </c>
      <c r="B3" s="846"/>
      <c r="C3" s="846"/>
      <c r="D3" s="846"/>
      <c r="E3" s="846"/>
      <c r="F3" s="846"/>
      <c r="G3" s="846"/>
      <c r="H3" s="178"/>
      <c r="I3" s="179"/>
      <c r="J3" s="182"/>
      <c r="K3" s="178"/>
      <c r="L3" s="179"/>
      <c r="M3" s="180"/>
      <c r="N3" s="181"/>
      <c r="O3" s="182"/>
    </row>
    <row r="4" spans="1:15" s="56" customFormat="1" ht="32.25">
      <c r="A4" s="869" t="s">
        <v>342</v>
      </c>
      <c r="B4" s="870"/>
      <c r="C4" s="870"/>
      <c r="D4" s="60"/>
      <c r="E4" s="60"/>
      <c r="F4" s="60"/>
      <c r="G4" s="60"/>
      <c r="H4" s="863"/>
      <c r="I4" s="864"/>
      <c r="J4" s="864"/>
      <c r="K4" s="185"/>
      <c r="L4" s="185"/>
      <c r="M4" s="186"/>
      <c r="N4" s="185"/>
      <c r="O4" s="185"/>
    </row>
    <row r="5" spans="1:15" s="56" customFormat="1" ht="33" thickBot="1">
      <c r="A5" s="853" t="s">
        <v>343</v>
      </c>
      <c r="B5" s="854"/>
      <c r="C5" s="854"/>
      <c r="D5" s="62"/>
      <c r="E5" s="62"/>
      <c r="F5" s="62"/>
      <c r="G5" s="62"/>
      <c r="H5" s="865"/>
      <c r="I5" s="855"/>
      <c r="J5" s="855"/>
      <c r="K5" s="855"/>
      <c r="L5" s="855"/>
      <c r="M5" s="855"/>
      <c r="N5" s="855"/>
      <c r="O5" s="855"/>
    </row>
    <row r="6" spans="1:15" s="65" customFormat="1" ht="15.75" customHeight="1" thickBot="1">
      <c r="A6" s="63"/>
      <c r="B6" s="818" t="s">
        <v>130</v>
      </c>
      <c r="C6" s="818"/>
      <c r="D6" s="818"/>
      <c r="E6" s="818"/>
      <c r="F6" s="818" t="s">
        <v>129</v>
      </c>
      <c r="G6" s="818"/>
      <c r="H6" s="818" t="s">
        <v>333</v>
      </c>
      <c r="I6" s="818"/>
      <c r="J6" s="818" t="s">
        <v>136</v>
      </c>
      <c r="K6" s="818"/>
      <c r="L6" s="818" t="s">
        <v>128</v>
      </c>
      <c r="M6" s="818"/>
      <c r="N6" s="818"/>
      <c r="O6" s="818"/>
    </row>
    <row r="7" spans="1:15" s="69" customFormat="1" ht="12.75" customHeight="1">
      <c r="A7" s="66"/>
      <c r="B7" s="1"/>
      <c r="C7" s="68" t="s">
        <v>99</v>
      </c>
      <c r="D7" s="1"/>
      <c r="E7" s="1" t="s">
        <v>102</v>
      </c>
      <c r="F7" s="1" t="s">
        <v>102</v>
      </c>
      <c r="G7" s="1" t="s">
        <v>104</v>
      </c>
      <c r="H7" s="819"/>
      <c r="I7" s="819"/>
      <c r="J7" s="816" t="s">
        <v>137</v>
      </c>
      <c r="K7" s="816"/>
      <c r="L7" s="816"/>
      <c r="M7" s="816"/>
      <c r="N7" s="67" t="s">
        <v>114</v>
      </c>
      <c r="O7" s="67"/>
    </row>
    <row r="8" spans="1:15" s="69" customFormat="1" ht="13.5" thickBot="1">
      <c r="A8" s="70"/>
      <c r="B8" s="72" t="s">
        <v>9</v>
      </c>
      <c r="C8" s="73" t="s">
        <v>100</v>
      </c>
      <c r="D8" s="74" t="s">
        <v>1</v>
      </c>
      <c r="E8" s="74" t="s">
        <v>101</v>
      </c>
      <c r="F8" s="74" t="s">
        <v>103</v>
      </c>
      <c r="G8" s="74" t="s">
        <v>99</v>
      </c>
      <c r="H8" s="75" t="s">
        <v>7</v>
      </c>
      <c r="I8" s="75" t="s">
        <v>6</v>
      </c>
      <c r="J8" s="76" t="s">
        <v>6</v>
      </c>
      <c r="K8" s="77" t="s">
        <v>115</v>
      </c>
      <c r="L8" s="71" t="s">
        <v>7</v>
      </c>
      <c r="M8" s="71" t="s">
        <v>6</v>
      </c>
      <c r="N8" s="71" t="s">
        <v>115</v>
      </c>
      <c r="O8" s="71"/>
    </row>
    <row r="9" spans="1:15" s="83" customFormat="1" ht="12.75" customHeight="1">
      <c r="A9" s="78"/>
      <c r="B9" s="78"/>
      <c r="C9" s="79" t="s">
        <v>106</v>
      </c>
      <c r="D9" s="78"/>
      <c r="E9" s="78" t="s">
        <v>109</v>
      </c>
      <c r="F9" s="78" t="s">
        <v>111</v>
      </c>
      <c r="G9" s="78" t="s">
        <v>112</v>
      </c>
      <c r="H9" s="81"/>
      <c r="I9" s="81"/>
      <c r="J9" s="817" t="s">
        <v>138</v>
      </c>
      <c r="K9" s="817"/>
      <c r="L9" s="82"/>
      <c r="M9" s="82"/>
      <c r="N9" s="80" t="s">
        <v>120</v>
      </c>
      <c r="O9" s="80"/>
    </row>
    <row r="10" spans="1:15" s="83" customFormat="1" ht="13.5" thickBot="1">
      <c r="A10" s="84"/>
      <c r="B10" s="359" t="s">
        <v>105</v>
      </c>
      <c r="C10" s="360" t="s">
        <v>107</v>
      </c>
      <c r="D10" s="361" t="s">
        <v>108</v>
      </c>
      <c r="E10" s="361" t="s">
        <v>110</v>
      </c>
      <c r="F10" s="361" t="s">
        <v>110</v>
      </c>
      <c r="G10" s="361" t="s">
        <v>113</v>
      </c>
      <c r="H10" s="362" t="s">
        <v>122</v>
      </c>
      <c r="I10" s="362" t="s">
        <v>119</v>
      </c>
      <c r="J10" s="363" t="s">
        <v>119</v>
      </c>
      <c r="K10" s="364" t="s">
        <v>121</v>
      </c>
      <c r="L10" s="365" t="s">
        <v>119</v>
      </c>
      <c r="M10" s="365" t="s">
        <v>121</v>
      </c>
      <c r="N10" s="365" t="s">
        <v>121</v>
      </c>
      <c r="O10" s="84"/>
    </row>
    <row r="11" spans="1:15" s="95" customFormat="1" ht="15">
      <c r="A11" s="91">
        <v>1</v>
      </c>
      <c r="B11" s="345">
        <v>120</v>
      </c>
      <c r="C11" s="351">
        <v>39493</v>
      </c>
      <c r="D11" s="353" t="s">
        <v>32</v>
      </c>
      <c r="E11" s="355">
        <v>179</v>
      </c>
      <c r="F11" s="355">
        <v>1</v>
      </c>
      <c r="G11" s="355">
        <v>47</v>
      </c>
      <c r="H11" s="471">
        <v>1919</v>
      </c>
      <c r="I11" s="472">
        <v>320</v>
      </c>
      <c r="J11" s="187">
        <f aca="true" t="shared" si="0" ref="J11:J17">(I11/F11)</f>
        <v>320</v>
      </c>
      <c r="K11" s="188">
        <f aca="true" t="shared" si="1" ref="K11:K17">H11/I11</f>
        <v>5.996875</v>
      </c>
      <c r="L11" s="357">
        <f>5039812.5+1919</f>
        <v>5041731.5</v>
      </c>
      <c r="M11" s="54">
        <f>1038442+320</f>
        <v>1038762</v>
      </c>
      <c r="N11" s="189">
        <f aca="true" t="shared" si="2" ref="N11:N17">L11/M11</f>
        <v>4.853596396479656</v>
      </c>
      <c r="O11" s="94">
        <v>1</v>
      </c>
    </row>
    <row r="12" spans="1:15" s="95" customFormat="1" ht="15">
      <c r="A12" s="96">
        <v>2</v>
      </c>
      <c r="B12" s="217" t="s">
        <v>156</v>
      </c>
      <c r="C12" s="202">
        <v>40095</v>
      </c>
      <c r="D12" s="352" t="s">
        <v>36</v>
      </c>
      <c r="E12" s="201">
        <v>22</v>
      </c>
      <c r="F12" s="201">
        <v>1</v>
      </c>
      <c r="G12" s="201">
        <v>20</v>
      </c>
      <c r="H12" s="473">
        <v>952</v>
      </c>
      <c r="I12" s="474">
        <v>238</v>
      </c>
      <c r="J12" s="118">
        <f t="shared" si="0"/>
        <v>238</v>
      </c>
      <c r="K12" s="195">
        <f t="shared" si="1"/>
        <v>4</v>
      </c>
      <c r="L12" s="9">
        <f>158809.5+140713.25+103696.25+38523+19360+17458+1188+196+2484+3158+1780+2933+1780+2461+6600.5+2668.5+440+441+476+952</f>
        <v>506118</v>
      </c>
      <c r="M12" s="8">
        <f>14214+13110+10683+4685+3074+2645+297+16+571+596+445+584+445+466+837+295+44+65+72+238</f>
        <v>53382</v>
      </c>
      <c r="N12" s="197">
        <f t="shared" si="2"/>
        <v>9.481061031808474</v>
      </c>
      <c r="O12" s="108">
        <v>2</v>
      </c>
    </row>
    <row r="13" spans="1:15" s="95" customFormat="1" ht="15">
      <c r="A13" s="96">
        <v>3</v>
      </c>
      <c r="B13" s="198" t="s">
        <v>157</v>
      </c>
      <c r="C13" s="34">
        <v>40417</v>
      </c>
      <c r="D13" s="199" t="s">
        <v>36</v>
      </c>
      <c r="E13" s="36">
        <v>25</v>
      </c>
      <c r="F13" s="36">
        <v>1</v>
      </c>
      <c r="G13" s="36">
        <v>15</v>
      </c>
      <c r="H13" s="475">
        <v>807</v>
      </c>
      <c r="I13" s="474">
        <v>102</v>
      </c>
      <c r="J13" s="118">
        <f t="shared" si="0"/>
        <v>102</v>
      </c>
      <c r="K13" s="200">
        <f t="shared" si="1"/>
        <v>7.911764705882353</v>
      </c>
      <c r="L13" s="27">
        <f>87475.5+57473+42134+23624+14854.5+21662+13363.5+5246+6057+2099+300.5+763+292.5+496.5+807</f>
        <v>276648</v>
      </c>
      <c r="M13" s="8">
        <f>7817+5228+5394+3109+2109+2845+2026+770+762+416+44+111+45+73+102</f>
        <v>30851</v>
      </c>
      <c r="N13" s="197">
        <f t="shared" si="2"/>
        <v>8.96722958737156</v>
      </c>
      <c r="O13" s="108">
        <v>3</v>
      </c>
    </row>
    <row r="14" spans="1:15" s="95" customFormat="1" ht="15">
      <c r="A14" s="96">
        <v>4</v>
      </c>
      <c r="B14" s="190" t="s">
        <v>158</v>
      </c>
      <c r="C14" s="34">
        <v>40172</v>
      </c>
      <c r="D14" s="31" t="s">
        <v>36</v>
      </c>
      <c r="E14" s="36">
        <v>60</v>
      </c>
      <c r="F14" s="36">
        <v>3</v>
      </c>
      <c r="G14" s="36">
        <v>32</v>
      </c>
      <c r="H14" s="473">
        <v>5074</v>
      </c>
      <c r="I14" s="474">
        <v>1267</v>
      </c>
      <c r="J14" s="118">
        <f t="shared" si="0"/>
        <v>422.3333333333333</v>
      </c>
      <c r="K14" s="195">
        <f t="shared" si="1"/>
        <v>4.004735595895817</v>
      </c>
      <c r="L14" s="9">
        <f>421775.5+397095.5+287050+215248.5+189819.5+180729.5+86816.5+23840+19148+14942.5+8798.5+9599+13618.5+4298+4028+3310+8547+6712.5+1803+1172+973+2291+380.5+3015+1103.5+65+2061.5+1262+1020+2232+2970+5074</f>
        <v>1920799.5</v>
      </c>
      <c r="M14" s="8">
        <f>43739+40732+31780+27356+25902+24895+12153+4496+3179+3069+1650+2236+3335+954+829+540+1945+1297+429+261+173+594+53+613+200+10+480+240+102+533+743+1267</f>
        <v>235785</v>
      </c>
      <c r="N14" s="197">
        <f t="shared" si="2"/>
        <v>8.146402442903492</v>
      </c>
      <c r="O14" s="108">
        <v>4</v>
      </c>
    </row>
    <row r="15" spans="1:15" s="95" customFormat="1" ht="15">
      <c r="A15" s="96">
        <v>5</v>
      </c>
      <c r="B15" s="190" t="s">
        <v>158</v>
      </c>
      <c r="C15" s="191">
        <v>40172</v>
      </c>
      <c r="D15" s="199" t="s">
        <v>36</v>
      </c>
      <c r="E15" s="201">
        <v>60</v>
      </c>
      <c r="F15" s="201">
        <v>2</v>
      </c>
      <c r="G15" s="201">
        <v>33</v>
      </c>
      <c r="H15" s="473">
        <v>2970</v>
      </c>
      <c r="I15" s="474">
        <v>742</v>
      </c>
      <c r="J15" s="118">
        <f t="shared" si="0"/>
        <v>371</v>
      </c>
      <c r="K15" s="195">
        <f t="shared" si="1"/>
        <v>4.002695417789758</v>
      </c>
      <c r="L15" s="9">
        <f>421775.5+397095.5+287050+215248.5+189819.5+180729.5+86816.5+23840+19148+14942.5+8798.5+9599+13618.5+4298+4028+3310+8547+6712.5+1803+1172+973+2291+380.5+3015+1103.5+65+2061.5+1262+1020+2232+2970+5074+2970</f>
        <v>1923769.5</v>
      </c>
      <c r="M15" s="8">
        <f>43739+40732+31780+27356+25902+24895+12153+4496+3179+3069+1650+2236+3335+954+829+540+1945+1297+429+261+173+594+53+613+200+10+480+240+102+533+743+1267+742</f>
        <v>236527</v>
      </c>
      <c r="N15" s="197">
        <f t="shared" si="2"/>
        <v>8.133403374667585</v>
      </c>
      <c r="O15" s="108">
        <v>5</v>
      </c>
    </row>
    <row r="16" spans="1:15" s="95" customFormat="1" ht="15">
      <c r="A16" s="96">
        <v>6</v>
      </c>
      <c r="B16" s="190" t="s">
        <v>158</v>
      </c>
      <c r="C16" s="202">
        <v>40172</v>
      </c>
      <c r="D16" s="199" t="s">
        <v>36</v>
      </c>
      <c r="E16" s="201">
        <v>60</v>
      </c>
      <c r="F16" s="201">
        <v>1</v>
      </c>
      <c r="G16" s="201">
        <v>34</v>
      </c>
      <c r="H16" s="475">
        <v>1188</v>
      </c>
      <c r="I16" s="476">
        <v>297</v>
      </c>
      <c r="J16" s="203">
        <f t="shared" si="0"/>
        <v>297</v>
      </c>
      <c r="K16" s="200">
        <f t="shared" si="1"/>
        <v>4</v>
      </c>
      <c r="L16" s="27">
        <f>421775.5+397095.5+287050+215248.5+189819.5+180729.5+86816.5+23840+19148+14942.5+8798.5+9599+13618.5+4298+4028+3310+8547+6712.5+1803+1172+973+2291+380.5+3015+1103.5+65+2061.5+1262+1020+2232+2970+5074+2970+1188</f>
        <v>1924957.5</v>
      </c>
      <c r="M16" s="24">
        <f>43739+40732+31780+27356+25902+24895+12153+4496+3179+3069+1650+2236+3335+954+829+540+1945+1297+429+261+173+594+53+613+200+10+480+240+102+533+743+1267+742+297</f>
        <v>236824</v>
      </c>
      <c r="N16" s="197">
        <f t="shared" si="2"/>
        <v>8.128219690571902</v>
      </c>
      <c r="O16" s="108">
        <v>6</v>
      </c>
    </row>
    <row r="17" spans="1:15" s="95" customFormat="1" ht="15">
      <c r="A17" s="96">
        <v>7</v>
      </c>
      <c r="B17" s="190" t="s">
        <v>158</v>
      </c>
      <c r="C17" s="34">
        <v>40172</v>
      </c>
      <c r="D17" s="204" t="s">
        <v>36</v>
      </c>
      <c r="E17" s="36">
        <v>60</v>
      </c>
      <c r="F17" s="36">
        <v>1</v>
      </c>
      <c r="G17" s="36">
        <v>35</v>
      </c>
      <c r="H17" s="473">
        <v>250</v>
      </c>
      <c r="I17" s="474">
        <v>28</v>
      </c>
      <c r="J17" s="118">
        <f t="shared" si="0"/>
        <v>28</v>
      </c>
      <c r="K17" s="195">
        <f t="shared" si="1"/>
        <v>8.928571428571429</v>
      </c>
      <c r="L17" s="9">
        <f>421775.5+397095.5+287050+215248.5+189819.5+180729.5+86816.5+23840+19148+14942.5+8798.5+9599+13618.5+4298+4028+3310+8547+6712.5+1803+1172+973+2291+380.5+3015+1103.5+65+2061.5+1262+1020+2232+2970+5074+2970+1188+250</f>
        <v>1925207.5</v>
      </c>
      <c r="M17" s="8">
        <f>43739+40732+31780+27356+25902+24895+12153+4496+3179+3069+1650+2236+3335+954+829+540+1945+1297+429+261+173+594+53+613+200+10+480+240+102+533+743+1267+742+297+28</f>
        <v>236852</v>
      </c>
      <c r="N17" s="197">
        <f t="shared" si="2"/>
        <v>8.128314305980105</v>
      </c>
      <c r="O17" s="108">
        <v>7</v>
      </c>
    </row>
    <row r="18" spans="1:15" s="95" customFormat="1" ht="15">
      <c r="A18" s="96">
        <v>8</v>
      </c>
      <c r="B18" s="190" t="s">
        <v>158</v>
      </c>
      <c r="C18" s="205">
        <v>40172</v>
      </c>
      <c r="D18" s="206" t="s">
        <v>36</v>
      </c>
      <c r="E18" s="207">
        <v>60</v>
      </c>
      <c r="F18" s="207">
        <v>1</v>
      </c>
      <c r="G18" s="207">
        <v>36</v>
      </c>
      <c r="H18" s="473">
        <v>200</v>
      </c>
      <c r="I18" s="474">
        <v>20</v>
      </c>
      <c r="J18" s="115">
        <v>20</v>
      </c>
      <c r="K18" s="208">
        <v>10</v>
      </c>
      <c r="L18" s="9">
        <v>1925407.5</v>
      </c>
      <c r="M18" s="8">
        <v>236872</v>
      </c>
      <c r="N18" s="197">
        <v>8.12847233949137</v>
      </c>
      <c r="O18" s="108">
        <v>8</v>
      </c>
    </row>
    <row r="19" spans="1:15" s="95" customFormat="1" ht="15">
      <c r="A19" s="96">
        <v>9</v>
      </c>
      <c r="B19" s="190" t="s">
        <v>158</v>
      </c>
      <c r="C19" s="34">
        <v>40172</v>
      </c>
      <c r="D19" s="31" t="s">
        <v>36</v>
      </c>
      <c r="E19" s="36">
        <v>60</v>
      </c>
      <c r="F19" s="36">
        <v>1</v>
      </c>
      <c r="G19" s="36">
        <v>37</v>
      </c>
      <c r="H19" s="473">
        <v>70</v>
      </c>
      <c r="I19" s="474">
        <v>7</v>
      </c>
      <c r="J19" s="118">
        <f aca="true" t="shared" si="3" ref="J19:J28">(I19/F19)</f>
        <v>7</v>
      </c>
      <c r="K19" s="195">
        <f aca="true" t="shared" si="4" ref="K19:K47">H19/I19</f>
        <v>10</v>
      </c>
      <c r="L19" s="9">
        <f>421775.5+397095.5+287050+215248.5+189819.5+180729.5+86816.5+23840+19148+14942.5+8798.5+9599+13618.5+4298+4028+3310+8547+6712.5+1803+1172+973+2291+380.5+3015+1103.5+65+2061.5+1262+1020+2232+2970+5074+2970+1188+250+200+70</f>
        <v>1925477.5</v>
      </c>
      <c r="M19" s="8">
        <f>43739+40732+31780+27356+25902+24895+12153+4496+3179+3069+1650+2236+3335+954+829+540+1945+1297+429+261+173+594+53+613+200+10+480+240+102+533+743+1267+742+297+28+20+7</f>
        <v>236879</v>
      </c>
      <c r="N19" s="197">
        <f aca="true" t="shared" si="5" ref="N19:N28">L19/M19</f>
        <v>8.128527644915758</v>
      </c>
      <c r="O19" s="108">
        <v>9</v>
      </c>
    </row>
    <row r="20" spans="1:15" s="95" customFormat="1" ht="15">
      <c r="A20" s="96">
        <v>10</v>
      </c>
      <c r="B20" s="209" t="s">
        <v>159</v>
      </c>
      <c r="C20" s="210">
        <v>40228</v>
      </c>
      <c r="D20" s="199" t="s">
        <v>36</v>
      </c>
      <c r="E20" s="211">
        <v>17</v>
      </c>
      <c r="F20" s="211">
        <v>1</v>
      </c>
      <c r="G20" s="211">
        <v>33</v>
      </c>
      <c r="H20" s="477">
        <v>1188</v>
      </c>
      <c r="I20" s="478">
        <v>297</v>
      </c>
      <c r="J20" s="212">
        <f t="shared" si="3"/>
        <v>297</v>
      </c>
      <c r="K20" s="213">
        <f t="shared" si="4"/>
        <v>4</v>
      </c>
      <c r="L20" s="214">
        <f>289107+1009.5+669+336+323+699+1238+121+1782+1782+1188</f>
        <v>298254.5</v>
      </c>
      <c r="M20" s="215">
        <f>30560+127+85+56+54+123+217+22+445+445+297</f>
        <v>32431</v>
      </c>
      <c r="N20" s="216">
        <f t="shared" si="5"/>
        <v>9.196586599241467</v>
      </c>
      <c r="O20" s="108">
        <v>10</v>
      </c>
    </row>
    <row r="21" spans="1:15" s="95" customFormat="1" ht="15">
      <c r="A21" s="96">
        <v>11</v>
      </c>
      <c r="B21" s="217" t="s">
        <v>243</v>
      </c>
      <c r="C21" s="32">
        <v>40123</v>
      </c>
      <c r="D21" s="199" t="s">
        <v>160</v>
      </c>
      <c r="E21" s="201">
        <v>144</v>
      </c>
      <c r="F21" s="201">
        <v>3</v>
      </c>
      <c r="G21" s="201">
        <v>23</v>
      </c>
      <c r="H21" s="473">
        <v>6416</v>
      </c>
      <c r="I21" s="474">
        <v>1604</v>
      </c>
      <c r="J21" s="118">
        <f t="shared" si="3"/>
        <v>534.6666666666666</v>
      </c>
      <c r="K21" s="218">
        <f t="shared" si="4"/>
        <v>4</v>
      </c>
      <c r="L21" s="9">
        <f>909778+593215.5+203934.5+91391+32233.5+29451.5+14597.5+12123.5+12906+13616+5350+7885.5+2130+3662+3564+2376+1780+1424+2848+1620+109+5940+6416</f>
        <v>1958351.5</v>
      </c>
      <c r="M21" s="8">
        <f>103944+67300+25860+13426+5611+5689+2739+1975+2803+2381+1177+1755+350+881+891+594+445+356+712+393+20+1485+1604</f>
        <v>242391</v>
      </c>
      <c r="N21" s="197">
        <f t="shared" si="5"/>
        <v>8.079307812583801</v>
      </c>
      <c r="O21" s="108">
        <v>11</v>
      </c>
    </row>
    <row r="22" spans="1:15" s="95" customFormat="1" ht="15">
      <c r="A22" s="96">
        <v>12</v>
      </c>
      <c r="B22" s="190" t="s">
        <v>161</v>
      </c>
      <c r="C22" s="34">
        <v>40459</v>
      </c>
      <c r="D22" s="31" t="s">
        <v>36</v>
      </c>
      <c r="E22" s="36">
        <v>142</v>
      </c>
      <c r="F22" s="36">
        <v>1</v>
      </c>
      <c r="G22" s="36">
        <v>19</v>
      </c>
      <c r="H22" s="473">
        <v>1188</v>
      </c>
      <c r="I22" s="474">
        <v>297</v>
      </c>
      <c r="J22" s="118">
        <f t="shared" si="3"/>
        <v>297</v>
      </c>
      <c r="K22" s="195">
        <f t="shared" si="4"/>
        <v>4</v>
      </c>
      <c r="L22" s="9">
        <f>569713+434829.5+295345.5+223420+26108+12415.5+5998+1904+1368+799+648+306+1782+594+1782+1425.5+3089+151+188</f>
        <v>1581866</v>
      </c>
      <c r="M22" s="8">
        <f>61050+47827+36467+29781+4601+2405+1000+284+287+123+103+51+445+113+446+267+708+24+297</f>
        <v>186279</v>
      </c>
      <c r="N22" s="197">
        <f t="shared" si="5"/>
        <v>8.49191803692311</v>
      </c>
      <c r="O22" s="108">
        <v>12</v>
      </c>
    </row>
    <row r="23" spans="1:15" s="95" customFormat="1" ht="15">
      <c r="A23" s="96">
        <v>13</v>
      </c>
      <c r="B23" s="190" t="s">
        <v>244</v>
      </c>
      <c r="C23" s="34">
        <v>40459</v>
      </c>
      <c r="D23" s="31" t="s">
        <v>36</v>
      </c>
      <c r="E23" s="36">
        <v>142</v>
      </c>
      <c r="F23" s="36">
        <v>2</v>
      </c>
      <c r="G23" s="36">
        <v>17</v>
      </c>
      <c r="H23" s="473">
        <v>3207.5</v>
      </c>
      <c r="I23" s="474">
        <v>725</v>
      </c>
      <c r="J23" s="118">
        <f t="shared" si="3"/>
        <v>362.5</v>
      </c>
      <c r="K23" s="195">
        <f t="shared" si="4"/>
        <v>4.424137931034482</v>
      </c>
      <c r="L23" s="9">
        <f>569713+434829.5+295345.5+223420+26108+12415.5+5998+1904+1368+799+648+306+1782+594+1782+1425.5+3207.5</f>
        <v>1581645.5</v>
      </c>
      <c r="M23" s="8">
        <f>61050+47827+36467+29781+4601+2405+1000+284+287+123+103+51+445+113+446+267+725</f>
        <v>185975</v>
      </c>
      <c r="N23" s="197">
        <f t="shared" si="5"/>
        <v>8.504613523323027</v>
      </c>
      <c r="O23" s="108">
        <v>13</v>
      </c>
    </row>
    <row r="24" spans="1:15" s="95" customFormat="1" ht="15">
      <c r="A24" s="96">
        <v>14</v>
      </c>
      <c r="B24" s="190" t="s">
        <v>244</v>
      </c>
      <c r="C24" s="34">
        <v>40459</v>
      </c>
      <c r="D24" s="199" t="s">
        <v>36</v>
      </c>
      <c r="E24" s="36">
        <v>142</v>
      </c>
      <c r="F24" s="36">
        <v>1</v>
      </c>
      <c r="G24" s="36">
        <v>15</v>
      </c>
      <c r="H24" s="473">
        <v>1782</v>
      </c>
      <c r="I24" s="474">
        <v>446</v>
      </c>
      <c r="J24" s="118">
        <f t="shared" si="3"/>
        <v>446</v>
      </c>
      <c r="K24" s="195">
        <f t="shared" si="4"/>
        <v>3.995515695067265</v>
      </c>
      <c r="L24" s="9">
        <f>569713+434829.5+295345.5+223420+26108+12415.5+5998+1904+1368+799+648+306+1782+594+1782</f>
        <v>1577012.5</v>
      </c>
      <c r="M24" s="8">
        <f>61050+47827+36467+29781+4601+2405+1000+284+287+123+103+51+445+113+446</f>
        <v>184983</v>
      </c>
      <c r="N24" s="197">
        <f t="shared" si="5"/>
        <v>8.525175286377667</v>
      </c>
      <c r="O24" s="108">
        <v>14</v>
      </c>
    </row>
    <row r="25" spans="1:15" s="95" customFormat="1" ht="15">
      <c r="A25" s="96">
        <v>15</v>
      </c>
      <c r="B25" s="198" t="s">
        <v>244</v>
      </c>
      <c r="C25" s="34">
        <v>40459</v>
      </c>
      <c r="D25" s="199" t="s">
        <v>36</v>
      </c>
      <c r="E25" s="36">
        <v>142</v>
      </c>
      <c r="F25" s="36">
        <v>1</v>
      </c>
      <c r="G25" s="36">
        <v>13</v>
      </c>
      <c r="H25" s="475">
        <v>1782</v>
      </c>
      <c r="I25" s="474">
        <v>445</v>
      </c>
      <c r="J25" s="118">
        <f t="shared" si="3"/>
        <v>445</v>
      </c>
      <c r="K25" s="200">
        <f t="shared" si="4"/>
        <v>4.004494382022472</v>
      </c>
      <c r="L25" s="27">
        <f>569713+434829.5+295345.5+223420+26108+12415.5+5998+1904+1368+799+648+306+1782</f>
        <v>1574636.5</v>
      </c>
      <c r="M25" s="8">
        <f>61050+47827+36467+29781+4601+2405+1000+284+287+123+103+51+445</f>
        <v>184424</v>
      </c>
      <c r="N25" s="197">
        <f t="shared" si="5"/>
        <v>8.538132238754175</v>
      </c>
      <c r="O25" s="108">
        <v>15</v>
      </c>
    </row>
    <row r="26" spans="1:15" s="95" customFormat="1" ht="15">
      <c r="A26" s="96">
        <v>16</v>
      </c>
      <c r="B26" s="217" t="s">
        <v>244</v>
      </c>
      <c r="C26" s="202">
        <v>40459</v>
      </c>
      <c r="D26" s="199" t="s">
        <v>36</v>
      </c>
      <c r="E26" s="201">
        <v>142</v>
      </c>
      <c r="F26" s="201">
        <v>1</v>
      </c>
      <c r="G26" s="201">
        <v>16</v>
      </c>
      <c r="H26" s="473">
        <v>1425.5</v>
      </c>
      <c r="I26" s="474">
        <v>267</v>
      </c>
      <c r="J26" s="118">
        <f t="shared" si="3"/>
        <v>267</v>
      </c>
      <c r="K26" s="195">
        <f t="shared" si="4"/>
        <v>5.3389513108614235</v>
      </c>
      <c r="L26" s="9">
        <f>569713+434829.5+295345.5+223420+26108+12415.5+5998+1904+1368+799+648+306+1782+594+1782+1425.5</f>
        <v>1578438</v>
      </c>
      <c r="M26" s="8">
        <f>61050+47827+36467+29781+4601+2405+1000+284+287+123+103+51+445+113+446+267</f>
        <v>185250</v>
      </c>
      <c r="N26" s="197">
        <f t="shared" si="5"/>
        <v>8.520582995951417</v>
      </c>
      <c r="O26" s="108">
        <v>16</v>
      </c>
    </row>
    <row r="27" spans="1:15" s="95" customFormat="1" ht="15">
      <c r="A27" s="96">
        <v>17</v>
      </c>
      <c r="B27" s="209" t="s">
        <v>244</v>
      </c>
      <c r="C27" s="210">
        <v>40459</v>
      </c>
      <c r="D27" s="199" t="s">
        <v>36</v>
      </c>
      <c r="E27" s="211">
        <v>142</v>
      </c>
      <c r="F27" s="211">
        <v>1</v>
      </c>
      <c r="G27" s="211">
        <v>14</v>
      </c>
      <c r="H27" s="477">
        <v>594</v>
      </c>
      <c r="I27" s="478">
        <v>113</v>
      </c>
      <c r="J27" s="212">
        <f t="shared" si="3"/>
        <v>113</v>
      </c>
      <c r="K27" s="213">
        <f t="shared" si="4"/>
        <v>5.256637168141593</v>
      </c>
      <c r="L27" s="214">
        <f>569713+434829.5+295345.5+223420+26108+12415.5+5998+1904+1368+799+648+306+1782+594</f>
        <v>1575230.5</v>
      </c>
      <c r="M27" s="215">
        <f>61050+47827+36467+29781+4601+2405+1000+284+287+123+103+51+445+113</f>
        <v>184537</v>
      </c>
      <c r="N27" s="216">
        <f t="shared" si="5"/>
        <v>8.53612283715461</v>
      </c>
      <c r="O27" s="108">
        <v>17</v>
      </c>
    </row>
    <row r="28" spans="1:15" s="95" customFormat="1" ht="15">
      <c r="A28" s="96">
        <v>18</v>
      </c>
      <c r="B28" s="190" t="s">
        <v>244</v>
      </c>
      <c r="C28" s="34">
        <v>40459</v>
      </c>
      <c r="D28" s="31" t="s">
        <v>36</v>
      </c>
      <c r="E28" s="36">
        <v>142</v>
      </c>
      <c r="F28" s="36">
        <v>1</v>
      </c>
      <c r="G28" s="36">
        <v>18</v>
      </c>
      <c r="H28" s="473">
        <v>151</v>
      </c>
      <c r="I28" s="474">
        <v>24</v>
      </c>
      <c r="J28" s="118">
        <f t="shared" si="3"/>
        <v>24</v>
      </c>
      <c r="K28" s="195">
        <f t="shared" si="4"/>
        <v>6.291666666666667</v>
      </c>
      <c r="L28" s="9">
        <f>569713+434829.5+295345.5+223420+26108+12415.5+5998+1904+1368+799+648+306+1782+594+1782+1425.5+3089+151</f>
        <v>1581678</v>
      </c>
      <c r="M28" s="8">
        <f>61050+47827+36467+29781+4601+2405+1000+284+287+123+103+51+445+113+446+267+708+24</f>
        <v>185982</v>
      </c>
      <c r="N28" s="197">
        <f t="shared" si="5"/>
        <v>8.504468174339452</v>
      </c>
      <c r="O28" s="108">
        <v>18</v>
      </c>
    </row>
    <row r="29" spans="1:15" s="95" customFormat="1" ht="15">
      <c r="A29" s="96">
        <v>19</v>
      </c>
      <c r="B29" s="219" t="s">
        <v>162</v>
      </c>
      <c r="C29" s="2">
        <v>40515</v>
      </c>
      <c r="D29" s="18" t="s">
        <v>10</v>
      </c>
      <c r="E29" s="3">
        <v>337</v>
      </c>
      <c r="F29" s="3">
        <v>2</v>
      </c>
      <c r="G29" s="3">
        <v>20</v>
      </c>
      <c r="H29" s="479">
        <v>4760</v>
      </c>
      <c r="I29" s="480">
        <v>1190</v>
      </c>
      <c r="J29" s="115">
        <f aca="true" t="shared" si="6" ref="J29:J45">I29/F29</f>
        <v>595</v>
      </c>
      <c r="K29" s="208">
        <f t="shared" si="4"/>
        <v>4</v>
      </c>
      <c r="L29" s="42">
        <v>19669236</v>
      </c>
      <c r="M29" s="47">
        <v>2103810</v>
      </c>
      <c r="N29" s="220">
        <f aca="true" t="shared" si="7" ref="N29:N45">+L29/M29</f>
        <v>9.349340482267886</v>
      </c>
      <c r="O29" s="108">
        <v>19</v>
      </c>
    </row>
    <row r="30" spans="1:15" s="95" customFormat="1" ht="15">
      <c r="A30" s="96">
        <v>20</v>
      </c>
      <c r="B30" s="347" t="s">
        <v>162</v>
      </c>
      <c r="C30" s="2">
        <v>40515</v>
      </c>
      <c r="D30" s="100" t="s">
        <v>10</v>
      </c>
      <c r="E30" s="101">
        <v>337</v>
      </c>
      <c r="F30" s="101">
        <v>1</v>
      </c>
      <c r="G30" s="101">
        <v>21</v>
      </c>
      <c r="H30" s="481">
        <v>4760</v>
      </c>
      <c r="I30" s="482">
        <v>1190</v>
      </c>
      <c r="J30" s="284">
        <f t="shared" si="6"/>
        <v>1190</v>
      </c>
      <c r="K30" s="451">
        <f t="shared" si="4"/>
        <v>4</v>
      </c>
      <c r="L30" s="39">
        <v>19673996</v>
      </c>
      <c r="M30" s="454">
        <v>2105000</v>
      </c>
      <c r="N30" s="452">
        <f t="shared" si="7"/>
        <v>9.346316389548694</v>
      </c>
      <c r="O30" s="108">
        <v>20</v>
      </c>
    </row>
    <row r="31" spans="1:15" s="95" customFormat="1" ht="15">
      <c r="A31" s="96">
        <v>21</v>
      </c>
      <c r="B31" s="221" t="s">
        <v>245</v>
      </c>
      <c r="C31" s="2">
        <v>40515</v>
      </c>
      <c r="D31" s="23" t="s">
        <v>10</v>
      </c>
      <c r="E31" s="3">
        <v>337</v>
      </c>
      <c r="F31" s="3">
        <v>349</v>
      </c>
      <c r="G31" s="3">
        <v>5</v>
      </c>
      <c r="H31" s="481">
        <v>1719523</v>
      </c>
      <c r="I31" s="480">
        <v>182375</v>
      </c>
      <c r="J31" s="115">
        <f t="shared" si="6"/>
        <v>522.5644699140402</v>
      </c>
      <c r="K31" s="222">
        <f t="shared" si="4"/>
        <v>9.4285017135024</v>
      </c>
      <c r="L31" s="39">
        <v>18655018</v>
      </c>
      <c r="M31" s="47">
        <v>1982618</v>
      </c>
      <c r="N31" s="220">
        <f t="shared" si="7"/>
        <v>9.409285096776081</v>
      </c>
      <c r="O31" s="108">
        <v>21</v>
      </c>
    </row>
    <row r="32" spans="1:15" s="95" customFormat="1" ht="15">
      <c r="A32" s="96">
        <v>22</v>
      </c>
      <c r="B32" s="219" t="s">
        <v>245</v>
      </c>
      <c r="C32" s="2">
        <v>40515</v>
      </c>
      <c r="D32" s="23" t="s">
        <v>10</v>
      </c>
      <c r="E32" s="3">
        <v>337</v>
      </c>
      <c r="F32" s="3">
        <v>292</v>
      </c>
      <c r="G32" s="3">
        <v>6</v>
      </c>
      <c r="H32" s="479">
        <v>638062</v>
      </c>
      <c r="I32" s="480">
        <v>72167</v>
      </c>
      <c r="J32" s="115">
        <f t="shared" si="6"/>
        <v>247.1472602739726</v>
      </c>
      <c r="K32" s="208">
        <f t="shared" si="4"/>
        <v>8.841464935496834</v>
      </c>
      <c r="L32" s="42">
        <v>19293080</v>
      </c>
      <c r="M32" s="47">
        <v>2054938</v>
      </c>
      <c r="N32" s="220">
        <f t="shared" si="7"/>
        <v>9.388643355663286</v>
      </c>
      <c r="O32" s="108">
        <v>22</v>
      </c>
    </row>
    <row r="33" spans="1:15" s="95" customFormat="1" ht="15">
      <c r="A33" s="96">
        <v>23</v>
      </c>
      <c r="B33" s="223" t="s">
        <v>245</v>
      </c>
      <c r="C33" s="2">
        <v>40515</v>
      </c>
      <c r="D33" s="16" t="s">
        <v>10</v>
      </c>
      <c r="E33" s="4">
        <v>337</v>
      </c>
      <c r="F33" s="4">
        <v>128</v>
      </c>
      <c r="G33" s="4">
        <v>7</v>
      </c>
      <c r="H33" s="479">
        <v>271404</v>
      </c>
      <c r="I33" s="480">
        <v>30669</v>
      </c>
      <c r="J33" s="115">
        <f t="shared" si="6"/>
        <v>239.6015625</v>
      </c>
      <c r="K33" s="208">
        <f t="shared" si="4"/>
        <v>8.849457106524504</v>
      </c>
      <c r="L33" s="42">
        <v>19564484</v>
      </c>
      <c r="M33" s="47">
        <v>2085607</v>
      </c>
      <c r="N33" s="220">
        <f t="shared" si="7"/>
        <v>9.380714583332335</v>
      </c>
      <c r="O33" s="108">
        <v>23</v>
      </c>
    </row>
    <row r="34" spans="1:15" s="95" customFormat="1" ht="15">
      <c r="A34" s="96">
        <v>24</v>
      </c>
      <c r="B34" s="221" t="s">
        <v>245</v>
      </c>
      <c r="C34" s="2">
        <v>40515</v>
      </c>
      <c r="D34" s="18" t="s">
        <v>10</v>
      </c>
      <c r="E34" s="3">
        <v>337</v>
      </c>
      <c r="F34" s="3">
        <v>32</v>
      </c>
      <c r="G34" s="3">
        <v>8</v>
      </c>
      <c r="H34" s="479">
        <v>59187</v>
      </c>
      <c r="I34" s="480">
        <v>7792</v>
      </c>
      <c r="J34" s="115">
        <f t="shared" si="6"/>
        <v>243.5</v>
      </c>
      <c r="K34" s="208">
        <f t="shared" si="4"/>
        <v>7.595867556468172</v>
      </c>
      <c r="L34" s="42">
        <v>19623671</v>
      </c>
      <c r="M34" s="47">
        <v>2093399</v>
      </c>
      <c r="N34" s="220">
        <f t="shared" si="7"/>
        <v>9.374071068152798</v>
      </c>
      <c r="O34" s="108">
        <v>24</v>
      </c>
    </row>
    <row r="35" spans="1:15" s="95" customFormat="1" ht="15">
      <c r="A35" s="96">
        <v>25</v>
      </c>
      <c r="B35" s="219" t="s">
        <v>245</v>
      </c>
      <c r="C35" s="2">
        <v>40515</v>
      </c>
      <c r="D35" s="18" t="s">
        <v>10</v>
      </c>
      <c r="E35" s="3">
        <v>337</v>
      </c>
      <c r="F35" s="3">
        <v>2</v>
      </c>
      <c r="G35" s="3">
        <v>18</v>
      </c>
      <c r="H35" s="479">
        <v>9524</v>
      </c>
      <c r="I35" s="480">
        <v>2381</v>
      </c>
      <c r="J35" s="115">
        <f t="shared" si="6"/>
        <v>1190.5</v>
      </c>
      <c r="K35" s="208">
        <f t="shared" si="4"/>
        <v>4</v>
      </c>
      <c r="L35" s="42">
        <v>19662096</v>
      </c>
      <c r="M35" s="47">
        <v>2102025</v>
      </c>
      <c r="N35" s="220">
        <f t="shared" si="7"/>
        <v>9.353883041352981</v>
      </c>
      <c r="O35" s="108">
        <v>25</v>
      </c>
    </row>
    <row r="36" spans="1:15" s="95" customFormat="1" ht="15">
      <c r="A36" s="96">
        <v>26</v>
      </c>
      <c r="B36" s="223" t="s">
        <v>245</v>
      </c>
      <c r="C36" s="17">
        <v>40515</v>
      </c>
      <c r="D36" s="16" t="s">
        <v>10</v>
      </c>
      <c r="E36" s="4">
        <v>337</v>
      </c>
      <c r="F36" s="4">
        <v>3</v>
      </c>
      <c r="G36" s="4">
        <v>12</v>
      </c>
      <c r="H36" s="479">
        <v>7416</v>
      </c>
      <c r="I36" s="480">
        <v>1461</v>
      </c>
      <c r="J36" s="115">
        <f t="shared" si="6"/>
        <v>487</v>
      </c>
      <c r="K36" s="208">
        <f t="shared" si="4"/>
        <v>5.075975359342916</v>
      </c>
      <c r="L36" s="42">
        <v>19636508</v>
      </c>
      <c r="M36" s="47">
        <v>2095488</v>
      </c>
      <c r="N36" s="220">
        <f t="shared" si="7"/>
        <v>9.370852040193025</v>
      </c>
      <c r="O36" s="108">
        <v>26</v>
      </c>
    </row>
    <row r="37" spans="1:15" s="95" customFormat="1" ht="15">
      <c r="A37" s="96">
        <v>27</v>
      </c>
      <c r="B37" s="219" t="s">
        <v>245</v>
      </c>
      <c r="C37" s="2">
        <v>40515</v>
      </c>
      <c r="D37" s="18" t="s">
        <v>10</v>
      </c>
      <c r="E37" s="3">
        <v>337</v>
      </c>
      <c r="F37" s="3">
        <v>2</v>
      </c>
      <c r="G37" s="3">
        <v>17</v>
      </c>
      <c r="H37" s="479">
        <v>7143</v>
      </c>
      <c r="I37" s="480">
        <v>1422</v>
      </c>
      <c r="J37" s="115">
        <f t="shared" si="6"/>
        <v>711</v>
      </c>
      <c r="K37" s="208">
        <f t="shared" si="4"/>
        <v>5.023206751054852</v>
      </c>
      <c r="L37" s="42">
        <v>19652572</v>
      </c>
      <c r="M37" s="47">
        <v>2099644</v>
      </c>
      <c r="N37" s="220">
        <f t="shared" si="7"/>
        <v>9.359954354166707</v>
      </c>
      <c r="O37" s="108">
        <v>27</v>
      </c>
    </row>
    <row r="38" spans="1:15" s="95" customFormat="1" ht="15">
      <c r="A38" s="96">
        <v>28</v>
      </c>
      <c r="B38" s="219" t="s">
        <v>245</v>
      </c>
      <c r="C38" s="2">
        <v>40515</v>
      </c>
      <c r="D38" s="18" t="s">
        <v>10</v>
      </c>
      <c r="E38" s="3">
        <v>337</v>
      </c>
      <c r="F38" s="3">
        <v>6</v>
      </c>
      <c r="G38" s="3">
        <v>9</v>
      </c>
      <c r="H38" s="479">
        <v>3519</v>
      </c>
      <c r="I38" s="480">
        <v>429</v>
      </c>
      <c r="J38" s="115">
        <f t="shared" si="6"/>
        <v>71.5</v>
      </c>
      <c r="K38" s="208">
        <f t="shared" si="4"/>
        <v>8.202797202797203</v>
      </c>
      <c r="L38" s="42">
        <v>19627190</v>
      </c>
      <c r="M38" s="47">
        <v>2093828</v>
      </c>
      <c r="N38" s="220">
        <f t="shared" si="7"/>
        <v>9.373831088322442</v>
      </c>
      <c r="O38" s="108">
        <v>28</v>
      </c>
    </row>
    <row r="39" spans="1:15" s="95" customFormat="1" ht="15">
      <c r="A39" s="96">
        <v>29</v>
      </c>
      <c r="B39" s="219" t="s">
        <v>245</v>
      </c>
      <c r="C39" s="2">
        <v>40515</v>
      </c>
      <c r="D39" s="18" t="s">
        <v>10</v>
      </c>
      <c r="E39" s="3">
        <v>337</v>
      </c>
      <c r="F39" s="3">
        <v>1</v>
      </c>
      <c r="G39" s="3">
        <v>19</v>
      </c>
      <c r="H39" s="479">
        <v>2380</v>
      </c>
      <c r="I39" s="480">
        <v>595</v>
      </c>
      <c r="J39" s="115">
        <f t="shared" si="6"/>
        <v>595</v>
      </c>
      <c r="K39" s="222">
        <f t="shared" si="4"/>
        <v>4</v>
      </c>
      <c r="L39" s="42">
        <v>19664476</v>
      </c>
      <c r="M39" s="47">
        <v>2102620</v>
      </c>
      <c r="N39" s="220">
        <f t="shared" si="7"/>
        <v>9.352367998021515</v>
      </c>
      <c r="O39" s="108">
        <v>29</v>
      </c>
    </row>
    <row r="40" spans="1:15" s="95" customFormat="1" ht="15">
      <c r="A40" s="96">
        <v>30</v>
      </c>
      <c r="B40" s="223" t="s">
        <v>245</v>
      </c>
      <c r="C40" s="17">
        <v>40515</v>
      </c>
      <c r="D40" s="16" t="s">
        <v>10</v>
      </c>
      <c r="E40" s="4">
        <v>337</v>
      </c>
      <c r="F40" s="4">
        <v>1</v>
      </c>
      <c r="G40" s="4">
        <v>13</v>
      </c>
      <c r="H40" s="481">
        <v>2380</v>
      </c>
      <c r="I40" s="482">
        <v>476</v>
      </c>
      <c r="J40" s="224">
        <f t="shared" si="6"/>
        <v>476</v>
      </c>
      <c r="K40" s="222">
        <f t="shared" si="4"/>
        <v>5</v>
      </c>
      <c r="L40" s="39">
        <v>19638888</v>
      </c>
      <c r="M40" s="454">
        <v>2095964</v>
      </c>
      <c r="N40" s="220">
        <f t="shared" si="7"/>
        <v>9.369859405982163</v>
      </c>
      <c r="O40" s="108">
        <v>30</v>
      </c>
    </row>
    <row r="41" spans="1:15" s="95" customFormat="1" ht="15">
      <c r="A41" s="96">
        <v>31</v>
      </c>
      <c r="B41" s="219" t="s">
        <v>245</v>
      </c>
      <c r="C41" s="2">
        <v>40515</v>
      </c>
      <c r="D41" s="18" t="s">
        <v>10</v>
      </c>
      <c r="E41" s="3">
        <v>337</v>
      </c>
      <c r="F41" s="3">
        <v>1</v>
      </c>
      <c r="G41" s="3">
        <v>15</v>
      </c>
      <c r="H41" s="479">
        <v>2380</v>
      </c>
      <c r="I41" s="480">
        <v>476</v>
      </c>
      <c r="J41" s="115">
        <f t="shared" si="6"/>
        <v>476</v>
      </c>
      <c r="K41" s="208">
        <f t="shared" si="4"/>
        <v>5</v>
      </c>
      <c r="L41" s="42">
        <v>19643049</v>
      </c>
      <c r="M41" s="47">
        <v>2097746</v>
      </c>
      <c r="N41" s="220">
        <f t="shared" si="7"/>
        <v>9.363883425352736</v>
      </c>
      <c r="O41" s="108">
        <v>31</v>
      </c>
    </row>
    <row r="42" spans="1:15" s="95" customFormat="1" ht="15">
      <c r="A42" s="96">
        <v>32</v>
      </c>
      <c r="B42" s="223" t="s">
        <v>245</v>
      </c>
      <c r="C42" s="20">
        <v>40515</v>
      </c>
      <c r="D42" s="16" t="s">
        <v>10</v>
      </c>
      <c r="E42" s="4">
        <v>337</v>
      </c>
      <c r="F42" s="4">
        <v>1</v>
      </c>
      <c r="G42" s="4">
        <v>16</v>
      </c>
      <c r="H42" s="479">
        <v>2380</v>
      </c>
      <c r="I42" s="480">
        <v>476</v>
      </c>
      <c r="J42" s="115">
        <f t="shared" si="6"/>
        <v>476</v>
      </c>
      <c r="K42" s="225">
        <f t="shared" si="4"/>
        <v>5</v>
      </c>
      <c r="L42" s="42">
        <v>19645429</v>
      </c>
      <c r="M42" s="47">
        <v>2098222</v>
      </c>
      <c r="N42" s="220">
        <f t="shared" si="7"/>
        <v>9.362893440255608</v>
      </c>
      <c r="O42" s="108">
        <v>32</v>
      </c>
    </row>
    <row r="43" spans="1:15" s="95" customFormat="1" ht="15">
      <c r="A43" s="96">
        <v>33</v>
      </c>
      <c r="B43" s="219" t="s">
        <v>245</v>
      </c>
      <c r="C43" s="2">
        <v>40515</v>
      </c>
      <c r="D43" s="18" t="s">
        <v>10</v>
      </c>
      <c r="E43" s="3">
        <v>337</v>
      </c>
      <c r="F43" s="3">
        <v>1</v>
      </c>
      <c r="G43" s="3">
        <v>14</v>
      </c>
      <c r="H43" s="479">
        <v>1781</v>
      </c>
      <c r="I43" s="480">
        <v>1306</v>
      </c>
      <c r="J43" s="115">
        <f t="shared" si="6"/>
        <v>1306</v>
      </c>
      <c r="K43" s="208">
        <f t="shared" si="4"/>
        <v>1.3637059724349159</v>
      </c>
      <c r="L43" s="42">
        <v>19640669</v>
      </c>
      <c r="M43" s="47">
        <v>2097270</v>
      </c>
      <c r="N43" s="220">
        <f t="shared" si="7"/>
        <v>9.364873859827298</v>
      </c>
      <c r="O43" s="108">
        <v>33</v>
      </c>
    </row>
    <row r="44" spans="1:15" s="95" customFormat="1" ht="15">
      <c r="A44" s="96">
        <v>34</v>
      </c>
      <c r="B44" s="223" t="s">
        <v>245</v>
      </c>
      <c r="C44" s="2">
        <v>40515</v>
      </c>
      <c r="D44" s="16" t="s">
        <v>10</v>
      </c>
      <c r="E44" s="4">
        <v>337</v>
      </c>
      <c r="F44" s="4">
        <v>3</v>
      </c>
      <c r="G44" s="4">
        <v>10</v>
      </c>
      <c r="H44" s="479">
        <v>1124</v>
      </c>
      <c r="I44" s="480">
        <v>121</v>
      </c>
      <c r="J44" s="115">
        <f t="shared" si="6"/>
        <v>40.333333333333336</v>
      </c>
      <c r="K44" s="208">
        <f t="shared" si="4"/>
        <v>9.289256198347108</v>
      </c>
      <c r="L44" s="42">
        <v>19628314</v>
      </c>
      <c r="M44" s="47">
        <v>2093949</v>
      </c>
      <c r="N44" s="220">
        <f t="shared" si="7"/>
        <v>9.37382620111569</v>
      </c>
      <c r="O44" s="108">
        <v>34</v>
      </c>
    </row>
    <row r="45" spans="1:15" s="95" customFormat="1" ht="15">
      <c r="A45" s="96">
        <v>35</v>
      </c>
      <c r="B45" s="219" t="s">
        <v>245</v>
      </c>
      <c r="C45" s="2">
        <v>40515</v>
      </c>
      <c r="D45" s="18" t="s">
        <v>10</v>
      </c>
      <c r="E45" s="3">
        <v>337</v>
      </c>
      <c r="F45" s="3">
        <v>2</v>
      </c>
      <c r="G45" s="3">
        <v>11</v>
      </c>
      <c r="H45" s="479">
        <v>778</v>
      </c>
      <c r="I45" s="480">
        <v>78</v>
      </c>
      <c r="J45" s="115">
        <f t="shared" si="6"/>
        <v>39</v>
      </c>
      <c r="K45" s="208">
        <f t="shared" si="4"/>
        <v>9.974358974358974</v>
      </c>
      <c r="L45" s="42">
        <v>19629092</v>
      </c>
      <c r="M45" s="47">
        <v>2094027</v>
      </c>
      <c r="N45" s="220">
        <f t="shared" si="7"/>
        <v>9.373848570242886</v>
      </c>
      <c r="O45" s="108">
        <v>35</v>
      </c>
    </row>
    <row r="46" spans="1:15" s="95" customFormat="1" ht="15">
      <c r="A46" s="96">
        <v>36</v>
      </c>
      <c r="B46" s="226" t="s">
        <v>163</v>
      </c>
      <c r="C46" s="34">
        <v>40165</v>
      </c>
      <c r="D46" s="31" t="s">
        <v>36</v>
      </c>
      <c r="E46" s="36">
        <v>150</v>
      </c>
      <c r="F46" s="36">
        <v>2</v>
      </c>
      <c r="G46" s="36">
        <v>45</v>
      </c>
      <c r="H46" s="473">
        <v>7038.5</v>
      </c>
      <c r="I46" s="474">
        <v>964</v>
      </c>
      <c r="J46" s="118">
        <f>(I46/F46)</f>
        <v>482</v>
      </c>
      <c r="K46" s="195">
        <f t="shared" si="4"/>
        <v>7.301348547717843</v>
      </c>
      <c r="L46" s="9">
        <f>26351050.5+1782+1045+250+135084.5+75530.5+42949.5+5302.5+6113+4133+420+7038.5</f>
        <v>26630699</v>
      </c>
      <c r="M46" s="8">
        <f>2457871+446+113+30+11058+6318+3444+432+464+353+42+964</f>
        <v>2481535</v>
      </c>
      <c r="N46" s="197">
        <v>10.72108768116797</v>
      </c>
      <c r="O46" s="108">
        <v>36</v>
      </c>
    </row>
    <row r="47" spans="1:15" s="95" customFormat="1" ht="15">
      <c r="A47" s="96">
        <v>37</v>
      </c>
      <c r="B47" s="190" t="s">
        <v>163</v>
      </c>
      <c r="C47" s="34">
        <v>40165</v>
      </c>
      <c r="D47" s="31" t="s">
        <v>36</v>
      </c>
      <c r="E47" s="36">
        <v>150</v>
      </c>
      <c r="F47" s="36">
        <v>1</v>
      </c>
      <c r="G47" s="36">
        <v>45</v>
      </c>
      <c r="H47" s="473">
        <v>950.5</v>
      </c>
      <c r="I47" s="474">
        <v>238</v>
      </c>
      <c r="J47" s="118">
        <f>(I47/F47)</f>
        <v>238</v>
      </c>
      <c r="K47" s="195">
        <f t="shared" si="4"/>
        <v>3.9936974789915967</v>
      </c>
      <c r="L47" s="9">
        <f>26351050.5+1782+1045+250+135084.5+75530.5+42949.5+5302.5+6113+4133+420+7038.5+950.5</f>
        <v>26631649.5</v>
      </c>
      <c r="M47" s="8">
        <f>2457871+446+113+30+11058+6318+3444+432+464+353+42+964+238</f>
        <v>2481773</v>
      </c>
      <c r="N47" s="197">
        <v>10.72108768116797</v>
      </c>
      <c r="O47" s="108">
        <v>37</v>
      </c>
    </row>
    <row r="48" spans="1:15" s="95" customFormat="1" ht="15">
      <c r="A48" s="96">
        <v>38</v>
      </c>
      <c r="B48" s="223" t="s">
        <v>246</v>
      </c>
      <c r="C48" s="2">
        <v>40249</v>
      </c>
      <c r="D48" s="16" t="s">
        <v>22</v>
      </c>
      <c r="E48" s="4">
        <v>116</v>
      </c>
      <c r="F48" s="4">
        <v>1</v>
      </c>
      <c r="G48" s="4">
        <v>30</v>
      </c>
      <c r="H48" s="483">
        <v>3020</v>
      </c>
      <c r="I48" s="484">
        <v>604</v>
      </c>
      <c r="J48" s="102">
        <f>+I48/F48</f>
        <v>604</v>
      </c>
      <c r="K48" s="227">
        <f>+H48/I48</f>
        <v>5</v>
      </c>
      <c r="L48" s="40">
        <f>1547543.25+3020+3020</f>
        <v>1553583.25</v>
      </c>
      <c r="M48" s="44">
        <f>209803+604+604</f>
        <v>211011</v>
      </c>
      <c r="N48" s="228">
        <f>IF(L48&lt;&gt;0,L48/M48,"")</f>
        <v>7.36256996080773</v>
      </c>
      <c r="O48" s="108">
        <v>38</v>
      </c>
    </row>
    <row r="49" spans="1:15" s="95" customFormat="1" ht="15">
      <c r="A49" s="96">
        <v>39</v>
      </c>
      <c r="B49" s="221" t="s">
        <v>164</v>
      </c>
      <c r="C49" s="2">
        <v>40466</v>
      </c>
      <c r="D49" s="23" t="s">
        <v>22</v>
      </c>
      <c r="E49" s="3">
        <v>10</v>
      </c>
      <c r="F49" s="3">
        <v>2</v>
      </c>
      <c r="G49" s="3">
        <v>7</v>
      </c>
      <c r="H49" s="485">
        <v>325</v>
      </c>
      <c r="I49" s="484">
        <v>44</v>
      </c>
      <c r="J49" s="102">
        <f>IF(H49&lt;&gt;0,I49/F49,"")</f>
        <v>22</v>
      </c>
      <c r="K49" s="229">
        <f>IF(H49&lt;&gt;0,H49/I49,"")</f>
        <v>7.386363636363637</v>
      </c>
      <c r="L49" s="38">
        <f>7088+2486+815+33+201+698+H49</f>
        <v>11646</v>
      </c>
      <c r="M49" s="44">
        <f>735+318+126+5+29+108+I49</f>
        <v>1365</v>
      </c>
      <c r="N49" s="228">
        <f>IF(L49&lt;&gt;0,L49/M49,"")</f>
        <v>8.531868131868132</v>
      </c>
      <c r="O49" s="108">
        <v>39</v>
      </c>
    </row>
    <row r="50" spans="1:15" s="95" customFormat="1" ht="15">
      <c r="A50" s="96">
        <v>40</v>
      </c>
      <c r="B50" s="223" t="s">
        <v>164</v>
      </c>
      <c r="C50" s="2">
        <v>40466</v>
      </c>
      <c r="D50" s="16" t="s">
        <v>22</v>
      </c>
      <c r="E50" s="4">
        <v>10</v>
      </c>
      <c r="F50" s="4">
        <v>1</v>
      </c>
      <c r="G50" s="4">
        <v>8</v>
      </c>
      <c r="H50" s="483">
        <v>251</v>
      </c>
      <c r="I50" s="484">
        <v>68</v>
      </c>
      <c r="J50" s="102">
        <f>IF(H50&lt;&gt;0,I50/F50,"")</f>
        <v>68</v>
      </c>
      <c r="K50" s="227">
        <f>IF(H50&lt;&gt;0,H50/I50,"")</f>
        <v>3.6911764705882355</v>
      </c>
      <c r="L50" s="40">
        <f>7088+2486+815+33+201+698+325+251</f>
        <v>11897</v>
      </c>
      <c r="M50" s="44">
        <f>735+318+126+5+29+108+44+68</f>
        <v>1433</v>
      </c>
      <c r="N50" s="228">
        <f>IF(L50&lt;&gt;0,L50/M50,"")</f>
        <v>8.302163293789253</v>
      </c>
      <c r="O50" s="108">
        <v>40</v>
      </c>
    </row>
    <row r="51" spans="1:15" s="95" customFormat="1" ht="15">
      <c r="A51" s="96">
        <v>41</v>
      </c>
      <c r="B51" s="230" t="s">
        <v>165</v>
      </c>
      <c r="C51" s="191">
        <v>40529</v>
      </c>
      <c r="D51" s="231" t="s">
        <v>166</v>
      </c>
      <c r="E51" s="232">
        <v>5</v>
      </c>
      <c r="F51" s="232">
        <v>5</v>
      </c>
      <c r="G51" s="232">
        <v>4</v>
      </c>
      <c r="H51" s="486">
        <v>4388</v>
      </c>
      <c r="I51" s="487">
        <v>375</v>
      </c>
      <c r="J51" s="45">
        <f aca="true" t="shared" si="8" ref="J51:J57">I51/F51</f>
        <v>75</v>
      </c>
      <c r="K51" s="233">
        <f aca="true" t="shared" si="9" ref="K51:K59">H51/I51</f>
        <v>11.701333333333332</v>
      </c>
      <c r="L51" s="196">
        <v>19557</v>
      </c>
      <c r="M51" s="45">
        <v>1795</v>
      </c>
      <c r="N51" s="234">
        <f aca="true" t="shared" si="10" ref="N51:N59">L51/M51</f>
        <v>10.895264623955432</v>
      </c>
      <c r="O51" s="108">
        <v>41</v>
      </c>
    </row>
    <row r="52" spans="1:15" s="95" customFormat="1" ht="15">
      <c r="A52" s="96">
        <v>42</v>
      </c>
      <c r="B52" s="235" t="s">
        <v>165</v>
      </c>
      <c r="C52" s="191">
        <v>40529</v>
      </c>
      <c r="D52" s="236" t="s">
        <v>166</v>
      </c>
      <c r="E52" s="192">
        <v>5</v>
      </c>
      <c r="F52" s="192">
        <v>3</v>
      </c>
      <c r="G52" s="192">
        <v>5</v>
      </c>
      <c r="H52" s="486">
        <v>3391</v>
      </c>
      <c r="I52" s="487">
        <v>400</v>
      </c>
      <c r="J52" s="45">
        <f t="shared" si="8"/>
        <v>133.33333333333334</v>
      </c>
      <c r="K52" s="233">
        <f t="shared" si="9"/>
        <v>8.4775</v>
      </c>
      <c r="L52" s="196">
        <v>22948</v>
      </c>
      <c r="M52" s="45">
        <v>2195</v>
      </c>
      <c r="N52" s="234">
        <f t="shared" si="10"/>
        <v>10.454669703872437</v>
      </c>
      <c r="O52" s="108">
        <v>42</v>
      </c>
    </row>
    <row r="53" spans="1:15" s="95" customFormat="1" ht="15">
      <c r="A53" s="96">
        <v>43</v>
      </c>
      <c r="B53" s="190" t="s">
        <v>165</v>
      </c>
      <c r="C53" s="34">
        <v>40529</v>
      </c>
      <c r="D53" s="31" t="s">
        <v>70</v>
      </c>
      <c r="E53" s="36">
        <v>5</v>
      </c>
      <c r="F53" s="36">
        <v>1</v>
      </c>
      <c r="G53" s="36">
        <v>9</v>
      </c>
      <c r="H53" s="486">
        <v>3025</v>
      </c>
      <c r="I53" s="487">
        <v>605</v>
      </c>
      <c r="J53" s="44">
        <f t="shared" si="8"/>
        <v>605</v>
      </c>
      <c r="K53" s="244">
        <f t="shared" si="9"/>
        <v>5</v>
      </c>
      <c r="L53" s="41">
        <v>30459</v>
      </c>
      <c r="M53" s="44">
        <v>3466</v>
      </c>
      <c r="N53" s="234">
        <f t="shared" si="10"/>
        <v>8.78793998845932</v>
      </c>
      <c r="O53" s="108">
        <v>43</v>
      </c>
    </row>
    <row r="54" spans="1:15" s="95" customFormat="1" ht="15">
      <c r="A54" s="96">
        <v>44</v>
      </c>
      <c r="B54" s="237" t="s">
        <v>165</v>
      </c>
      <c r="C54" s="238">
        <v>40529</v>
      </c>
      <c r="D54" s="231" t="s">
        <v>166</v>
      </c>
      <c r="E54" s="239">
        <v>5</v>
      </c>
      <c r="F54" s="239">
        <v>5</v>
      </c>
      <c r="G54" s="239">
        <v>6</v>
      </c>
      <c r="H54" s="488">
        <v>2708</v>
      </c>
      <c r="I54" s="489">
        <v>400</v>
      </c>
      <c r="J54" s="240">
        <f t="shared" si="8"/>
        <v>80</v>
      </c>
      <c r="K54" s="241">
        <f t="shared" si="9"/>
        <v>6.77</v>
      </c>
      <c r="L54" s="242">
        <v>25656</v>
      </c>
      <c r="M54" s="240">
        <v>2595</v>
      </c>
      <c r="N54" s="243">
        <f t="shared" si="10"/>
        <v>9.88670520231214</v>
      </c>
      <c r="O54" s="108">
        <v>44</v>
      </c>
    </row>
    <row r="55" spans="1:15" s="95" customFormat="1" ht="15">
      <c r="A55" s="96">
        <v>45</v>
      </c>
      <c r="B55" s="235" t="s">
        <v>165</v>
      </c>
      <c r="C55" s="191">
        <v>40529</v>
      </c>
      <c r="D55" s="231" t="s">
        <v>166</v>
      </c>
      <c r="E55" s="192">
        <v>5</v>
      </c>
      <c r="F55" s="192">
        <v>4</v>
      </c>
      <c r="G55" s="192">
        <v>3</v>
      </c>
      <c r="H55" s="490">
        <v>2473</v>
      </c>
      <c r="I55" s="487">
        <v>284</v>
      </c>
      <c r="J55" s="45">
        <f t="shared" si="8"/>
        <v>71</v>
      </c>
      <c r="K55" s="244">
        <f t="shared" si="9"/>
        <v>8.70774647887324</v>
      </c>
      <c r="L55" s="245">
        <v>15169</v>
      </c>
      <c r="M55" s="45">
        <v>1420</v>
      </c>
      <c r="N55" s="234">
        <f t="shared" si="10"/>
        <v>10.682394366197183</v>
      </c>
      <c r="O55" s="108">
        <v>45</v>
      </c>
    </row>
    <row r="56" spans="1:15" s="95" customFormat="1" ht="15">
      <c r="A56" s="96">
        <v>46</v>
      </c>
      <c r="B56" s="230" t="s">
        <v>165</v>
      </c>
      <c r="C56" s="246">
        <v>40529</v>
      </c>
      <c r="D56" s="231" t="s">
        <v>166</v>
      </c>
      <c r="E56" s="232">
        <v>5</v>
      </c>
      <c r="F56" s="232">
        <v>4</v>
      </c>
      <c r="G56" s="232">
        <v>7</v>
      </c>
      <c r="H56" s="486">
        <v>1031</v>
      </c>
      <c r="I56" s="487">
        <v>163</v>
      </c>
      <c r="J56" s="45">
        <f t="shared" si="8"/>
        <v>40.75</v>
      </c>
      <c r="K56" s="233">
        <f t="shared" si="9"/>
        <v>6.325153374233129</v>
      </c>
      <c r="L56" s="196">
        <v>26687</v>
      </c>
      <c r="M56" s="45">
        <v>2758</v>
      </c>
      <c r="N56" s="234">
        <f t="shared" si="10"/>
        <v>9.676214648295867</v>
      </c>
      <c r="O56" s="108">
        <v>46</v>
      </c>
    </row>
    <row r="57" spans="1:15" s="95" customFormat="1" ht="15">
      <c r="A57" s="96">
        <v>47</v>
      </c>
      <c r="B57" s="190" t="s">
        <v>165</v>
      </c>
      <c r="C57" s="191">
        <v>40529</v>
      </c>
      <c r="D57" s="236" t="s">
        <v>70</v>
      </c>
      <c r="E57" s="192">
        <v>5</v>
      </c>
      <c r="F57" s="192">
        <v>1</v>
      </c>
      <c r="G57" s="192">
        <v>8</v>
      </c>
      <c r="H57" s="486">
        <v>747</v>
      </c>
      <c r="I57" s="487">
        <v>103</v>
      </c>
      <c r="J57" s="45">
        <f t="shared" si="8"/>
        <v>103</v>
      </c>
      <c r="K57" s="233">
        <f t="shared" si="9"/>
        <v>7.252427184466019</v>
      </c>
      <c r="L57" s="196">
        <v>27434</v>
      </c>
      <c r="M57" s="45">
        <v>2861</v>
      </c>
      <c r="N57" s="234">
        <f t="shared" si="10"/>
        <v>9.588954910870324</v>
      </c>
      <c r="O57" s="108">
        <v>47</v>
      </c>
    </row>
    <row r="58" spans="1:15" s="95" customFormat="1" ht="15">
      <c r="A58" s="96">
        <v>48</v>
      </c>
      <c r="B58" s="217" t="s">
        <v>167</v>
      </c>
      <c r="C58" s="34">
        <v>40298</v>
      </c>
      <c r="D58" s="199" t="s">
        <v>36</v>
      </c>
      <c r="E58" s="201">
        <v>10</v>
      </c>
      <c r="F58" s="201">
        <v>1</v>
      </c>
      <c r="G58" s="201">
        <v>21</v>
      </c>
      <c r="H58" s="473">
        <v>1307</v>
      </c>
      <c r="I58" s="474">
        <v>327</v>
      </c>
      <c r="J58" s="118">
        <f>(I58/F58)</f>
        <v>327</v>
      </c>
      <c r="K58" s="195">
        <f t="shared" si="9"/>
        <v>3.996941896024465</v>
      </c>
      <c r="L58" s="9">
        <f>83892.5+865+192+477+220.5+1901+2138.5+1307</f>
        <v>90993.5</v>
      </c>
      <c r="M58" s="8">
        <f>10300+144+24+59+48+475+534+327</f>
        <v>11911</v>
      </c>
      <c r="N58" s="197">
        <f t="shared" si="10"/>
        <v>7.639450927713878</v>
      </c>
      <c r="O58" s="108">
        <v>48</v>
      </c>
    </row>
    <row r="59" spans="1:15" s="95" customFormat="1" ht="15">
      <c r="A59" s="96">
        <v>49</v>
      </c>
      <c r="B59" s="217" t="s">
        <v>167</v>
      </c>
      <c r="C59" s="202">
        <v>40298</v>
      </c>
      <c r="D59" s="199" t="s">
        <v>36</v>
      </c>
      <c r="E59" s="201">
        <v>10</v>
      </c>
      <c r="F59" s="201">
        <v>1</v>
      </c>
      <c r="G59" s="201">
        <v>22</v>
      </c>
      <c r="H59" s="473">
        <v>952</v>
      </c>
      <c r="I59" s="474">
        <v>238</v>
      </c>
      <c r="J59" s="118">
        <f>(I59/F59)</f>
        <v>238</v>
      </c>
      <c r="K59" s="195">
        <f t="shared" si="9"/>
        <v>4</v>
      </c>
      <c r="L59" s="9">
        <f>83892.5+865+192+477+220.5+1901+2138.5+1307+952</f>
        <v>91945.5</v>
      </c>
      <c r="M59" s="8">
        <f>10300+144+24+59+48+475+534+327+238</f>
        <v>12149</v>
      </c>
      <c r="N59" s="197">
        <f t="shared" si="10"/>
        <v>7.568153757510906</v>
      </c>
      <c r="O59" s="108">
        <v>49</v>
      </c>
    </row>
    <row r="60" spans="1:15" s="95" customFormat="1" ht="15">
      <c r="A60" s="96">
        <v>50</v>
      </c>
      <c r="B60" s="190" t="s">
        <v>168</v>
      </c>
      <c r="C60" s="191">
        <v>39577</v>
      </c>
      <c r="D60" s="236" t="s">
        <v>169</v>
      </c>
      <c r="E60" s="192">
        <v>11</v>
      </c>
      <c r="F60" s="192">
        <v>1</v>
      </c>
      <c r="G60" s="192">
        <v>19</v>
      </c>
      <c r="H60" s="491">
        <v>712</v>
      </c>
      <c r="I60" s="492">
        <v>142</v>
      </c>
      <c r="J60" s="106">
        <v>142</v>
      </c>
      <c r="K60" s="249">
        <v>5.014084507042254</v>
      </c>
      <c r="L60" s="250">
        <v>102695</v>
      </c>
      <c r="M60" s="251">
        <v>11305</v>
      </c>
      <c r="N60" s="252">
        <v>9.084033613445378</v>
      </c>
      <c r="O60" s="108">
        <v>50</v>
      </c>
    </row>
    <row r="61" spans="1:15" s="95" customFormat="1" ht="15">
      <c r="A61" s="96">
        <v>51</v>
      </c>
      <c r="B61" s="221" t="s">
        <v>247</v>
      </c>
      <c r="C61" s="2">
        <v>40452</v>
      </c>
      <c r="D61" s="23" t="s">
        <v>22</v>
      </c>
      <c r="E61" s="3">
        <v>148</v>
      </c>
      <c r="F61" s="3">
        <v>3</v>
      </c>
      <c r="G61" s="3">
        <v>14</v>
      </c>
      <c r="H61" s="485">
        <v>4104.5</v>
      </c>
      <c r="I61" s="484">
        <v>531</v>
      </c>
      <c r="J61" s="102">
        <f>IF(H61&lt;&gt;0,I61/F61,"")</f>
        <v>177</v>
      </c>
      <c r="K61" s="229">
        <f>IF(H61&lt;&gt;0,H61/I61,"")</f>
        <v>7.7297551789077215</v>
      </c>
      <c r="L61" s="38">
        <f>699440.5+93480+55329+21058.5+2054+5186.5+3036+2522+4090+1329+2064+2423+H61</f>
        <v>896117</v>
      </c>
      <c r="M61" s="44">
        <f>74937+13125+8283+3296+346+1058+497+365+749+203+322+349+531</f>
        <v>104061</v>
      </c>
      <c r="N61" s="228">
        <f>IF(L61&lt;&gt;0,L61/M61,"")</f>
        <v>8.611458663668426</v>
      </c>
      <c r="O61" s="108">
        <v>51</v>
      </c>
    </row>
    <row r="62" spans="1:15" s="95" customFormat="1" ht="15">
      <c r="A62" s="96">
        <v>52</v>
      </c>
      <c r="B62" s="219" t="s">
        <v>247</v>
      </c>
      <c r="C62" s="2">
        <v>40452</v>
      </c>
      <c r="D62" s="23" t="s">
        <v>22</v>
      </c>
      <c r="E62" s="3">
        <v>148</v>
      </c>
      <c r="F62" s="3">
        <v>1</v>
      </c>
      <c r="G62" s="3">
        <v>15</v>
      </c>
      <c r="H62" s="483">
        <v>528</v>
      </c>
      <c r="I62" s="484">
        <v>88</v>
      </c>
      <c r="J62" s="102">
        <f>IF(H62&lt;&gt;0,I62/F62,"")</f>
        <v>88</v>
      </c>
      <c r="K62" s="227">
        <f>IF(H62&lt;&gt;0,H62/I62,"")</f>
        <v>6</v>
      </c>
      <c r="L62" s="40">
        <f>896117+528</f>
        <v>896645</v>
      </c>
      <c r="M62" s="44">
        <f>104061+88</f>
        <v>104149</v>
      </c>
      <c r="N62" s="228">
        <f>IF(L62&lt;&gt;0,L62/M62,"")</f>
        <v>8.609252129161106</v>
      </c>
      <c r="O62" s="108">
        <v>52</v>
      </c>
    </row>
    <row r="63" spans="1:15" s="95" customFormat="1" ht="15">
      <c r="A63" s="96">
        <v>53</v>
      </c>
      <c r="B63" s="221" t="s">
        <v>247</v>
      </c>
      <c r="C63" s="2">
        <v>40452</v>
      </c>
      <c r="D63" s="18" t="s">
        <v>22</v>
      </c>
      <c r="E63" s="3">
        <v>148</v>
      </c>
      <c r="F63" s="3">
        <v>1</v>
      </c>
      <c r="G63" s="3">
        <v>17</v>
      </c>
      <c r="H63" s="483">
        <v>468</v>
      </c>
      <c r="I63" s="484">
        <v>78</v>
      </c>
      <c r="J63" s="102">
        <f>IF(H63&lt;&gt;0,I63/F63,"")</f>
        <v>78</v>
      </c>
      <c r="K63" s="227">
        <f>IF(H63&lt;&gt;0,H63/I63,"")</f>
        <v>6</v>
      </c>
      <c r="L63" s="40">
        <f>896117+528+390+468</f>
        <v>897503</v>
      </c>
      <c r="M63" s="44">
        <f>104061+88+65+78</f>
        <v>104292</v>
      </c>
      <c r="N63" s="228">
        <f>IF(L63&lt;&gt;0,L63/M63,"")</f>
        <v>8.605674452498754</v>
      </c>
      <c r="O63" s="108">
        <v>53</v>
      </c>
    </row>
    <row r="64" spans="1:15" s="95" customFormat="1" ht="15">
      <c r="A64" s="96">
        <v>54</v>
      </c>
      <c r="B64" s="223" t="s">
        <v>247</v>
      </c>
      <c r="C64" s="2">
        <v>40452</v>
      </c>
      <c r="D64" s="16" t="s">
        <v>22</v>
      </c>
      <c r="E64" s="4">
        <v>148</v>
      </c>
      <c r="F64" s="4">
        <v>1</v>
      </c>
      <c r="G64" s="4">
        <v>16</v>
      </c>
      <c r="H64" s="483">
        <v>390</v>
      </c>
      <c r="I64" s="484">
        <v>65</v>
      </c>
      <c r="J64" s="102">
        <f>+I64/F64</f>
        <v>65</v>
      </c>
      <c r="K64" s="227">
        <f>+H64/I64</f>
        <v>6</v>
      </c>
      <c r="L64" s="40">
        <f>896117+528+390</f>
        <v>897035</v>
      </c>
      <c r="M64" s="44">
        <f>104061+88+65</f>
        <v>104214</v>
      </c>
      <c r="N64" s="228">
        <f>IF(L64&lt;&gt;0,L64/M64,"")</f>
        <v>8.607624695338439</v>
      </c>
      <c r="O64" s="108">
        <v>54</v>
      </c>
    </row>
    <row r="65" spans="1:15" s="95" customFormat="1" ht="15">
      <c r="A65" s="96">
        <v>55</v>
      </c>
      <c r="B65" s="198" t="s">
        <v>170</v>
      </c>
      <c r="C65" s="34">
        <v>40473</v>
      </c>
      <c r="D65" s="199" t="s">
        <v>36</v>
      </c>
      <c r="E65" s="36">
        <v>28</v>
      </c>
      <c r="F65" s="36">
        <v>1</v>
      </c>
      <c r="G65" s="36">
        <v>12</v>
      </c>
      <c r="H65" s="473">
        <v>2675</v>
      </c>
      <c r="I65" s="474">
        <v>301</v>
      </c>
      <c r="J65" s="118">
        <f>(I65/F65)</f>
        <v>301</v>
      </c>
      <c r="K65" s="195">
        <f>H65/I65</f>
        <v>8.887043189368772</v>
      </c>
      <c r="L65" s="9">
        <f>152569.5+122205.5+10562+6863.5+9619+5655+1726.5+3593+4508+310+2166+2675</f>
        <v>322453</v>
      </c>
      <c r="M65" s="8">
        <f>12992+10278+1201+886+1535+877+246+644+1351+56+302+301</f>
        <v>30669</v>
      </c>
      <c r="N65" s="197">
        <f>L65/M65</f>
        <v>10.51397176301803</v>
      </c>
      <c r="O65" s="108">
        <v>55</v>
      </c>
    </row>
    <row r="66" spans="1:15" s="95" customFormat="1" ht="15">
      <c r="A66" s="96">
        <v>56</v>
      </c>
      <c r="B66" s="198" t="s">
        <v>170</v>
      </c>
      <c r="C66" s="34">
        <v>40473</v>
      </c>
      <c r="D66" s="199" t="s">
        <v>36</v>
      </c>
      <c r="E66" s="36">
        <v>28</v>
      </c>
      <c r="F66" s="36">
        <v>3</v>
      </c>
      <c r="G66" s="36">
        <v>11</v>
      </c>
      <c r="H66" s="475">
        <v>2166</v>
      </c>
      <c r="I66" s="474">
        <v>302</v>
      </c>
      <c r="J66" s="118">
        <f>(I66/F66)</f>
        <v>100.66666666666667</v>
      </c>
      <c r="K66" s="200">
        <f>H66/I66</f>
        <v>7.172185430463577</v>
      </c>
      <c r="L66" s="27">
        <f>152569.5+122205.5+10562+6863.5+9619+5655+1726.5+3593+4508+310+2166</f>
        <v>319778</v>
      </c>
      <c r="M66" s="8">
        <f>12992+10278+1201+886+1535+877+246+644+1351+56+302</f>
        <v>30368</v>
      </c>
      <c r="N66" s="197">
        <f>L66/M66</f>
        <v>10.53009747102213</v>
      </c>
      <c r="O66" s="108">
        <v>56</v>
      </c>
    </row>
    <row r="67" spans="1:15" s="95" customFormat="1" ht="15">
      <c r="A67" s="96">
        <v>57</v>
      </c>
      <c r="B67" s="190" t="s">
        <v>170</v>
      </c>
      <c r="C67" s="34">
        <v>40473</v>
      </c>
      <c r="D67" s="199" t="s">
        <v>36</v>
      </c>
      <c r="E67" s="36">
        <v>28</v>
      </c>
      <c r="F67" s="36">
        <v>1</v>
      </c>
      <c r="G67" s="36">
        <v>13</v>
      </c>
      <c r="H67" s="473">
        <v>594</v>
      </c>
      <c r="I67" s="474">
        <v>115</v>
      </c>
      <c r="J67" s="118">
        <f>(I67/F67)</f>
        <v>115</v>
      </c>
      <c r="K67" s="195">
        <f>H67/I67</f>
        <v>5.165217391304348</v>
      </c>
      <c r="L67" s="9">
        <f>152569.5+122205.5+10562+6863.5+9619+5655+1726.5+3593+4508+310+2166+2675+594</f>
        <v>323047</v>
      </c>
      <c r="M67" s="8">
        <f>12992+10278+1201+886+1535+877+246+644+1351+56+302+301+115</f>
        <v>30784</v>
      </c>
      <c r="N67" s="197">
        <f>L67/M67</f>
        <v>10.493990384615385</v>
      </c>
      <c r="O67" s="108">
        <v>57</v>
      </c>
    </row>
    <row r="68" spans="1:15" s="95" customFormat="1" ht="15">
      <c r="A68" s="96">
        <v>58</v>
      </c>
      <c r="B68" s="190" t="s">
        <v>170</v>
      </c>
      <c r="C68" s="34">
        <v>40473</v>
      </c>
      <c r="D68" s="31" t="s">
        <v>36</v>
      </c>
      <c r="E68" s="36">
        <v>28</v>
      </c>
      <c r="F68" s="36">
        <v>1</v>
      </c>
      <c r="G68" s="36">
        <v>14</v>
      </c>
      <c r="H68" s="473">
        <v>555.5</v>
      </c>
      <c r="I68" s="474">
        <v>69</v>
      </c>
      <c r="J68" s="118">
        <f>(I68/F68)</f>
        <v>69</v>
      </c>
      <c r="K68" s="195">
        <f>H68/I68</f>
        <v>8.05072463768116</v>
      </c>
      <c r="L68" s="9">
        <f>152569.5+122205.5+10562+6863.5+9619+5655+1726.5+3593+4508+310+2166+2675+594+555.5</f>
        <v>323602.5</v>
      </c>
      <c r="M68" s="8">
        <f>12992+10278+1201+886+1535+877+246+644+1351+56+302+301+115+69</f>
        <v>30853</v>
      </c>
      <c r="N68" s="197">
        <f>L68/M68</f>
        <v>10.488526237318899</v>
      </c>
      <c r="O68" s="108">
        <v>58</v>
      </c>
    </row>
    <row r="69" spans="1:15" s="95" customFormat="1" ht="15">
      <c r="A69" s="96">
        <v>59</v>
      </c>
      <c r="B69" s="190" t="s">
        <v>171</v>
      </c>
      <c r="C69" s="34">
        <v>40333</v>
      </c>
      <c r="D69" s="199" t="s">
        <v>36</v>
      </c>
      <c r="E69" s="36">
        <v>5</v>
      </c>
      <c r="F69" s="36">
        <v>1</v>
      </c>
      <c r="G69" s="36">
        <v>17</v>
      </c>
      <c r="H69" s="473">
        <v>950.5</v>
      </c>
      <c r="I69" s="474">
        <v>238</v>
      </c>
      <c r="J69" s="118">
        <f>(I69/F69)</f>
        <v>238</v>
      </c>
      <c r="K69" s="195">
        <f>H69/I69</f>
        <v>3.9936974789915967</v>
      </c>
      <c r="L69" s="9">
        <f>36730.5+564+1413+1445+1680+605+2036+437+950.5</f>
        <v>45861</v>
      </c>
      <c r="M69" s="8">
        <f>3877+97+237+234+280+110+317+78+238</f>
        <v>5468</v>
      </c>
      <c r="N69" s="197">
        <f>L69/M69</f>
        <v>8.38716166788588</v>
      </c>
      <c r="O69" s="108">
        <v>59</v>
      </c>
    </row>
    <row r="70" spans="1:15" s="95" customFormat="1" ht="15">
      <c r="A70" s="96">
        <v>60</v>
      </c>
      <c r="B70" s="190" t="s">
        <v>172</v>
      </c>
      <c r="C70" s="34">
        <v>40123</v>
      </c>
      <c r="D70" s="31" t="s">
        <v>169</v>
      </c>
      <c r="E70" s="36">
        <v>25</v>
      </c>
      <c r="F70" s="36">
        <v>1</v>
      </c>
      <c r="G70" s="36">
        <v>15</v>
      </c>
      <c r="H70" s="491">
        <v>712</v>
      </c>
      <c r="I70" s="492">
        <v>142</v>
      </c>
      <c r="J70" s="106">
        <v>142</v>
      </c>
      <c r="K70" s="249">
        <v>5.014084507042254</v>
      </c>
      <c r="L70" s="250">
        <v>274310</v>
      </c>
      <c r="M70" s="251">
        <v>22843</v>
      </c>
      <c r="N70" s="252">
        <v>12.008492754892089</v>
      </c>
      <c r="O70" s="108">
        <v>60</v>
      </c>
    </row>
    <row r="71" spans="1:15" s="95" customFormat="1" ht="15">
      <c r="A71" s="96">
        <v>61</v>
      </c>
      <c r="B71" s="217" t="s">
        <v>173</v>
      </c>
      <c r="C71" s="202">
        <v>40102</v>
      </c>
      <c r="D71" s="199" t="s">
        <v>36</v>
      </c>
      <c r="E71" s="201">
        <v>22</v>
      </c>
      <c r="F71" s="201">
        <v>1</v>
      </c>
      <c r="G71" s="201">
        <v>13</v>
      </c>
      <c r="H71" s="473">
        <v>952</v>
      </c>
      <c r="I71" s="474">
        <v>238</v>
      </c>
      <c r="J71" s="118">
        <f>(I71/F71)</f>
        <v>238</v>
      </c>
      <c r="K71" s="195">
        <f aca="true" t="shared" si="11" ref="K71:K89">H71/I71</f>
        <v>4</v>
      </c>
      <c r="L71" s="9">
        <f>129717.5+110957+18478+6527+6853.5+1081.5+738.5+250+165+404+829.5+186+952</f>
        <v>277139.5</v>
      </c>
      <c r="M71" s="8">
        <f>10402+8975+1885+691+1109+369+262+48+23+69+109+24+238</f>
        <v>24204</v>
      </c>
      <c r="N71" s="197">
        <f>L71/M71</f>
        <v>11.450152867294662</v>
      </c>
      <c r="O71" s="108">
        <v>61</v>
      </c>
    </row>
    <row r="72" spans="1:15" s="95" customFormat="1" ht="15">
      <c r="A72" s="96">
        <v>62</v>
      </c>
      <c r="B72" s="253" t="s">
        <v>248</v>
      </c>
      <c r="C72" s="2">
        <v>40529</v>
      </c>
      <c r="D72" s="25" t="s">
        <v>174</v>
      </c>
      <c r="E72" s="4">
        <v>81</v>
      </c>
      <c r="F72" s="4">
        <v>69</v>
      </c>
      <c r="G72" s="4">
        <v>3</v>
      </c>
      <c r="H72" s="493">
        <v>90040</v>
      </c>
      <c r="I72" s="494">
        <v>10688</v>
      </c>
      <c r="J72" s="256">
        <f>I72/F72</f>
        <v>154.8985507246377</v>
      </c>
      <c r="K72" s="267">
        <f t="shared" si="11"/>
        <v>8.42440119760479</v>
      </c>
      <c r="L72" s="316">
        <v>472298</v>
      </c>
      <c r="M72" s="259">
        <v>55934</v>
      </c>
      <c r="N72" s="260">
        <f>+L72/M72</f>
        <v>8.443844531054458</v>
      </c>
      <c r="O72" s="108">
        <v>62</v>
      </c>
    </row>
    <row r="73" spans="1:15" s="95" customFormat="1" ht="15">
      <c r="A73" s="96">
        <v>63</v>
      </c>
      <c r="B73" s="223" t="s">
        <v>248</v>
      </c>
      <c r="C73" s="2">
        <v>40529</v>
      </c>
      <c r="D73" s="16" t="s">
        <v>174</v>
      </c>
      <c r="E73" s="4">
        <v>81</v>
      </c>
      <c r="F73" s="4">
        <v>5</v>
      </c>
      <c r="G73" s="4">
        <v>5</v>
      </c>
      <c r="H73" s="495">
        <v>5631</v>
      </c>
      <c r="I73" s="494">
        <v>879</v>
      </c>
      <c r="J73" s="256">
        <f>I73/F73</f>
        <v>175.8</v>
      </c>
      <c r="K73" s="257">
        <f t="shared" si="11"/>
        <v>6.406143344709897</v>
      </c>
      <c r="L73" s="258">
        <v>478360</v>
      </c>
      <c r="M73" s="259">
        <v>56856</v>
      </c>
      <c r="N73" s="260">
        <f>+L73/M73</f>
        <v>8.413535950471367</v>
      </c>
      <c r="O73" s="108">
        <v>63</v>
      </c>
    </row>
    <row r="74" spans="1:15" s="95" customFormat="1" ht="15">
      <c r="A74" s="96">
        <v>64</v>
      </c>
      <c r="B74" s="253" t="s">
        <v>248</v>
      </c>
      <c r="C74" s="2">
        <v>40529</v>
      </c>
      <c r="D74" s="16" t="s">
        <v>174</v>
      </c>
      <c r="E74" s="4">
        <v>81</v>
      </c>
      <c r="F74" s="4">
        <v>4</v>
      </c>
      <c r="G74" s="4">
        <v>6</v>
      </c>
      <c r="H74" s="495">
        <v>2875</v>
      </c>
      <c r="I74" s="494">
        <v>650</v>
      </c>
      <c r="J74" s="118">
        <f>(I74/F74)</f>
        <v>162.5</v>
      </c>
      <c r="K74" s="195">
        <f t="shared" si="11"/>
        <v>4.423076923076923</v>
      </c>
      <c r="L74" s="258">
        <v>481235</v>
      </c>
      <c r="M74" s="259">
        <v>57506</v>
      </c>
      <c r="N74" s="197">
        <f>L74/M74</f>
        <v>8.368431120230932</v>
      </c>
      <c r="O74" s="108">
        <v>64</v>
      </c>
    </row>
    <row r="75" spans="1:15" s="95" customFormat="1" ht="15">
      <c r="A75" s="96">
        <v>65</v>
      </c>
      <c r="B75" s="223" t="s">
        <v>248</v>
      </c>
      <c r="C75" s="2">
        <v>40529</v>
      </c>
      <c r="D75" s="16" t="s">
        <v>174</v>
      </c>
      <c r="E75" s="4">
        <v>81</v>
      </c>
      <c r="F75" s="4">
        <v>2</v>
      </c>
      <c r="G75" s="4">
        <v>7</v>
      </c>
      <c r="H75" s="495">
        <v>2351</v>
      </c>
      <c r="I75" s="494">
        <v>769</v>
      </c>
      <c r="J75" s="256">
        <f>I75/F75</f>
        <v>384.5</v>
      </c>
      <c r="K75" s="257">
        <f t="shared" si="11"/>
        <v>3.057217165149545</v>
      </c>
      <c r="L75" s="258">
        <v>483585</v>
      </c>
      <c r="M75" s="259">
        <v>58275</v>
      </c>
      <c r="N75" s="220">
        <f>+L75/M75</f>
        <v>8.298326898326899</v>
      </c>
      <c r="O75" s="108">
        <v>65</v>
      </c>
    </row>
    <row r="76" spans="1:15" s="95" customFormat="1" ht="15">
      <c r="A76" s="96">
        <v>66</v>
      </c>
      <c r="B76" s="223" t="s">
        <v>248</v>
      </c>
      <c r="C76" s="2">
        <v>40529</v>
      </c>
      <c r="D76" s="16" t="s">
        <v>174</v>
      </c>
      <c r="E76" s="4">
        <v>81</v>
      </c>
      <c r="F76" s="4">
        <v>1</v>
      </c>
      <c r="G76" s="4">
        <v>8</v>
      </c>
      <c r="H76" s="495">
        <v>997</v>
      </c>
      <c r="I76" s="494">
        <v>367</v>
      </c>
      <c r="J76" s="256">
        <f>I76/F76</f>
        <v>367</v>
      </c>
      <c r="K76" s="257">
        <f t="shared" si="11"/>
        <v>2.7166212534059944</v>
      </c>
      <c r="L76" s="258">
        <v>485472</v>
      </c>
      <c r="M76" s="259">
        <v>58973</v>
      </c>
      <c r="N76" s="260">
        <f>+L76/M76</f>
        <v>8.232106218099808</v>
      </c>
      <c r="O76" s="108">
        <v>66</v>
      </c>
    </row>
    <row r="77" spans="1:15" s="95" customFormat="1" ht="15">
      <c r="A77" s="96">
        <v>67</v>
      </c>
      <c r="B77" s="223" t="s">
        <v>248</v>
      </c>
      <c r="C77" s="2">
        <v>40529</v>
      </c>
      <c r="D77" s="25" t="s">
        <v>174</v>
      </c>
      <c r="E77" s="4">
        <v>81</v>
      </c>
      <c r="F77" s="4">
        <v>5</v>
      </c>
      <c r="G77" s="4">
        <v>4</v>
      </c>
      <c r="H77" s="495">
        <v>431</v>
      </c>
      <c r="I77" s="494">
        <v>43</v>
      </c>
      <c r="J77" s="256">
        <f>I77/F77</f>
        <v>8.6</v>
      </c>
      <c r="K77" s="257">
        <f t="shared" si="11"/>
        <v>10.023255813953488</v>
      </c>
      <c r="L77" s="258">
        <v>472729</v>
      </c>
      <c r="M77" s="259">
        <v>55977</v>
      </c>
      <c r="N77" s="260">
        <f>+L77/M77</f>
        <v>8.445057791592976</v>
      </c>
      <c r="O77" s="108">
        <v>67</v>
      </c>
    </row>
    <row r="78" spans="1:15" s="95" customFormat="1" ht="15">
      <c r="A78" s="96">
        <v>68</v>
      </c>
      <c r="B78" s="223" t="s">
        <v>248</v>
      </c>
      <c r="C78" s="2">
        <v>40529</v>
      </c>
      <c r="D78" s="16" t="s">
        <v>174</v>
      </c>
      <c r="E78" s="4">
        <v>81</v>
      </c>
      <c r="F78" s="4">
        <v>1</v>
      </c>
      <c r="G78" s="4">
        <v>9</v>
      </c>
      <c r="H78" s="495">
        <v>427</v>
      </c>
      <c r="I78" s="494">
        <v>52</v>
      </c>
      <c r="J78" s="256">
        <f>I78/F78</f>
        <v>52</v>
      </c>
      <c r="K78" s="257">
        <f t="shared" si="11"/>
        <v>8.211538461538462</v>
      </c>
      <c r="L78" s="258">
        <v>484902</v>
      </c>
      <c r="M78" s="259">
        <v>58658</v>
      </c>
      <c r="N78" s="260">
        <f>+L78/M78</f>
        <v>8.266596201711616</v>
      </c>
      <c r="O78" s="108">
        <v>68</v>
      </c>
    </row>
    <row r="79" spans="1:15" s="95" customFormat="1" ht="15">
      <c r="A79" s="96">
        <v>69</v>
      </c>
      <c r="B79" s="223" t="s">
        <v>248</v>
      </c>
      <c r="C79" s="2">
        <v>40529</v>
      </c>
      <c r="D79" s="16" t="s">
        <v>174</v>
      </c>
      <c r="E79" s="4">
        <v>81</v>
      </c>
      <c r="F79" s="4">
        <v>1</v>
      </c>
      <c r="G79" s="4">
        <v>12</v>
      </c>
      <c r="H79" s="495">
        <v>176</v>
      </c>
      <c r="I79" s="494">
        <v>26</v>
      </c>
      <c r="J79" s="256">
        <f>I79/F79</f>
        <v>26</v>
      </c>
      <c r="K79" s="257">
        <f t="shared" si="11"/>
        <v>6.769230769230769</v>
      </c>
      <c r="L79" s="258">
        <v>487699</v>
      </c>
      <c r="M79" s="259">
        <v>59278</v>
      </c>
      <c r="N79" s="260">
        <f>+L79/M79</f>
        <v>8.227318735449915</v>
      </c>
      <c r="O79" s="108">
        <v>69</v>
      </c>
    </row>
    <row r="80" spans="1:15" s="95" customFormat="1" ht="15">
      <c r="A80" s="96">
        <v>70</v>
      </c>
      <c r="B80" s="198" t="s">
        <v>249</v>
      </c>
      <c r="C80" s="34">
        <v>40529</v>
      </c>
      <c r="D80" s="199" t="s">
        <v>36</v>
      </c>
      <c r="E80" s="36">
        <v>147</v>
      </c>
      <c r="F80" s="36">
        <v>147</v>
      </c>
      <c r="G80" s="36">
        <v>3</v>
      </c>
      <c r="H80" s="475">
        <v>518408</v>
      </c>
      <c r="I80" s="474">
        <v>61133</v>
      </c>
      <c r="J80" s="118">
        <f aca="true" t="shared" si="12" ref="J80:J89">(I80/F80)</f>
        <v>415.8707482993197</v>
      </c>
      <c r="K80" s="200">
        <f t="shared" si="11"/>
        <v>8.480002617244368</v>
      </c>
      <c r="L80" s="27">
        <f>691567.5+648414.5+518408</f>
        <v>1858390</v>
      </c>
      <c r="M80" s="8">
        <f>79327+75064+61133</f>
        <v>215524</v>
      </c>
      <c r="N80" s="197">
        <f aca="true" t="shared" si="13" ref="N80:N89">L80/M80</f>
        <v>8.622659193407694</v>
      </c>
      <c r="O80" s="108">
        <v>70</v>
      </c>
    </row>
    <row r="81" spans="1:15" s="95" customFormat="1" ht="15">
      <c r="A81" s="96">
        <v>71</v>
      </c>
      <c r="B81" s="190" t="s">
        <v>249</v>
      </c>
      <c r="C81" s="34">
        <v>40529</v>
      </c>
      <c r="D81" s="199" t="s">
        <v>36</v>
      </c>
      <c r="E81" s="36">
        <v>147</v>
      </c>
      <c r="F81" s="36">
        <v>70</v>
      </c>
      <c r="G81" s="36">
        <v>4</v>
      </c>
      <c r="H81" s="473">
        <v>71112.5</v>
      </c>
      <c r="I81" s="474">
        <v>10235</v>
      </c>
      <c r="J81" s="118">
        <f t="shared" si="12"/>
        <v>146.21428571428572</v>
      </c>
      <c r="K81" s="195">
        <f t="shared" si="11"/>
        <v>6.947972642892037</v>
      </c>
      <c r="L81" s="9">
        <f>691567.5+648414.5+518408+71112.5</f>
        <v>1929502.5</v>
      </c>
      <c r="M81" s="8">
        <f>79327+75064+61133+10235</f>
        <v>225759</v>
      </c>
      <c r="N81" s="197">
        <f t="shared" si="13"/>
        <v>8.546735678311828</v>
      </c>
      <c r="O81" s="108">
        <v>71</v>
      </c>
    </row>
    <row r="82" spans="1:15" s="95" customFormat="1" ht="15">
      <c r="A82" s="96">
        <v>72</v>
      </c>
      <c r="B82" s="209" t="s">
        <v>249</v>
      </c>
      <c r="C82" s="210">
        <v>40529</v>
      </c>
      <c r="D82" s="199" t="s">
        <v>36</v>
      </c>
      <c r="E82" s="211">
        <v>147</v>
      </c>
      <c r="F82" s="211">
        <v>41</v>
      </c>
      <c r="G82" s="211">
        <v>5</v>
      </c>
      <c r="H82" s="477">
        <v>45526</v>
      </c>
      <c r="I82" s="478">
        <v>7792</v>
      </c>
      <c r="J82" s="212">
        <f t="shared" si="12"/>
        <v>190.0487804878049</v>
      </c>
      <c r="K82" s="213">
        <f t="shared" si="11"/>
        <v>5.842659137577002</v>
      </c>
      <c r="L82" s="214">
        <f>691567.5+648414.5+518408+71321.5+45526</f>
        <v>1975237.5</v>
      </c>
      <c r="M82" s="215">
        <f>79327+75064+61133+10266+7792</f>
        <v>233582</v>
      </c>
      <c r="N82" s="216">
        <f t="shared" si="13"/>
        <v>8.456291580686868</v>
      </c>
      <c r="O82" s="108">
        <v>72</v>
      </c>
    </row>
    <row r="83" spans="1:15" s="95" customFormat="1" ht="15">
      <c r="A83" s="96">
        <v>73</v>
      </c>
      <c r="B83" s="198" t="s">
        <v>249</v>
      </c>
      <c r="C83" s="34">
        <v>40529</v>
      </c>
      <c r="D83" s="199" t="s">
        <v>36</v>
      </c>
      <c r="E83" s="36">
        <v>147</v>
      </c>
      <c r="F83" s="36">
        <v>18</v>
      </c>
      <c r="G83" s="36">
        <v>6</v>
      </c>
      <c r="H83" s="473">
        <v>17480</v>
      </c>
      <c r="I83" s="474">
        <v>4345</v>
      </c>
      <c r="J83" s="118">
        <f t="shared" si="12"/>
        <v>241.38888888888889</v>
      </c>
      <c r="K83" s="195">
        <f t="shared" si="11"/>
        <v>4.02301495972382</v>
      </c>
      <c r="L83" s="9">
        <f>691567.5+648414.5+518408+71321.5+45526+17480</f>
        <v>1992717.5</v>
      </c>
      <c r="M83" s="8">
        <f>79327+75064+61133+10266+7792+4345</f>
        <v>237927</v>
      </c>
      <c r="N83" s="197">
        <f t="shared" si="13"/>
        <v>8.375331509244432</v>
      </c>
      <c r="O83" s="108">
        <v>73</v>
      </c>
    </row>
    <row r="84" spans="1:15" s="95" customFormat="1" ht="15">
      <c r="A84" s="96">
        <v>74</v>
      </c>
      <c r="B84" s="190" t="s">
        <v>249</v>
      </c>
      <c r="C84" s="34">
        <v>40529</v>
      </c>
      <c r="D84" s="199" t="s">
        <v>36</v>
      </c>
      <c r="E84" s="36">
        <v>147</v>
      </c>
      <c r="F84" s="36">
        <v>7</v>
      </c>
      <c r="G84" s="36">
        <v>7</v>
      </c>
      <c r="H84" s="473">
        <v>7409</v>
      </c>
      <c r="I84" s="474">
        <v>1731</v>
      </c>
      <c r="J84" s="118">
        <f t="shared" si="12"/>
        <v>247.28571428571428</v>
      </c>
      <c r="K84" s="195">
        <f t="shared" si="11"/>
        <v>4.280184864240323</v>
      </c>
      <c r="L84" s="9">
        <f>691567.5+648414.5+518408+71321.5+45526+17480+7409</f>
        <v>2000126.5</v>
      </c>
      <c r="M84" s="8">
        <f>79327+75064+61133+10266+7792+4345+1731</f>
        <v>239658</v>
      </c>
      <c r="N84" s="197">
        <f t="shared" si="13"/>
        <v>8.345753114855336</v>
      </c>
      <c r="O84" s="108">
        <v>74</v>
      </c>
    </row>
    <row r="85" spans="1:15" s="95" customFormat="1" ht="15">
      <c r="A85" s="96">
        <v>75</v>
      </c>
      <c r="B85" s="217" t="s">
        <v>249</v>
      </c>
      <c r="C85" s="202">
        <v>40529</v>
      </c>
      <c r="D85" s="199" t="s">
        <v>36</v>
      </c>
      <c r="E85" s="201">
        <v>147</v>
      </c>
      <c r="F85" s="201">
        <v>7</v>
      </c>
      <c r="G85" s="201">
        <v>10</v>
      </c>
      <c r="H85" s="473">
        <v>5445.5</v>
      </c>
      <c r="I85" s="474">
        <v>1176</v>
      </c>
      <c r="J85" s="118">
        <f t="shared" si="12"/>
        <v>168</v>
      </c>
      <c r="K85" s="195">
        <f t="shared" si="11"/>
        <v>4.630527210884353</v>
      </c>
      <c r="L85" s="9">
        <f>691567.5+648414.5+518408+71321.5+45526+17480+7409+4406.5+1874+5445.5</f>
        <v>2011852.5</v>
      </c>
      <c r="M85" s="8">
        <f>79327+75064+61133+10266+7792+4345+1731+935+303+1176</f>
        <v>242072</v>
      </c>
      <c r="N85" s="197">
        <f t="shared" si="13"/>
        <v>8.310967398129483</v>
      </c>
      <c r="O85" s="108">
        <v>75</v>
      </c>
    </row>
    <row r="86" spans="1:15" s="95" customFormat="1" ht="15">
      <c r="A86" s="96">
        <v>76</v>
      </c>
      <c r="B86" s="217" t="s">
        <v>249</v>
      </c>
      <c r="C86" s="34">
        <v>40529</v>
      </c>
      <c r="D86" s="199" t="s">
        <v>36</v>
      </c>
      <c r="E86" s="201">
        <v>147</v>
      </c>
      <c r="F86" s="201">
        <v>4</v>
      </c>
      <c r="G86" s="201">
        <v>8</v>
      </c>
      <c r="H86" s="473">
        <v>4406.5</v>
      </c>
      <c r="I86" s="474">
        <v>935</v>
      </c>
      <c r="J86" s="118">
        <f t="shared" si="12"/>
        <v>233.75</v>
      </c>
      <c r="K86" s="195">
        <f t="shared" si="11"/>
        <v>4.7128342245989305</v>
      </c>
      <c r="L86" s="9">
        <f>691567.5+648414.5+518408+71321.5+45526+17480+7409+4406.5</f>
        <v>2004533</v>
      </c>
      <c r="M86" s="8">
        <f>79327+75064+61133+10266+7792+4345+1731+935</f>
        <v>240593</v>
      </c>
      <c r="N86" s="197">
        <f t="shared" si="13"/>
        <v>8.331634752465783</v>
      </c>
      <c r="O86" s="108">
        <v>76</v>
      </c>
    </row>
    <row r="87" spans="1:15" s="95" customFormat="1" ht="15">
      <c r="A87" s="96">
        <v>77</v>
      </c>
      <c r="B87" s="217" t="s">
        <v>249</v>
      </c>
      <c r="C87" s="202">
        <v>40529</v>
      </c>
      <c r="D87" s="199" t="s">
        <v>36</v>
      </c>
      <c r="E87" s="201">
        <v>147</v>
      </c>
      <c r="F87" s="201">
        <v>5</v>
      </c>
      <c r="G87" s="201">
        <v>11</v>
      </c>
      <c r="H87" s="475">
        <v>4027</v>
      </c>
      <c r="I87" s="476">
        <v>784</v>
      </c>
      <c r="J87" s="203">
        <f t="shared" si="12"/>
        <v>156.8</v>
      </c>
      <c r="K87" s="200">
        <f t="shared" si="11"/>
        <v>5.136479591836735</v>
      </c>
      <c r="L87" s="27">
        <f>691567.5+648414.5+518408+71321.5+45526+17480+7409+4406.5+1874+5613.5+4027</f>
        <v>2016047.5</v>
      </c>
      <c r="M87" s="24">
        <f>79327+75064+61133+10266+7792+4345+1731+935+303+1204+784</f>
        <v>242884</v>
      </c>
      <c r="N87" s="197">
        <f t="shared" si="13"/>
        <v>8.300454126249567</v>
      </c>
      <c r="O87" s="108">
        <v>77</v>
      </c>
    </row>
    <row r="88" spans="1:15" s="95" customFormat="1" ht="15">
      <c r="A88" s="96">
        <v>78</v>
      </c>
      <c r="B88" s="209" t="s">
        <v>249</v>
      </c>
      <c r="C88" s="210">
        <v>40529</v>
      </c>
      <c r="D88" s="199" t="s">
        <v>36</v>
      </c>
      <c r="E88" s="211">
        <v>147</v>
      </c>
      <c r="F88" s="211">
        <v>2</v>
      </c>
      <c r="G88" s="211">
        <v>9</v>
      </c>
      <c r="H88" s="477">
        <v>1874</v>
      </c>
      <c r="I88" s="478">
        <v>303</v>
      </c>
      <c r="J88" s="212">
        <f t="shared" si="12"/>
        <v>151.5</v>
      </c>
      <c r="K88" s="213">
        <f t="shared" si="11"/>
        <v>6.184818481848184</v>
      </c>
      <c r="L88" s="214">
        <f>691567.5+648414.5+518408+71321.5+45526+17480+7409+4406.5+1874</f>
        <v>2006407</v>
      </c>
      <c r="M88" s="215">
        <f>79327+75064+61133+10266+7792+4345+1731+935+303</f>
        <v>240896</v>
      </c>
      <c r="N88" s="216">
        <f t="shared" si="13"/>
        <v>8.328934477948991</v>
      </c>
      <c r="O88" s="108">
        <v>78</v>
      </c>
    </row>
    <row r="89" spans="1:15" s="95" customFormat="1" ht="15">
      <c r="A89" s="96">
        <v>79</v>
      </c>
      <c r="B89" s="190" t="s">
        <v>249</v>
      </c>
      <c r="C89" s="34">
        <v>40529</v>
      </c>
      <c r="D89" s="31" t="s">
        <v>36</v>
      </c>
      <c r="E89" s="36">
        <v>147</v>
      </c>
      <c r="F89" s="36">
        <v>3</v>
      </c>
      <c r="G89" s="36">
        <v>12</v>
      </c>
      <c r="H89" s="473">
        <v>1099</v>
      </c>
      <c r="I89" s="474">
        <v>172</v>
      </c>
      <c r="J89" s="118">
        <f t="shared" si="12"/>
        <v>57.333333333333336</v>
      </c>
      <c r="K89" s="195">
        <f t="shared" si="11"/>
        <v>6.3895348837209305</v>
      </c>
      <c r="L89" s="9">
        <f>691567.5+648414.5+518408+71321.5+45526+17480+7409+4406.5+1874+5613.5+4027+1099</f>
        <v>2017146.5</v>
      </c>
      <c r="M89" s="8">
        <f>79327+75064+61133+10266+7792+4345+1731+935+303+1204+784+172</f>
        <v>243056</v>
      </c>
      <c r="N89" s="197">
        <f t="shared" si="13"/>
        <v>8.299101853070898</v>
      </c>
      <c r="O89" s="108">
        <v>79</v>
      </c>
    </row>
    <row r="90" spans="1:15" s="95" customFormat="1" ht="15">
      <c r="A90" s="96">
        <v>80</v>
      </c>
      <c r="B90" s="261" t="s">
        <v>250</v>
      </c>
      <c r="C90" s="262">
        <v>40466</v>
      </c>
      <c r="D90" s="263" t="s">
        <v>32</v>
      </c>
      <c r="E90" s="264">
        <v>22</v>
      </c>
      <c r="F90" s="264">
        <v>19</v>
      </c>
      <c r="G90" s="264">
        <v>14</v>
      </c>
      <c r="H90" s="496">
        <v>11882</v>
      </c>
      <c r="I90" s="497">
        <v>1318</v>
      </c>
      <c r="J90" s="115">
        <v>69.36842105263158</v>
      </c>
      <c r="K90" s="208">
        <v>9.015174506828528</v>
      </c>
      <c r="L90" s="265">
        <v>233294</v>
      </c>
      <c r="M90" s="266">
        <v>24652</v>
      </c>
      <c r="N90" s="260">
        <v>9.463491805938666</v>
      </c>
      <c r="O90" s="108">
        <v>80</v>
      </c>
    </row>
    <row r="91" spans="1:15" s="95" customFormat="1" ht="15">
      <c r="A91" s="96">
        <v>81</v>
      </c>
      <c r="B91" s="198" t="s">
        <v>250</v>
      </c>
      <c r="C91" s="34">
        <v>40466</v>
      </c>
      <c r="D91" s="33" t="s">
        <v>32</v>
      </c>
      <c r="E91" s="36">
        <v>22</v>
      </c>
      <c r="F91" s="36">
        <v>1</v>
      </c>
      <c r="G91" s="36">
        <v>12</v>
      </c>
      <c r="H91" s="490">
        <v>2002</v>
      </c>
      <c r="I91" s="487">
        <v>232</v>
      </c>
      <c r="J91" s="102">
        <f>IF(H91&lt;&gt;0,I91/F91,"")</f>
        <v>232</v>
      </c>
      <c r="K91" s="229">
        <f>IF(H91&lt;&gt;0,H91/I91,"")</f>
        <v>8.629310344827585</v>
      </c>
      <c r="L91" s="28">
        <f>75899.5+52129.5+37227.5+14454+10905+6815+10220.5+4115+4193+1577.5+113+940+2002</f>
        <v>220591.5</v>
      </c>
      <c r="M91" s="44">
        <f>7028+5164+3832+1471+1190+1095+1727+519+460+216+17+109+232</f>
        <v>23060</v>
      </c>
      <c r="N91" s="228">
        <f>IF(L91&lt;&gt;0,L91/M91,"")</f>
        <v>9.565980052038162</v>
      </c>
      <c r="O91" s="108">
        <v>81</v>
      </c>
    </row>
    <row r="92" spans="1:15" s="95" customFormat="1" ht="15">
      <c r="A92" s="96">
        <v>82</v>
      </c>
      <c r="B92" s="190" t="s">
        <v>250</v>
      </c>
      <c r="C92" s="34">
        <v>40466</v>
      </c>
      <c r="D92" s="31" t="s">
        <v>32</v>
      </c>
      <c r="E92" s="36">
        <v>22</v>
      </c>
      <c r="F92" s="36">
        <v>3</v>
      </c>
      <c r="G92" s="36">
        <v>15</v>
      </c>
      <c r="H92" s="486">
        <v>1358</v>
      </c>
      <c r="I92" s="487">
        <v>127</v>
      </c>
      <c r="J92" s="44">
        <f>I92/F92</f>
        <v>42.333333333333336</v>
      </c>
      <c r="K92" s="233">
        <f>H92/I92</f>
        <v>10.692913385826772</v>
      </c>
      <c r="L92" s="41">
        <f>75899.5+52129.5+37227.5+14454+10905+6815+10220.5+4115+4193+1577.5+113+940+2002+820.5+11882+1358</f>
        <v>234652</v>
      </c>
      <c r="M92" s="44">
        <f>7028+5164+3832+1471+1190+1095+1727+519+460+216+17+109+232+274+1318+127</f>
        <v>24779</v>
      </c>
      <c r="N92" s="234">
        <f>L92/M92</f>
        <v>9.469792969853504</v>
      </c>
      <c r="O92" s="108">
        <v>82</v>
      </c>
    </row>
    <row r="93" spans="1:15" s="95" customFormat="1" ht="15">
      <c r="A93" s="96">
        <v>83</v>
      </c>
      <c r="B93" s="190" t="s">
        <v>250</v>
      </c>
      <c r="C93" s="34">
        <v>40466</v>
      </c>
      <c r="D93" s="33" t="s">
        <v>32</v>
      </c>
      <c r="E93" s="36">
        <v>22</v>
      </c>
      <c r="F93" s="36">
        <v>1</v>
      </c>
      <c r="G93" s="36">
        <v>13</v>
      </c>
      <c r="H93" s="486">
        <v>820.5</v>
      </c>
      <c r="I93" s="487">
        <v>274</v>
      </c>
      <c r="J93" s="44">
        <f>I93/F93</f>
        <v>274</v>
      </c>
      <c r="K93" s="233">
        <f>H93/I93</f>
        <v>2.9945255474452557</v>
      </c>
      <c r="L93" s="41">
        <f>75899.5+52129.5+37227.5+14454+10905+6815+10220.5+4115+4193+1577.5+113+940+2002+820.5</f>
        <v>221412</v>
      </c>
      <c r="M93" s="44">
        <f>7028+5164+3832+1471+1190+1095+1727+519+460+216+17+109+232+274</f>
        <v>23334</v>
      </c>
      <c r="N93" s="234">
        <f>L93/M93</f>
        <v>9.48881460529699</v>
      </c>
      <c r="O93" s="108">
        <v>83</v>
      </c>
    </row>
    <row r="94" spans="1:15" s="95" customFormat="1" ht="15">
      <c r="A94" s="96">
        <v>84</v>
      </c>
      <c r="B94" s="223" t="s">
        <v>251</v>
      </c>
      <c r="C94" s="2">
        <v>40501</v>
      </c>
      <c r="D94" s="16" t="s">
        <v>174</v>
      </c>
      <c r="E94" s="4">
        <v>261</v>
      </c>
      <c r="F94" s="4">
        <v>1</v>
      </c>
      <c r="G94" s="4">
        <v>65</v>
      </c>
      <c r="H94" s="495">
        <v>723.6</v>
      </c>
      <c r="I94" s="494">
        <v>200</v>
      </c>
      <c r="J94" s="256">
        <f>I94/F94</f>
        <v>200</v>
      </c>
      <c r="K94" s="267">
        <f>H94/I94</f>
        <v>3.6180000000000003</v>
      </c>
      <c r="L94" s="6">
        <v>5323397</v>
      </c>
      <c r="M94" s="7">
        <v>861323</v>
      </c>
      <c r="N94" s="260">
        <f>+L94/M94</f>
        <v>6.180488620413016</v>
      </c>
      <c r="O94" s="108">
        <v>84</v>
      </c>
    </row>
    <row r="95" spans="1:15" s="95" customFormat="1" ht="15">
      <c r="A95" s="96">
        <v>85</v>
      </c>
      <c r="B95" s="190" t="s">
        <v>175</v>
      </c>
      <c r="C95" s="34">
        <v>40424</v>
      </c>
      <c r="D95" s="268" t="s">
        <v>24</v>
      </c>
      <c r="E95" s="36">
        <v>107</v>
      </c>
      <c r="F95" s="36">
        <v>1</v>
      </c>
      <c r="G95" s="36">
        <v>19</v>
      </c>
      <c r="H95" s="486">
        <v>1204</v>
      </c>
      <c r="I95" s="487">
        <v>350</v>
      </c>
      <c r="J95" s="44">
        <f>I95/F95</f>
        <v>350</v>
      </c>
      <c r="K95" s="233">
        <f>+H95/I95</f>
        <v>3.44</v>
      </c>
      <c r="L95" s="41">
        <v>2166347</v>
      </c>
      <c r="M95" s="45">
        <v>195743</v>
      </c>
      <c r="N95" s="234">
        <f>+L95/M95</f>
        <v>11.067302534445677</v>
      </c>
      <c r="O95" s="108">
        <v>85</v>
      </c>
    </row>
    <row r="96" spans="1:15" s="95" customFormat="1" ht="15">
      <c r="A96" s="96">
        <v>86</v>
      </c>
      <c r="B96" s="237" t="s">
        <v>175</v>
      </c>
      <c r="C96" s="269">
        <v>40424</v>
      </c>
      <c r="D96" s="270" t="s">
        <v>24</v>
      </c>
      <c r="E96" s="239">
        <v>107</v>
      </c>
      <c r="F96" s="239">
        <v>1</v>
      </c>
      <c r="G96" s="239">
        <v>20</v>
      </c>
      <c r="H96" s="488">
        <v>1204</v>
      </c>
      <c r="I96" s="489">
        <v>350</v>
      </c>
      <c r="J96" s="240">
        <f>I96/F96</f>
        <v>350</v>
      </c>
      <c r="K96" s="241">
        <f>+H96/I96</f>
        <v>3.44</v>
      </c>
      <c r="L96" s="242">
        <v>2167551</v>
      </c>
      <c r="M96" s="240">
        <v>196093</v>
      </c>
      <c r="N96" s="243">
        <f>+L96/M96</f>
        <v>11.053688810921349</v>
      </c>
      <c r="O96" s="108">
        <v>86</v>
      </c>
    </row>
    <row r="97" spans="1:15" s="95" customFormat="1" ht="15">
      <c r="A97" s="96">
        <v>87</v>
      </c>
      <c r="B97" s="271" t="s">
        <v>176</v>
      </c>
      <c r="C97" s="272">
        <v>40396</v>
      </c>
      <c r="D97" s="199" t="s">
        <v>36</v>
      </c>
      <c r="E97" s="273">
        <v>4</v>
      </c>
      <c r="F97" s="273">
        <v>2</v>
      </c>
      <c r="G97" s="273">
        <v>22</v>
      </c>
      <c r="H97" s="473">
        <v>1323</v>
      </c>
      <c r="I97" s="474">
        <v>206</v>
      </c>
      <c r="J97" s="118">
        <f aca="true" t="shared" si="14" ref="J97:J106">(I97/F97)</f>
        <v>103</v>
      </c>
      <c r="K97" s="195">
        <f aca="true" t="shared" si="15" ref="K97:K113">H97/I97</f>
        <v>6.422330097087379</v>
      </c>
      <c r="L97" s="9">
        <f>14959+9646+7725+4386+3960+14571+6049+4818+2605+3811+4797+6372+2996+165+950.5+1598.5+276+381+768+800+1224+1323</f>
        <v>94181</v>
      </c>
      <c r="M97" s="8">
        <f>1646+1123+1125+547+522+2218+896+595+438+656+743+1047+452+23+148+219+42+85+83+91+196+206</f>
        <v>13101</v>
      </c>
      <c r="N97" s="197">
        <f aca="true" t="shared" si="16" ref="N97:N106">L97/M97</f>
        <v>7.188840546523166</v>
      </c>
      <c r="O97" s="108">
        <v>87</v>
      </c>
    </row>
    <row r="98" spans="1:15" s="95" customFormat="1" ht="15">
      <c r="A98" s="96">
        <v>88</v>
      </c>
      <c r="B98" s="274" t="s">
        <v>176</v>
      </c>
      <c r="C98" s="275">
        <v>40396</v>
      </c>
      <c r="D98" s="199" t="s">
        <v>36</v>
      </c>
      <c r="E98" s="276">
        <v>4</v>
      </c>
      <c r="F98" s="276">
        <v>1</v>
      </c>
      <c r="G98" s="276">
        <v>21</v>
      </c>
      <c r="H98" s="477">
        <v>1224</v>
      </c>
      <c r="I98" s="478">
        <v>196</v>
      </c>
      <c r="J98" s="212">
        <f t="shared" si="14"/>
        <v>196</v>
      </c>
      <c r="K98" s="213">
        <f t="shared" si="15"/>
        <v>6.244897959183674</v>
      </c>
      <c r="L98" s="214">
        <f>14959+9646+7725+4386+3960+14571+6049+4818+2605+3811+4797+6372+2996+165+950.5+1598.5+276+381+768+800+1224</f>
        <v>92858</v>
      </c>
      <c r="M98" s="215">
        <f>1646+1123+1125+547+522+2218+896+595+438+656+743+1047+452+23+148+219+42+85+83+91+196</f>
        <v>12895</v>
      </c>
      <c r="N98" s="216">
        <f t="shared" si="16"/>
        <v>7.201085692128732</v>
      </c>
      <c r="O98" s="108">
        <v>88</v>
      </c>
    </row>
    <row r="99" spans="1:15" s="95" customFormat="1" ht="15">
      <c r="A99" s="96">
        <v>89</v>
      </c>
      <c r="B99" s="277" t="s">
        <v>176</v>
      </c>
      <c r="C99" s="35">
        <v>40396</v>
      </c>
      <c r="D99" s="31" t="s">
        <v>36</v>
      </c>
      <c r="E99" s="37">
        <v>4</v>
      </c>
      <c r="F99" s="37">
        <v>1</v>
      </c>
      <c r="G99" s="37">
        <v>24</v>
      </c>
      <c r="H99" s="473">
        <v>915</v>
      </c>
      <c r="I99" s="474">
        <v>126</v>
      </c>
      <c r="J99" s="118">
        <f t="shared" si="14"/>
        <v>126</v>
      </c>
      <c r="K99" s="195">
        <f t="shared" si="15"/>
        <v>7.261904761904762</v>
      </c>
      <c r="L99" s="9">
        <f>14959+9646+7725+4386+3960+14571+6049+4818+2605+3811+4797+6372+2996+165+950.5+1598.5+276+381+768+800+1224+1323+280+915</f>
        <v>95376</v>
      </c>
      <c r="M99" s="8">
        <f>1646+1123+1125+547+522+2218+896+595+438+656+743+1047+452+23+148+219+42+85+83+91+196+206+40+126</f>
        <v>13267</v>
      </c>
      <c r="N99" s="197">
        <f t="shared" si="16"/>
        <v>7.188965101379362</v>
      </c>
      <c r="O99" s="108">
        <v>89</v>
      </c>
    </row>
    <row r="100" spans="1:15" s="95" customFormat="1" ht="15">
      <c r="A100" s="96">
        <v>90</v>
      </c>
      <c r="B100" s="278" t="s">
        <v>176</v>
      </c>
      <c r="C100" s="35">
        <v>40396</v>
      </c>
      <c r="D100" s="199" t="s">
        <v>36</v>
      </c>
      <c r="E100" s="37">
        <v>4</v>
      </c>
      <c r="F100" s="37">
        <v>1</v>
      </c>
      <c r="G100" s="37">
        <v>20</v>
      </c>
      <c r="H100" s="473">
        <v>800</v>
      </c>
      <c r="I100" s="474">
        <v>91</v>
      </c>
      <c r="J100" s="118">
        <f t="shared" si="14"/>
        <v>91</v>
      </c>
      <c r="K100" s="195">
        <f t="shared" si="15"/>
        <v>8.791208791208792</v>
      </c>
      <c r="L100" s="9">
        <f>14959+9646+7725+4386+3960+14571+6049+4818+2605+3811+4797+6372+2996+165+950.5+1598.5+276+381+768+800</f>
        <v>91634</v>
      </c>
      <c r="M100" s="8">
        <f>1646+1123+1125+547+522+2218+896+595+438+656+743+1047+452+23+148+219+42+85+83+91</f>
        <v>12699</v>
      </c>
      <c r="N100" s="197">
        <f t="shared" si="16"/>
        <v>7.215843767225766</v>
      </c>
      <c r="O100" s="108">
        <v>90</v>
      </c>
    </row>
    <row r="101" spans="1:15" s="95" customFormat="1" ht="15">
      <c r="A101" s="96">
        <v>91</v>
      </c>
      <c r="B101" s="274" t="s">
        <v>176</v>
      </c>
      <c r="C101" s="275">
        <v>40396</v>
      </c>
      <c r="D101" s="199" t="s">
        <v>36</v>
      </c>
      <c r="E101" s="276">
        <v>4</v>
      </c>
      <c r="F101" s="276">
        <v>1</v>
      </c>
      <c r="G101" s="276">
        <v>19</v>
      </c>
      <c r="H101" s="477">
        <v>768</v>
      </c>
      <c r="I101" s="478">
        <v>83</v>
      </c>
      <c r="J101" s="212">
        <f t="shared" si="14"/>
        <v>83</v>
      </c>
      <c r="K101" s="213">
        <f t="shared" si="15"/>
        <v>9.25301204819277</v>
      </c>
      <c r="L101" s="214">
        <f>14959+9646+7725+4386+3960+14571+6049+4818+2605+3811+4797+6372+2996+165+950.5+1598.5+276+381+768</f>
        <v>90834</v>
      </c>
      <c r="M101" s="215">
        <f>1646+1123+1125+547+522+2218+896+595+438+656+743+1047+452+23+148+219+42+85+83</f>
        <v>12608</v>
      </c>
      <c r="N101" s="216">
        <f t="shared" si="16"/>
        <v>7.204473350253807</v>
      </c>
      <c r="O101" s="108">
        <v>91</v>
      </c>
    </row>
    <row r="102" spans="1:15" s="95" customFormat="1" ht="15">
      <c r="A102" s="96">
        <v>92</v>
      </c>
      <c r="B102" s="277" t="s">
        <v>176</v>
      </c>
      <c r="C102" s="35">
        <v>40396</v>
      </c>
      <c r="D102" s="31" t="s">
        <v>36</v>
      </c>
      <c r="E102" s="37">
        <v>4</v>
      </c>
      <c r="F102" s="37">
        <v>1</v>
      </c>
      <c r="G102" s="37">
        <v>25</v>
      </c>
      <c r="H102" s="473">
        <v>691</v>
      </c>
      <c r="I102" s="474">
        <v>100</v>
      </c>
      <c r="J102" s="118">
        <f t="shared" si="14"/>
        <v>100</v>
      </c>
      <c r="K102" s="195">
        <f t="shared" si="15"/>
        <v>6.91</v>
      </c>
      <c r="L102" s="9">
        <f>14959+9646+7725+4386+3960+14571+6049+4818+2605+3811+4797+6372+2996+165+950.5+1598.5+276+381+768+800+1224+1323+280+915+691</f>
        <v>96067</v>
      </c>
      <c r="M102" s="8">
        <f>1646+1123+1125+547+522+2218+896+595+438+656+743+1047+452+23+148+219+42+85+83+91+196+206+40+126+100</f>
        <v>13367</v>
      </c>
      <c r="N102" s="197">
        <f t="shared" si="16"/>
        <v>7.186878132714895</v>
      </c>
      <c r="O102" s="108">
        <v>92</v>
      </c>
    </row>
    <row r="103" spans="1:15" s="95" customFormat="1" ht="15">
      <c r="A103" s="96">
        <v>93</v>
      </c>
      <c r="B103" s="271" t="s">
        <v>176</v>
      </c>
      <c r="C103" s="272">
        <v>40396</v>
      </c>
      <c r="D103" s="199" t="s">
        <v>36</v>
      </c>
      <c r="E103" s="273">
        <v>4</v>
      </c>
      <c r="F103" s="273">
        <v>1</v>
      </c>
      <c r="G103" s="273">
        <v>23</v>
      </c>
      <c r="H103" s="475">
        <v>280</v>
      </c>
      <c r="I103" s="476">
        <v>40</v>
      </c>
      <c r="J103" s="203">
        <f t="shared" si="14"/>
        <v>40</v>
      </c>
      <c r="K103" s="200">
        <f t="shared" si="15"/>
        <v>7</v>
      </c>
      <c r="L103" s="27">
        <f>14959+9646+7725+4386+3960+14571+6049+4818+2605+3811+4797+6372+2996+165+950.5+1598.5+276+381+768+800+1224+1323+280</f>
        <v>94461</v>
      </c>
      <c r="M103" s="24">
        <f>1646+1123+1125+547+522+2218+896+595+438+656+743+1047+452+23+148+219+42+85+83+91+196+206+40</f>
        <v>13141</v>
      </c>
      <c r="N103" s="197">
        <f t="shared" si="16"/>
        <v>7.188265733201431</v>
      </c>
      <c r="O103" s="108">
        <v>93</v>
      </c>
    </row>
    <row r="104" spans="1:15" s="95" customFormat="1" ht="15">
      <c r="A104" s="96">
        <v>94</v>
      </c>
      <c r="B104" s="217" t="s">
        <v>177</v>
      </c>
      <c r="C104" s="34">
        <v>40430</v>
      </c>
      <c r="D104" s="199" t="s">
        <v>36</v>
      </c>
      <c r="E104" s="201">
        <v>57</v>
      </c>
      <c r="F104" s="201">
        <v>2</v>
      </c>
      <c r="G104" s="201">
        <v>17</v>
      </c>
      <c r="H104" s="473">
        <v>4752</v>
      </c>
      <c r="I104" s="474">
        <v>1188</v>
      </c>
      <c r="J104" s="118">
        <f t="shared" si="14"/>
        <v>594</v>
      </c>
      <c r="K104" s="195">
        <f t="shared" si="15"/>
        <v>4</v>
      </c>
      <c r="L104" s="9">
        <f>15818.5+150711.5+75138.5+33591.5+30249.5+17415.5+8294.5+10566+6016+6121.5+888.5+2484+322+4243.5+950.5+1782+1782+4752</f>
        <v>371127.5</v>
      </c>
      <c r="M104" s="8">
        <f>1512+15643+7345+4634+4073+2646+1136+2027+1109+1483+117+572+47+1041+237+445+446+1188</f>
        <v>45701</v>
      </c>
      <c r="N104" s="197">
        <f t="shared" si="16"/>
        <v>8.120774162490974</v>
      </c>
      <c r="O104" s="108">
        <v>94</v>
      </c>
    </row>
    <row r="105" spans="1:15" s="95" customFormat="1" ht="15">
      <c r="A105" s="96">
        <v>95</v>
      </c>
      <c r="B105" s="190" t="s">
        <v>177</v>
      </c>
      <c r="C105" s="34">
        <v>40430</v>
      </c>
      <c r="D105" s="199" t="s">
        <v>36</v>
      </c>
      <c r="E105" s="36">
        <v>57</v>
      </c>
      <c r="F105" s="36">
        <v>1</v>
      </c>
      <c r="G105" s="36">
        <v>16</v>
      </c>
      <c r="H105" s="473">
        <v>1782</v>
      </c>
      <c r="I105" s="474">
        <v>446</v>
      </c>
      <c r="J105" s="118">
        <f t="shared" si="14"/>
        <v>446</v>
      </c>
      <c r="K105" s="195">
        <f t="shared" si="15"/>
        <v>3.995515695067265</v>
      </c>
      <c r="L105" s="9">
        <f>15818.5+150711.5+75138.5+33591.5+30249.5+17415.5+8294.5+10566+6016+6121.5+888.5+2484+322+4243.5+950.5+1782+1782</f>
        <v>366375.5</v>
      </c>
      <c r="M105" s="8">
        <f>1512+15643+7345+4634+4073+2646+1136+2027+1109+1483+117+572+47+1041+237+445+446</f>
        <v>44513</v>
      </c>
      <c r="N105" s="197">
        <f t="shared" si="16"/>
        <v>8.230752813784736</v>
      </c>
      <c r="O105" s="108">
        <v>95</v>
      </c>
    </row>
    <row r="106" spans="1:15" s="95" customFormat="1" ht="15">
      <c r="A106" s="96">
        <v>96</v>
      </c>
      <c r="B106" s="190" t="s">
        <v>177</v>
      </c>
      <c r="C106" s="34">
        <v>40430</v>
      </c>
      <c r="D106" s="199" t="s">
        <v>36</v>
      </c>
      <c r="E106" s="36">
        <v>57</v>
      </c>
      <c r="F106" s="36">
        <v>1</v>
      </c>
      <c r="G106" s="36">
        <v>15</v>
      </c>
      <c r="H106" s="473">
        <v>1782</v>
      </c>
      <c r="I106" s="474">
        <v>445</v>
      </c>
      <c r="J106" s="118">
        <f t="shared" si="14"/>
        <v>445</v>
      </c>
      <c r="K106" s="195">
        <f t="shared" si="15"/>
        <v>4.004494382022472</v>
      </c>
      <c r="L106" s="9">
        <f>15818.5+150711.5+75138.5+33591.5+30249.5+17415.5+8294.5+10566+6016+6121.5+888.5+2484+322+4243.5+950.5+1782</f>
        <v>364593.5</v>
      </c>
      <c r="M106" s="8">
        <f>1512+15643+7345+4634+4073+2646+1136+2027+1109+1483+117+572+47+1041+237+445</f>
        <v>44067</v>
      </c>
      <c r="N106" s="197">
        <f t="shared" si="16"/>
        <v>8.273617446161527</v>
      </c>
      <c r="O106" s="108">
        <v>96</v>
      </c>
    </row>
    <row r="107" spans="1:15" s="95" customFormat="1" ht="15">
      <c r="A107" s="96">
        <v>97</v>
      </c>
      <c r="B107" s="217" t="s">
        <v>178</v>
      </c>
      <c r="C107" s="32">
        <v>40319</v>
      </c>
      <c r="D107" s="199" t="s">
        <v>32</v>
      </c>
      <c r="E107" s="201">
        <v>55</v>
      </c>
      <c r="F107" s="201">
        <v>1</v>
      </c>
      <c r="G107" s="201">
        <v>18</v>
      </c>
      <c r="H107" s="486">
        <v>4324</v>
      </c>
      <c r="I107" s="487">
        <v>864</v>
      </c>
      <c r="J107" s="115">
        <f aca="true" t="shared" si="17" ref="J107:J113">I107/F107</f>
        <v>864</v>
      </c>
      <c r="K107" s="225">
        <f t="shared" si="15"/>
        <v>5.00462962962963</v>
      </c>
      <c r="L107" s="41">
        <f>65145+41204+28599.5+10743+2405+0.5+2368+274+127+891+124+545+573+114+1943+465+416+216+4324</f>
        <v>160477</v>
      </c>
      <c r="M107" s="44">
        <f>6350+4165+3879+1659+455+341+36+22+135+21+109+98+19+321+74+58+35+864</f>
        <v>18641</v>
      </c>
      <c r="N107" s="220">
        <f aca="true" t="shared" si="18" ref="N107:N113">+L107/M107</f>
        <v>8.608819269352503</v>
      </c>
      <c r="O107" s="108">
        <v>97</v>
      </c>
    </row>
    <row r="108" spans="1:15" s="95" customFormat="1" ht="15">
      <c r="A108" s="96">
        <v>98</v>
      </c>
      <c r="B108" s="221" t="s">
        <v>179</v>
      </c>
      <c r="C108" s="2">
        <v>40508</v>
      </c>
      <c r="D108" s="23" t="s">
        <v>10</v>
      </c>
      <c r="E108" s="3">
        <v>72</v>
      </c>
      <c r="F108" s="3">
        <v>12</v>
      </c>
      <c r="G108" s="3">
        <v>6</v>
      </c>
      <c r="H108" s="481">
        <v>10277</v>
      </c>
      <c r="I108" s="480">
        <v>1355</v>
      </c>
      <c r="J108" s="115">
        <f t="shared" si="17"/>
        <v>112.91666666666667</v>
      </c>
      <c r="K108" s="222">
        <f t="shared" si="15"/>
        <v>7.58450184501845</v>
      </c>
      <c r="L108" s="39">
        <v>1208960</v>
      </c>
      <c r="M108" s="47">
        <v>105047</v>
      </c>
      <c r="N108" s="220">
        <f t="shared" si="18"/>
        <v>11.508753224747018</v>
      </c>
      <c r="O108" s="108">
        <v>98</v>
      </c>
    </row>
    <row r="109" spans="1:15" s="95" customFormat="1" ht="15">
      <c r="A109" s="96">
        <v>99</v>
      </c>
      <c r="B109" s="223" t="s">
        <v>179</v>
      </c>
      <c r="C109" s="2">
        <v>40508</v>
      </c>
      <c r="D109" s="16" t="s">
        <v>10</v>
      </c>
      <c r="E109" s="4">
        <v>72</v>
      </c>
      <c r="F109" s="4">
        <v>2</v>
      </c>
      <c r="G109" s="4">
        <v>8</v>
      </c>
      <c r="H109" s="479">
        <v>2043</v>
      </c>
      <c r="I109" s="480">
        <v>282</v>
      </c>
      <c r="J109" s="115">
        <f t="shared" si="17"/>
        <v>141</v>
      </c>
      <c r="K109" s="208">
        <f t="shared" si="15"/>
        <v>7.24468085106383</v>
      </c>
      <c r="L109" s="42">
        <v>1211516</v>
      </c>
      <c r="M109" s="47">
        <v>105388</v>
      </c>
      <c r="N109" s="220">
        <f t="shared" si="18"/>
        <v>11.495768019129313</v>
      </c>
      <c r="O109" s="108">
        <v>99</v>
      </c>
    </row>
    <row r="110" spans="1:15" s="95" customFormat="1" ht="15">
      <c r="A110" s="96">
        <v>100</v>
      </c>
      <c r="B110" s="219" t="s">
        <v>179</v>
      </c>
      <c r="C110" s="2">
        <v>40508</v>
      </c>
      <c r="D110" s="23" t="s">
        <v>10</v>
      </c>
      <c r="E110" s="3">
        <v>72</v>
      </c>
      <c r="F110" s="3">
        <v>1</v>
      </c>
      <c r="G110" s="3">
        <v>7</v>
      </c>
      <c r="H110" s="479">
        <v>513</v>
      </c>
      <c r="I110" s="480">
        <v>59</v>
      </c>
      <c r="J110" s="115">
        <f t="shared" si="17"/>
        <v>59</v>
      </c>
      <c r="K110" s="208">
        <f t="shared" si="15"/>
        <v>8.694915254237289</v>
      </c>
      <c r="L110" s="42">
        <v>1209473</v>
      </c>
      <c r="M110" s="47">
        <v>105106</v>
      </c>
      <c r="N110" s="220">
        <f t="shared" si="18"/>
        <v>11.507173710349551</v>
      </c>
      <c r="O110" s="108">
        <v>100</v>
      </c>
    </row>
    <row r="111" spans="1:15" s="95" customFormat="1" ht="15">
      <c r="A111" s="96">
        <v>101</v>
      </c>
      <c r="B111" s="221" t="s">
        <v>180</v>
      </c>
      <c r="C111" s="2">
        <v>40459</v>
      </c>
      <c r="D111" s="23" t="s">
        <v>10</v>
      </c>
      <c r="E111" s="3">
        <v>55</v>
      </c>
      <c r="F111" s="3">
        <v>3</v>
      </c>
      <c r="G111" s="3">
        <v>13</v>
      </c>
      <c r="H111" s="481">
        <v>2794</v>
      </c>
      <c r="I111" s="480">
        <v>385</v>
      </c>
      <c r="J111" s="115">
        <f t="shared" si="17"/>
        <v>128.33333333333334</v>
      </c>
      <c r="K111" s="222">
        <f t="shared" si="15"/>
        <v>7.257142857142857</v>
      </c>
      <c r="L111" s="39">
        <v>2711808</v>
      </c>
      <c r="M111" s="47">
        <v>235959</v>
      </c>
      <c r="N111" s="220">
        <f t="shared" si="18"/>
        <v>11.492708479015421</v>
      </c>
      <c r="O111" s="108">
        <v>101</v>
      </c>
    </row>
    <row r="112" spans="1:15" s="95" customFormat="1" ht="15">
      <c r="A112" s="96">
        <v>102</v>
      </c>
      <c r="B112" s="219" t="s">
        <v>180</v>
      </c>
      <c r="C112" s="2">
        <v>40459</v>
      </c>
      <c r="D112" s="18" t="s">
        <v>10</v>
      </c>
      <c r="E112" s="3">
        <v>55</v>
      </c>
      <c r="F112" s="3">
        <v>2</v>
      </c>
      <c r="G112" s="3">
        <v>17</v>
      </c>
      <c r="H112" s="479">
        <v>1379</v>
      </c>
      <c r="I112" s="480">
        <v>340</v>
      </c>
      <c r="J112" s="115">
        <f t="shared" si="17"/>
        <v>170</v>
      </c>
      <c r="K112" s="208">
        <f t="shared" si="15"/>
        <v>4.055882352941176</v>
      </c>
      <c r="L112" s="42">
        <v>2715672</v>
      </c>
      <c r="M112" s="47">
        <v>237405</v>
      </c>
      <c r="N112" s="220">
        <f t="shared" si="18"/>
        <v>11.438984014658494</v>
      </c>
      <c r="O112" s="108">
        <v>102</v>
      </c>
    </row>
    <row r="113" spans="1:15" s="95" customFormat="1" ht="15">
      <c r="A113" s="96">
        <v>103</v>
      </c>
      <c r="B113" s="223" t="s">
        <v>180</v>
      </c>
      <c r="C113" s="2">
        <v>40459</v>
      </c>
      <c r="D113" s="16" t="s">
        <v>10</v>
      </c>
      <c r="E113" s="4">
        <v>55</v>
      </c>
      <c r="F113" s="4">
        <v>1</v>
      </c>
      <c r="G113" s="4">
        <v>14</v>
      </c>
      <c r="H113" s="479">
        <v>1190</v>
      </c>
      <c r="I113" s="480">
        <v>238</v>
      </c>
      <c r="J113" s="115">
        <f t="shared" si="17"/>
        <v>238</v>
      </c>
      <c r="K113" s="208">
        <f t="shared" si="15"/>
        <v>5</v>
      </c>
      <c r="L113" s="42">
        <v>2712998</v>
      </c>
      <c r="M113" s="47">
        <v>236197</v>
      </c>
      <c r="N113" s="220">
        <f t="shared" si="18"/>
        <v>11.486166208715606</v>
      </c>
      <c r="O113" s="108">
        <v>103</v>
      </c>
    </row>
    <row r="114" spans="1:15" s="95" customFormat="1" ht="15">
      <c r="A114" s="96">
        <v>104</v>
      </c>
      <c r="B114" s="279" t="s">
        <v>180</v>
      </c>
      <c r="C114" s="280">
        <v>40459</v>
      </c>
      <c r="D114" s="281" t="s">
        <v>10</v>
      </c>
      <c r="E114" s="282">
        <v>55</v>
      </c>
      <c r="F114" s="282">
        <v>1</v>
      </c>
      <c r="G114" s="282">
        <v>16</v>
      </c>
      <c r="H114" s="479">
        <v>182</v>
      </c>
      <c r="I114" s="480">
        <v>40</v>
      </c>
      <c r="J114" s="115">
        <v>40</v>
      </c>
      <c r="K114" s="208">
        <v>4.55</v>
      </c>
      <c r="L114" s="42">
        <v>2714293</v>
      </c>
      <c r="M114" s="47">
        <v>237065</v>
      </c>
      <c r="N114" s="220">
        <v>11.449572901946723</v>
      </c>
      <c r="O114" s="108">
        <v>104</v>
      </c>
    </row>
    <row r="115" spans="1:15" s="95" customFormat="1" ht="15">
      <c r="A115" s="96">
        <v>105</v>
      </c>
      <c r="B115" s="217" t="s">
        <v>181</v>
      </c>
      <c r="C115" s="202">
        <v>40333</v>
      </c>
      <c r="D115" s="199" t="s">
        <v>36</v>
      </c>
      <c r="E115" s="201">
        <v>2</v>
      </c>
      <c r="F115" s="201">
        <v>1</v>
      </c>
      <c r="G115" s="201">
        <v>18</v>
      </c>
      <c r="H115" s="475">
        <v>1307</v>
      </c>
      <c r="I115" s="476">
        <v>327</v>
      </c>
      <c r="J115" s="203">
        <f>(I115/F115)</f>
        <v>327</v>
      </c>
      <c r="K115" s="200">
        <f>H115/I115</f>
        <v>3.996941896024465</v>
      </c>
      <c r="L115" s="27">
        <f>20966+1047+769+1091.5+1901+1090.5+330+94+107+1307</f>
        <v>28703</v>
      </c>
      <c r="M115" s="24">
        <f>2304+127+92+121+475+146+92+18+21+327</f>
        <v>3723</v>
      </c>
      <c r="N115" s="197">
        <f>L115/M115</f>
        <v>7.7096427612140745</v>
      </c>
      <c r="O115" s="108">
        <v>105</v>
      </c>
    </row>
    <row r="116" spans="1:15" s="95" customFormat="1" ht="15">
      <c r="A116" s="96">
        <v>106</v>
      </c>
      <c r="B116" s="221" t="s">
        <v>182</v>
      </c>
      <c r="C116" s="2">
        <v>40207</v>
      </c>
      <c r="D116" s="23" t="s">
        <v>22</v>
      </c>
      <c r="E116" s="3">
        <v>47</v>
      </c>
      <c r="F116" s="3">
        <v>2</v>
      </c>
      <c r="G116" s="3">
        <v>40</v>
      </c>
      <c r="H116" s="485">
        <v>1782</v>
      </c>
      <c r="I116" s="484">
        <v>356</v>
      </c>
      <c r="J116" s="102">
        <f aca="true" t="shared" si="19" ref="J116:J121">IF(H116&lt;&gt;0,I116/F116,"")</f>
        <v>178</v>
      </c>
      <c r="K116" s="229">
        <f aca="true" t="shared" si="20" ref="K116:K121">IF(H116&lt;&gt;0,H116/I116,"")</f>
        <v>5.00561797752809</v>
      </c>
      <c r="L116" s="38">
        <f>1873890.5+5542+564+70+558+190+292+283.5+618+H116</f>
        <v>1883790</v>
      </c>
      <c r="M116" s="44">
        <f>160830+1202+112+10+80+27+42+44+119+I116</f>
        <v>162822</v>
      </c>
      <c r="N116" s="228">
        <f aca="true" t="shared" si="21" ref="N116:N121">IF(L116&lt;&gt;0,L116/M116,"")</f>
        <v>11.569628182923683</v>
      </c>
      <c r="O116" s="108">
        <v>106</v>
      </c>
    </row>
    <row r="117" spans="1:15" s="95" customFormat="1" ht="15">
      <c r="A117" s="96">
        <v>107</v>
      </c>
      <c r="B117" s="283" t="s">
        <v>182</v>
      </c>
      <c r="C117" s="2">
        <v>40207</v>
      </c>
      <c r="D117" s="18" t="s">
        <v>22</v>
      </c>
      <c r="E117" s="3">
        <v>47</v>
      </c>
      <c r="F117" s="3">
        <v>1</v>
      </c>
      <c r="G117" s="3">
        <v>45</v>
      </c>
      <c r="H117" s="483">
        <v>450</v>
      </c>
      <c r="I117" s="484">
        <v>29</v>
      </c>
      <c r="J117" s="102">
        <f t="shared" si="19"/>
        <v>29</v>
      </c>
      <c r="K117" s="227">
        <f t="shared" si="20"/>
        <v>15.517241379310345</v>
      </c>
      <c r="L117" s="40">
        <f>1883790+184+100+80+110+450</f>
        <v>1884714</v>
      </c>
      <c r="M117" s="44">
        <f>162822+46+10+8+11+29</f>
        <v>162926</v>
      </c>
      <c r="N117" s="228">
        <f t="shared" si="21"/>
        <v>11.567914267827112</v>
      </c>
      <c r="O117" s="108">
        <v>107</v>
      </c>
    </row>
    <row r="118" spans="1:15" s="95" customFormat="1" ht="15">
      <c r="A118" s="96">
        <v>108</v>
      </c>
      <c r="B118" s="219" t="s">
        <v>182</v>
      </c>
      <c r="C118" s="2">
        <v>40207</v>
      </c>
      <c r="D118" s="23" t="s">
        <v>22</v>
      </c>
      <c r="E118" s="3">
        <v>47</v>
      </c>
      <c r="F118" s="3">
        <v>1</v>
      </c>
      <c r="G118" s="3">
        <v>41</v>
      </c>
      <c r="H118" s="483">
        <v>184</v>
      </c>
      <c r="I118" s="484">
        <v>46</v>
      </c>
      <c r="J118" s="102">
        <f t="shared" si="19"/>
        <v>46</v>
      </c>
      <c r="K118" s="227">
        <f t="shared" si="20"/>
        <v>4</v>
      </c>
      <c r="L118" s="40">
        <f>1883790+184</f>
        <v>1883974</v>
      </c>
      <c r="M118" s="44">
        <f>162822+46</f>
        <v>162868</v>
      </c>
      <c r="N118" s="228">
        <f t="shared" si="21"/>
        <v>11.567490237492938</v>
      </c>
      <c r="O118" s="108">
        <v>108</v>
      </c>
    </row>
    <row r="119" spans="1:15" s="95" customFormat="1" ht="15">
      <c r="A119" s="96">
        <v>109</v>
      </c>
      <c r="B119" s="219" t="s">
        <v>182</v>
      </c>
      <c r="C119" s="2">
        <v>40207</v>
      </c>
      <c r="D119" s="18" t="s">
        <v>22</v>
      </c>
      <c r="E119" s="3">
        <v>47</v>
      </c>
      <c r="F119" s="3">
        <v>1</v>
      </c>
      <c r="G119" s="3">
        <v>44</v>
      </c>
      <c r="H119" s="483">
        <v>110</v>
      </c>
      <c r="I119" s="484">
        <v>11</v>
      </c>
      <c r="J119" s="102">
        <f t="shared" si="19"/>
        <v>11</v>
      </c>
      <c r="K119" s="227">
        <f t="shared" si="20"/>
        <v>10</v>
      </c>
      <c r="L119" s="40">
        <f>1883790+184+100+80+110</f>
        <v>1884264</v>
      </c>
      <c r="M119" s="44">
        <f>162822+46+10+8+11</f>
        <v>162897</v>
      </c>
      <c r="N119" s="228">
        <f t="shared" si="21"/>
        <v>11.567211182526382</v>
      </c>
      <c r="O119" s="108">
        <v>109</v>
      </c>
    </row>
    <row r="120" spans="1:15" s="95" customFormat="1" ht="15">
      <c r="A120" s="96">
        <v>110</v>
      </c>
      <c r="B120" s="223" t="s">
        <v>182</v>
      </c>
      <c r="C120" s="17">
        <v>40207</v>
      </c>
      <c r="D120" s="16" t="s">
        <v>22</v>
      </c>
      <c r="E120" s="4">
        <v>47</v>
      </c>
      <c r="F120" s="4">
        <v>1</v>
      </c>
      <c r="G120" s="4">
        <v>42</v>
      </c>
      <c r="H120" s="483">
        <v>100</v>
      </c>
      <c r="I120" s="484">
        <v>10</v>
      </c>
      <c r="J120" s="102">
        <f t="shared" si="19"/>
        <v>10</v>
      </c>
      <c r="K120" s="227">
        <f t="shared" si="20"/>
        <v>10</v>
      </c>
      <c r="L120" s="40">
        <f>1883790+184+100</f>
        <v>1884074</v>
      </c>
      <c r="M120" s="44">
        <f>162822+46+10</f>
        <v>162878</v>
      </c>
      <c r="N120" s="228">
        <f t="shared" si="21"/>
        <v>11.56739400041749</v>
      </c>
      <c r="O120" s="108">
        <v>110</v>
      </c>
    </row>
    <row r="121" spans="1:15" s="95" customFormat="1" ht="15">
      <c r="A121" s="96">
        <v>111</v>
      </c>
      <c r="B121" s="223" t="s">
        <v>182</v>
      </c>
      <c r="C121" s="17">
        <v>40207</v>
      </c>
      <c r="D121" s="16" t="s">
        <v>22</v>
      </c>
      <c r="E121" s="4">
        <v>47</v>
      </c>
      <c r="F121" s="4">
        <v>1</v>
      </c>
      <c r="G121" s="4">
        <v>43</v>
      </c>
      <c r="H121" s="485">
        <v>80</v>
      </c>
      <c r="I121" s="498">
        <v>8</v>
      </c>
      <c r="J121" s="284">
        <f t="shared" si="19"/>
        <v>8</v>
      </c>
      <c r="K121" s="229">
        <f t="shared" si="20"/>
        <v>10</v>
      </c>
      <c r="L121" s="38">
        <f>1883790+184+100+80</f>
        <v>1884154</v>
      </c>
      <c r="M121" s="29">
        <f>162822+46+10+8</f>
        <v>162886</v>
      </c>
      <c r="N121" s="228">
        <f t="shared" si="21"/>
        <v>11.567317019265007</v>
      </c>
      <c r="O121" s="108">
        <v>111</v>
      </c>
    </row>
    <row r="122" spans="1:15" s="95" customFormat="1" ht="15">
      <c r="A122" s="96">
        <v>112</v>
      </c>
      <c r="B122" s="217" t="s">
        <v>252</v>
      </c>
      <c r="C122" s="32">
        <v>39766</v>
      </c>
      <c r="D122" s="199" t="s">
        <v>169</v>
      </c>
      <c r="E122" s="201">
        <v>17</v>
      </c>
      <c r="F122" s="201">
        <v>1</v>
      </c>
      <c r="G122" s="201">
        <v>27</v>
      </c>
      <c r="H122" s="491">
        <v>403</v>
      </c>
      <c r="I122" s="492">
        <v>2016</v>
      </c>
      <c r="J122" s="106">
        <v>2016</v>
      </c>
      <c r="K122" s="285">
        <v>0.19990079365079366</v>
      </c>
      <c r="L122" s="250">
        <v>93607</v>
      </c>
      <c r="M122" s="251">
        <v>13556</v>
      </c>
      <c r="N122" s="252">
        <v>6.9052080259663615</v>
      </c>
      <c r="O122" s="108">
        <v>112</v>
      </c>
    </row>
    <row r="123" spans="1:15" s="95" customFormat="1" ht="15">
      <c r="A123" s="96">
        <v>113</v>
      </c>
      <c r="B123" s="190" t="s">
        <v>183</v>
      </c>
      <c r="C123" s="34">
        <v>39878</v>
      </c>
      <c r="D123" s="31" t="s">
        <v>36</v>
      </c>
      <c r="E123" s="36">
        <v>39</v>
      </c>
      <c r="F123" s="36">
        <v>1</v>
      </c>
      <c r="G123" s="36">
        <v>38</v>
      </c>
      <c r="H123" s="473">
        <v>708</v>
      </c>
      <c r="I123" s="474">
        <v>164</v>
      </c>
      <c r="J123" s="118">
        <f>(I123/F123)</f>
        <v>164</v>
      </c>
      <c r="K123" s="195">
        <f aca="true" t="shared" si="22" ref="K123:K143">H123/I123</f>
        <v>4.317073170731708</v>
      </c>
      <c r="L123" s="9">
        <f>143992.5+82756.5+42509+41229+27290.5+16668+27602+17675+4710+8504.5+2403+4164+2272+3469+1997+135+299+674+178+30+240+1413+1006+209+393+680+1780+4040+1780+1780+952+745+2376+2376+2376+4752+2376+708</f>
        <v>458540</v>
      </c>
      <c r="M123" s="8">
        <f>15320+9228+5096+5970+4485+3115+5134+3946+1139+2307+509+879+411+637+472+29+62+165+32+6+48+348+139+43+54+68+445+1010+445+445+238+149+594+594+594+1188+594+164</f>
        <v>66102</v>
      </c>
      <c r="N123" s="197">
        <f>L123/M123</f>
        <v>6.93685516323258</v>
      </c>
      <c r="O123" s="108">
        <v>113</v>
      </c>
    </row>
    <row r="124" spans="1:15" s="95" customFormat="1" ht="15">
      <c r="A124" s="96">
        <v>114</v>
      </c>
      <c r="B124" s="221" t="s">
        <v>184</v>
      </c>
      <c r="C124" s="2">
        <v>40499</v>
      </c>
      <c r="D124" s="23" t="s">
        <v>10</v>
      </c>
      <c r="E124" s="3">
        <v>216</v>
      </c>
      <c r="F124" s="3">
        <v>34</v>
      </c>
      <c r="G124" s="3">
        <v>7</v>
      </c>
      <c r="H124" s="481">
        <v>30434</v>
      </c>
      <c r="I124" s="480">
        <v>4757</v>
      </c>
      <c r="J124" s="115">
        <f aca="true" t="shared" si="23" ref="J124:J130">I124/F124</f>
        <v>139.91176470588235</v>
      </c>
      <c r="K124" s="222">
        <f t="shared" si="22"/>
        <v>6.397729661551398</v>
      </c>
      <c r="L124" s="39">
        <v>7544141</v>
      </c>
      <c r="M124" s="47">
        <v>795478</v>
      </c>
      <c r="N124" s="220">
        <f aca="true" t="shared" si="24" ref="N124:N130">+L124/M124</f>
        <v>9.4837833353028</v>
      </c>
      <c r="O124" s="108">
        <v>114</v>
      </c>
    </row>
    <row r="125" spans="1:15" s="95" customFormat="1" ht="15">
      <c r="A125" s="96">
        <v>115</v>
      </c>
      <c r="B125" s="219" t="s">
        <v>184</v>
      </c>
      <c r="C125" s="2">
        <v>40499</v>
      </c>
      <c r="D125" s="23" t="s">
        <v>10</v>
      </c>
      <c r="E125" s="3">
        <v>216</v>
      </c>
      <c r="F125" s="3">
        <v>6</v>
      </c>
      <c r="G125" s="3">
        <v>8</v>
      </c>
      <c r="H125" s="479">
        <v>5700</v>
      </c>
      <c r="I125" s="480">
        <v>1097</v>
      </c>
      <c r="J125" s="115">
        <f t="shared" si="23"/>
        <v>182.83333333333334</v>
      </c>
      <c r="K125" s="208">
        <f t="shared" si="22"/>
        <v>5.195989061075661</v>
      </c>
      <c r="L125" s="42">
        <v>7549841</v>
      </c>
      <c r="M125" s="47">
        <v>796575</v>
      </c>
      <c r="N125" s="220">
        <f t="shared" si="24"/>
        <v>9.477878416972665</v>
      </c>
      <c r="O125" s="108">
        <v>115</v>
      </c>
    </row>
    <row r="126" spans="1:15" s="95" customFormat="1" ht="15">
      <c r="A126" s="96">
        <v>116</v>
      </c>
      <c r="B126" s="223" t="s">
        <v>184</v>
      </c>
      <c r="C126" s="2">
        <v>40499</v>
      </c>
      <c r="D126" s="16" t="s">
        <v>10</v>
      </c>
      <c r="E126" s="4">
        <v>216</v>
      </c>
      <c r="F126" s="4">
        <v>6</v>
      </c>
      <c r="G126" s="4">
        <v>9</v>
      </c>
      <c r="H126" s="479">
        <v>5414</v>
      </c>
      <c r="I126" s="480">
        <v>1277</v>
      </c>
      <c r="J126" s="115">
        <f t="shared" si="23"/>
        <v>212.83333333333334</v>
      </c>
      <c r="K126" s="208">
        <f t="shared" si="22"/>
        <v>4.239624119028974</v>
      </c>
      <c r="L126" s="42">
        <v>7555255</v>
      </c>
      <c r="M126" s="47">
        <v>797852</v>
      </c>
      <c r="N126" s="220">
        <f t="shared" si="24"/>
        <v>9.4694943423091</v>
      </c>
      <c r="O126" s="108">
        <v>116</v>
      </c>
    </row>
    <row r="127" spans="1:15" s="95" customFormat="1" ht="15">
      <c r="A127" s="96">
        <v>117</v>
      </c>
      <c r="B127" s="219" t="s">
        <v>184</v>
      </c>
      <c r="C127" s="2">
        <v>40499</v>
      </c>
      <c r="D127" s="18" t="s">
        <v>10</v>
      </c>
      <c r="E127" s="3">
        <v>216</v>
      </c>
      <c r="F127" s="3">
        <v>3</v>
      </c>
      <c r="G127" s="3">
        <v>13</v>
      </c>
      <c r="H127" s="479">
        <v>1907</v>
      </c>
      <c r="I127" s="480">
        <v>449</v>
      </c>
      <c r="J127" s="115">
        <f t="shared" si="23"/>
        <v>149.66666666666666</v>
      </c>
      <c r="K127" s="208">
        <f t="shared" si="22"/>
        <v>4.247216035634744</v>
      </c>
      <c r="L127" s="42">
        <v>7557967</v>
      </c>
      <c r="M127" s="47">
        <v>798432</v>
      </c>
      <c r="N127" s="220">
        <f t="shared" si="24"/>
        <v>9.466012133782213</v>
      </c>
      <c r="O127" s="108">
        <v>117</v>
      </c>
    </row>
    <row r="128" spans="1:15" s="95" customFormat="1" ht="15">
      <c r="A128" s="96">
        <v>118</v>
      </c>
      <c r="B128" s="221" t="s">
        <v>184</v>
      </c>
      <c r="C128" s="2">
        <v>40499</v>
      </c>
      <c r="D128" s="18" t="s">
        <v>10</v>
      </c>
      <c r="E128" s="3">
        <v>216</v>
      </c>
      <c r="F128" s="3">
        <v>1</v>
      </c>
      <c r="G128" s="3">
        <v>10</v>
      </c>
      <c r="H128" s="479">
        <v>280</v>
      </c>
      <c r="I128" s="480">
        <v>46</v>
      </c>
      <c r="J128" s="115">
        <f t="shared" si="23"/>
        <v>46</v>
      </c>
      <c r="K128" s="208">
        <f t="shared" si="22"/>
        <v>6.086956521739131</v>
      </c>
      <c r="L128" s="42">
        <v>7555535</v>
      </c>
      <c r="M128" s="47">
        <v>797898</v>
      </c>
      <c r="N128" s="220">
        <f t="shared" si="24"/>
        <v>9.469299334000086</v>
      </c>
      <c r="O128" s="108">
        <v>118</v>
      </c>
    </row>
    <row r="129" spans="1:15" s="95" customFormat="1" ht="15">
      <c r="A129" s="96">
        <v>119</v>
      </c>
      <c r="B129" s="223" t="s">
        <v>184</v>
      </c>
      <c r="C129" s="2">
        <v>40499</v>
      </c>
      <c r="D129" s="16" t="s">
        <v>10</v>
      </c>
      <c r="E129" s="4">
        <v>216</v>
      </c>
      <c r="F129" s="4">
        <v>1</v>
      </c>
      <c r="G129" s="4">
        <v>12</v>
      </c>
      <c r="H129" s="479">
        <v>265</v>
      </c>
      <c r="I129" s="480">
        <v>42</v>
      </c>
      <c r="J129" s="115">
        <f t="shared" si="23"/>
        <v>42</v>
      </c>
      <c r="K129" s="208">
        <f t="shared" si="22"/>
        <v>6.309523809523809</v>
      </c>
      <c r="L129" s="42">
        <v>7556060</v>
      </c>
      <c r="M129" s="47">
        <v>797983</v>
      </c>
      <c r="N129" s="220">
        <f t="shared" si="24"/>
        <v>9.468948586624025</v>
      </c>
      <c r="O129" s="108">
        <v>119</v>
      </c>
    </row>
    <row r="130" spans="1:15" s="95" customFormat="1" ht="15">
      <c r="A130" s="96">
        <v>120</v>
      </c>
      <c r="B130" s="219" t="s">
        <v>184</v>
      </c>
      <c r="C130" s="2">
        <v>40499</v>
      </c>
      <c r="D130" s="18" t="s">
        <v>10</v>
      </c>
      <c r="E130" s="3">
        <v>216</v>
      </c>
      <c r="F130" s="3">
        <v>1</v>
      </c>
      <c r="G130" s="3">
        <v>11</v>
      </c>
      <c r="H130" s="479">
        <v>260</v>
      </c>
      <c r="I130" s="480">
        <v>43</v>
      </c>
      <c r="J130" s="115">
        <f t="shared" si="23"/>
        <v>43</v>
      </c>
      <c r="K130" s="208">
        <f t="shared" si="22"/>
        <v>6.046511627906977</v>
      </c>
      <c r="L130" s="42">
        <v>7555795</v>
      </c>
      <c r="M130" s="47">
        <v>797941</v>
      </c>
      <c r="N130" s="220">
        <f t="shared" si="24"/>
        <v>9.46911488443381</v>
      </c>
      <c r="O130" s="108">
        <v>120</v>
      </c>
    </row>
    <row r="131" spans="1:15" s="95" customFormat="1" ht="15">
      <c r="A131" s="96">
        <v>121</v>
      </c>
      <c r="B131" s="190" t="s">
        <v>253</v>
      </c>
      <c r="C131" s="34">
        <v>39899</v>
      </c>
      <c r="D131" s="199" t="s">
        <v>36</v>
      </c>
      <c r="E131" s="36">
        <v>16</v>
      </c>
      <c r="F131" s="36">
        <v>1</v>
      </c>
      <c r="G131" s="36">
        <v>22</v>
      </c>
      <c r="H131" s="473">
        <v>2140</v>
      </c>
      <c r="I131" s="474">
        <v>535</v>
      </c>
      <c r="J131" s="118">
        <f>(I131/F131)</f>
        <v>535</v>
      </c>
      <c r="K131" s="195">
        <f t="shared" si="22"/>
        <v>4</v>
      </c>
      <c r="L131" s="9">
        <f>31480+15536+8716+2149+2897+1360+2390+1251+322+381+329+492+928+436+1103+1913+46+240+669.28+648.46+226+2140</f>
        <v>75652.74</v>
      </c>
      <c r="M131" s="8">
        <f>3450+1778+1361+440+508+248+548+290+68+72+58+96+96+70+137+309+9+48+150+151+48+535</f>
        <v>10470</v>
      </c>
      <c r="N131" s="197">
        <f>L131/M131</f>
        <v>7.225667621776505</v>
      </c>
      <c r="O131" s="108">
        <v>121</v>
      </c>
    </row>
    <row r="132" spans="1:15" s="95" customFormat="1" ht="15">
      <c r="A132" s="96">
        <v>122</v>
      </c>
      <c r="B132" s="217" t="s">
        <v>185</v>
      </c>
      <c r="C132" s="202">
        <v>39892</v>
      </c>
      <c r="D132" s="199" t="s">
        <v>36</v>
      </c>
      <c r="E132" s="201">
        <v>5</v>
      </c>
      <c r="F132" s="201">
        <v>1</v>
      </c>
      <c r="G132" s="201">
        <v>24</v>
      </c>
      <c r="H132" s="499">
        <v>952</v>
      </c>
      <c r="I132" s="500">
        <v>238</v>
      </c>
      <c r="J132" s="43">
        <f>(I132/F132)</f>
        <v>238</v>
      </c>
      <c r="K132" s="286">
        <f t="shared" si="22"/>
        <v>4</v>
      </c>
      <c r="L132" s="6">
        <f>18881.5+13473+6553+4173.5+2378+3269+2172+792+240+60+1236+552+1321+1757+465+884+565+65+261+952+114+51+2376+952</f>
        <v>63543</v>
      </c>
      <c r="M132" s="7">
        <f>2268+1745+795+568+579+610+541+209+80+20+215+68+169+337+93+144+93+15+56+238+23+20+594+238</f>
        <v>9718</v>
      </c>
      <c r="N132" s="287">
        <f>L132/M132</f>
        <v>6.538691088701379</v>
      </c>
      <c r="O132" s="108">
        <v>122</v>
      </c>
    </row>
    <row r="133" spans="1:15" s="95" customFormat="1" ht="15">
      <c r="A133" s="96">
        <v>123</v>
      </c>
      <c r="B133" s="190" t="s">
        <v>186</v>
      </c>
      <c r="C133" s="34">
        <v>40004</v>
      </c>
      <c r="D133" s="31" t="s">
        <v>36</v>
      </c>
      <c r="E133" s="36">
        <v>20</v>
      </c>
      <c r="F133" s="36">
        <v>1</v>
      </c>
      <c r="G133" s="36">
        <v>15</v>
      </c>
      <c r="H133" s="499">
        <v>952</v>
      </c>
      <c r="I133" s="500">
        <v>238</v>
      </c>
      <c r="J133" s="43">
        <f>(I133/F133)</f>
        <v>238</v>
      </c>
      <c r="K133" s="286">
        <f t="shared" si="22"/>
        <v>4</v>
      </c>
      <c r="L133" s="6">
        <f>27239+16683+9866+18646.5+11021.5+18905.5+11305+6948.5+5971.5+3862.5+1777+1145+520+193+952</f>
        <v>135036</v>
      </c>
      <c r="M133" s="7">
        <f>2632+2092+1344+2829+1912+3115+1963+1173+1001+690+304+193+74+27+238</f>
        <v>19587</v>
      </c>
      <c r="N133" s="287">
        <f>L133/M133</f>
        <v>6.894164496860163</v>
      </c>
      <c r="O133" s="108">
        <v>123</v>
      </c>
    </row>
    <row r="134" spans="1:15" s="95" customFormat="1" ht="15">
      <c r="A134" s="96">
        <v>124</v>
      </c>
      <c r="B134" s="271" t="s">
        <v>187</v>
      </c>
      <c r="C134" s="272">
        <v>39995</v>
      </c>
      <c r="D134" s="199" t="s">
        <v>36</v>
      </c>
      <c r="E134" s="273">
        <v>209</v>
      </c>
      <c r="F134" s="273">
        <v>1</v>
      </c>
      <c r="G134" s="273">
        <v>62</v>
      </c>
      <c r="H134" s="475">
        <v>1780</v>
      </c>
      <c r="I134" s="476">
        <v>445</v>
      </c>
      <c r="J134" s="203">
        <f>(I134/F134)</f>
        <v>445</v>
      </c>
      <c r="K134" s="200">
        <f t="shared" si="22"/>
        <v>4</v>
      </c>
      <c r="L134" s="27">
        <f>11405777.5+385+1188+6614+2968+1417+277+2612+1424+952+1780</f>
        <v>11425394.5</v>
      </c>
      <c r="M134" s="24">
        <f>1424397+63+297+1638+742+364+66+653+356+238+445</f>
        <v>1429259</v>
      </c>
      <c r="N134" s="197">
        <f>L134/M134</f>
        <v>7.993928672130104</v>
      </c>
      <c r="O134" s="108">
        <v>124</v>
      </c>
    </row>
    <row r="135" spans="1:15" s="95" customFormat="1" ht="15">
      <c r="A135" s="96">
        <v>125</v>
      </c>
      <c r="B135" s="710" t="s">
        <v>187</v>
      </c>
      <c r="C135" s="711">
        <v>39995</v>
      </c>
      <c r="D135" s="713" t="s">
        <v>160</v>
      </c>
      <c r="E135" s="610">
        <v>209</v>
      </c>
      <c r="F135" s="211">
        <v>1</v>
      </c>
      <c r="G135" s="610">
        <v>65</v>
      </c>
      <c r="H135" s="708">
        <v>1188</v>
      </c>
      <c r="I135" s="709">
        <v>297</v>
      </c>
      <c r="J135" s="284">
        <f>I135/F135</f>
        <v>297</v>
      </c>
      <c r="K135" s="451">
        <f t="shared" si="22"/>
        <v>4</v>
      </c>
      <c r="L135" s="9">
        <f>11405777.5+385+1188+6614+2968+1417+277+2612+1424+952+1780+952+364.5+1188</f>
        <v>11427899</v>
      </c>
      <c r="M135" s="8">
        <f>1424397+63+297+1638+742+364+66+653+356+238+445+238+27+297</f>
        <v>1429821</v>
      </c>
      <c r="N135" s="107">
        <f>+L135/M135</f>
        <v>7.992538226813006</v>
      </c>
      <c r="O135" s="108">
        <v>125</v>
      </c>
    </row>
    <row r="136" spans="1:15" s="95" customFormat="1" ht="15">
      <c r="A136" s="96">
        <v>126</v>
      </c>
      <c r="B136" s="277" t="s">
        <v>187</v>
      </c>
      <c r="C136" s="35">
        <v>39995</v>
      </c>
      <c r="D136" s="199" t="s">
        <v>36</v>
      </c>
      <c r="E136" s="37">
        <v>209</v>
      </c>
      <c r="F136" s="37">
        <v>1</v>
      </c>
      <c r="G136" s="37">
        <v>61</v>
      </c>
      <c r="H136" s="473">
        <v>952</v>
      </c>
      <c r="I136" s="474">
        <v>238</v>
      </c>
      <c r="J136" s="118">
        <f>(I136/F136)</f>
        <v>238</v>
      </c>
      <c r="K136" s="195">
        <f t="shared" si="22"/>
        <v>4</v>
      </c>
      <c r="L136" s="9">
        <f>11405777.5+385+1188+6614+2968+1417+277+2612+1424+952</f>
        <v>11423614.5</v>
      </c>
      <c r="M136" s="8">
        <f>1424397+63+297+1638+742+364+66+653+356+238</f>
        <v>1428814</v>
      </c>
      <c r="N136" s="197">
        <f>L136/M136</f>
        <v>7.995172569697665</v>
      </c>
      <c r="O136" s="108">
        <v>126</v>
      </c>
    </row>
    <row r="137" spans="1:15" s="95" customFormat="1" ht="15">
      <c r="A137" s="96">
        <v>127</v>
      </c>
      <c r="B137" s="277" t="s">
        <v>187</v>
      </c>
      <c r="C137" s="35">
        <v>39995</v>
      </c>
      <c r="D137" s="31" t="s">
        <v>36</v>
      </c>
      <c r="E137" s="37">
        <v>209</v>
      </c>
      <c r="F137" s="37">
        <v>1</v>
      </c>
      <c r="G137" s="37">
        <v>63</v>
      </c>
      <c r="H137" s="473">
        <v>952</v>
      </c>
      <c r="I137" s="474">
        <v>238</v>
      </c>
      <c r="J137" s="118">
        <f>(I137/F137)</f>
        <v>238</v>
      </c>
      <c r="K137" s="195">
        <f t="shared" si="22"/>
        <v>4</v>
      </c>
      <c r="L137" s="9">
        <f>11405777.5+385+1188+6614+2968+1417+277+2612+1424+952+1780+952</f>
        <v>11426346.5</v>
      </c>
      <c r="M137" s="8">
        <f>1424397+63+297+1638+742+364+66+653+356+238+445+238</f>
        <v>1429497</v>
      </c>
      <c r="N137" s="197">
        <f>L137/M137</f>
        <v>7.993263714439415</v>
      </c>
      <c r="O137" s="108">
        <v>127</v>
      </c>
    </row>
    <row r="138" spans="1:15" s="95" customFormat="1" ht="15">
      <c r="A138" s="96">
        <v>128</v>
      </c>
      <c r="B138" s="277" t="s">
        <v>187</v>
      </c>
      <c r="C138" s="35">
        <v>39995</v>
      </c>
      <c r="D138" s="393" t="s">
        <v>160</v>
      </c>
      <c r="E138" s="37">
        <v>209</v>
      </c>
      <c r="F138" s="37">
        <v>1</v>
      </c>
      <c r="G138" s="37">
        <v>64</v>
      </c>
      <c r="H138" s="475">
        <v>364.5</v>
      </c>
      <c r="I138" s="476">
        <v>27</v>
      </c>
      <c r="J138" s="284">
        <f>I138/F138</f>
        <v>27</v>
      </c>
      <c r="K138" s="451">
        <f t="shared" si="22"/>
        <v>13.5</v>
      </c>
      <c r="L138" s="27">
        <f>11405777.5+385+1188+6614+2968+1417+277+2612+1424+952+1780+952+364.5</f>
        <v>11426711</v>
      </c>
      <c r="M138" s="24">
        <f>1424397+63+297+1638+742+364+66+653+356+238+445+238+27</f>
        <v>1429524</v>
      </c>
      <c r="N138" s="453">
        <f>L138/M138</f>
        <v>7.993367722402702</v>
      </c>
      <c r="O138" s="108">
        <v>128</v>
      </c>
    </row>
    <row r="139" spans="1:15" s="95" customFormat="1" ht="15">
      <c r="A139" s="96">
        <v>129</v>
      </c>
      <c r="B139" s="217" t="s">
        <v>188</v>
      </c>
      <c r="C139" s="34">
        <v>39738</v>
      </c>
      <c r="D139" s="199" t="s">
        <v>36</v>
      </c>
      <c r="E139" s="201">
        <v>67</v>
      </c>
      <c r="F139" s="201">
        <v>1</v>
      </c>
      <c r="G139" s="201">
        <v>44</v>
      </c>
      <c r="H139" s="473">
        <v>1780</v>
      </c>
      <c r="I139" s="474">
        <v>445</v>
      </c>
      <c r="J139" s="118">
        <f>(I139/F139)</f>
        <v>445</v>
      </c>
      <c r="K139" s="195">
        <f t="shared" si="22"/>
        <v>4</v>
      </c>
      <c r="L139" s="9">
        <f>575413.5+2968+2376+2737+2376+2376+4752+2376+952+1780</f>
        <v>598106.5</v>
      </c>
      <c r="M139" s="8">
        <f>83313+742+594+635+594+594+1188+594+238+445</f>
        <v>88937</v>
      </c>
      <c r="N139" s="197">
        <f>L139/M139</f>
        <v>6.725058187256147</v>
      </c>
      <c r="O139" s="108">
        <v>129</v>
      </c>
    </row>
    <row r="140" spans="1:15" s="95" customFormat="1" ht="15">
      <c r="A140" s="96">
        <v>130</v>
      </c>
      <c r="B140" s="190" t="s">
        <v>188</v>
      </c>
      <c r="C140" s="34">
        <v>39738</v>
      </c>
      <c r="D140" s="199" t="s">
        <v>36</v>
      </c>
      <c r="E140" s="36">
        <v>67</v>
      </c>
      <c r="F140" s="36">
        <v>1</v>
      </c>
      <c r="G140" s="36">
        <v>43</v>
      </c>
      <c r="H140" s="473">
        <v>952</v>
      </c>
      <c r="I140" s="474">
        <v>238</v>
      </c>
      <c r="J140" s="118">
        <f>(I140/F140)</f>
        <v>238</v>
      </c>
      <c r="K140" s="195">
        <f t="shared" si="22"/>
        <v>4</v>
      </c>
      <c r="L140" s="9">
        <f>575413.5+2968+2376+2737+2376+2376+4752+2376+952</f>
        <v>596326.5</v>
      </c>
      <c r="M140" s="8">
        <f>83313+742+594+635+594+594+1188+594+238</f>
        <v>88492</v>
      </c>
      <c r="N140" s="197">
        <f>L140/M140</f>
        <v>6.738761695972517</v>
      </c>
      <c r="O140" s="108">
        <v>130</v>
      </c>
    </row>
    <row r="141" spans="1:15" s="95" customFormat="1" ht="15">
      <c r="A141" s="96">
        <v>131</v>
      </c>
      <c r="B141" s="219" t="s">
        <v>189</v>
      </c>
      <c r="C141" s="2">
        <v>40389</v>
      </c>
      <c r="D141" s="18" t="s">
        <v>10</v>
      </c>
      <c r="E141" s="3">
        <v>139</v>
      </c>
      <c r="F141" s="3">
        <v>1</v>
      </c>
      <c r="G141" s="3">
        <v>23</v>
      </c>
      <c r="H141" s="479">
        <v>9523</v>
      </c>
      <c r="I141" s="480">
        <v>1587</v>
      </c>
      <c r="J141" s="115">
        <f>I141/F141</f>
        <v>1587</v>
      </c>
      <c r="K141" s="208">
        <f t="shared" si="22"/>
        <v>6.000630119722747</v>
      </c>
      <c r="L141" s="42">
        <v>11041118</v>
      </c>
      <c r="M141" s="47">
        <v>1103147</v>
      </c>
      <c r="N141" s="220">
        <f aca="true" t="shared" si="25" ref="N141:N148">+L141/M141</f>
        <v>10.008745887900705</v>
      </c>
      <c r="O141" s="108">
        <v>131</v>
      </c>
    </row>
    <row r="142" spans="1:15" s="95" customFormat="1" ht="15">
      <c r="A142" s="96">
        <v>132</v>
      </c>
      <c r="B142" s="219" t="s">
        <v>189</v>
      </c>
      <c r="C142" s="2">
        <v>40389</v>
      </c>
      <c r="D142" s="18" t="s">
        <v>10</v>
      </c>
      <c r="E142" s="3">
        <v>139</v>
      </c>
      <c r="F142" s="3">
        <v>2</v>
      </c>
      <c r="G142" s="3">
        <v>22</v>
      </c>
      <c r="H142" s="479">
        <v>1178</v>
      </c>
      <c r="I142" s="480">
        <v>911</v>
      </c>
      <c r="J142" s="115">
        <f>I142/F142</f>
        <v>455.5</v>
      </c>
      <c r="K142" s="208">
        <f t="shared" si="22"/>
        <v>1.2930845225027443</v>
      </c>
      <c r="L142" s="42">
        <v>11031595</v>
      </c>
      <c r="M142" s="47">
        <v>1101560</v>
      </c>
      <c r="N142" s="220">
        <f t="shared" si="25"/>
        <v>10.014520316641853</v>
      </c>
      <c r="O142" s="108">
        <v>132</v>
      </c>
    </row>
    <row r="143" spans="1:15" s="95" customFormat="1" ht="15">
      <c r="A143" s="96">
        <v>133</v>
      </c>
      <c r="B143" s="346" t="s">
        <v>190</v>
      </c>
      <c r="C143" s="99">
        <v>40480</v>
      </c>
      <c r="D143" s="124" t="s">
        <v>8</v>
      </c>
      <c r="E143" s="125">
        <v>1</v>
      </c>
      <c r="F143" s="125">
        <v>1</v>
      </c>
      <c r="G143" s="125">
        <v>13</v>
      </c>
      <c r="H143" s="501">
        <v>492</v>
      </c>
      <c r="I143" s="502">
        <v>72</v>
      </c>
      <c r="J143" s="284">
        <f>I143/F143</f>
        <v>72</v>
      </c>
      <c r="K143" s="451">
        <f t="shared" si="22"/>
        <v>6.833333333333333</v>
      </c>
      <c r="L143" s="21">
        <v>15720</v>
      </c>
      <c r="M143" s="22">
        <v>1252</v>
      </c>
      <c r="N143" s="452">
        <f t="shared" si="25"/>
        <v>12.55591054313099</v>
      </c>
      <c r="O143" s="108">
        <v>133</v>
      </c>
    </row>
    <row r="144" spans="1:15" s="95" customFormat="1" ht="15">
      <c r="A144" s="96">
        <v>134</v>
      </c>
      <c r="B144" s="223" t="s">
        <v>190</v>
      </c>
      <c r="C144" s="2">
        <v>40480</v>
      </c>
      <c r="D144" s="19" t="s">
        <v>8</v>
      </c>
      <c r="E144" s="4">
        <v>1</v>
      </c>
      <c r="F144" s="4">
        <v>1</v>
      </c>
      <c r="G144" s="4">
        <v>9</v>
      </c>
      <c r="H144" s="499">
        <v>368</v>
      </c>
      <c r="I144" s="500">
        <v>57</v>
      </c>
      <c r="J144" s="102">
        <f>+I144/F144</f>
        <v>57</v>
      </c>
      <c r="K144" s="227">
        <f>+H144/I144</f>
        <v>6.456140350877193</v>
      </c>
      <c r="L144" s="6">
        <v>14543</v>
      </c>
      <c r="M144" s="7">
        <v>1072</v>
      </c>
      <c r="N144" s="228">
        <f t="shared" si="25"/>
        <v>13.566231343283581</v>
      </c>
      <c r="O144" s="108">
        <v>134</v>
      </c>
    </row>
    <row r="145" spans="1:15" s="95" customFormat="1" ht="15">
      <c r="A145" s="96">
        <v>135</v>
      </c>
      <c r="B145" s="223" t="s">
        <v>190</v>
      </c>
      <c r="C145" s="2">
        <v>40480</v>
      </c>
      <c r="D145" s="19" t="s">
        <v>8</v>
      </c>
      <c r="E145" s="4">
        <v>1</v>
      </c>
      <c r="F145" s="4">
        <v>1</v>
      </c>
      <c r="G145" s="4">
        <v>11</v>
      </c>
      <c r="H145" s="499">
        <v>341</v>
      </c>
      <c r="I145" s="500">
        <v>57</v>
      </c>
      <c r="J145" s="102">
        <f>+I145/F145</f>
        <v>57</v>
      </c>
      <c r="K145" s="227">
        <f>+H145/I145</f>
        <v>5.982456140350878</v>
      </c>
      <c r="L145" s="6">
        <v>15150</v>
      </c>
      <c r="M145" s="7">
        <v>1167</v>
      </c>
      <c r="N145" s="228">
        <f t="shared" si="25"/>
        <v>12.982005141388175</v>
      </c>
      <c r="O145" s="108">
        <v>135</v>
      </c>
    </row>
    <row r="146" spans="1:15" s="95" customFormat="1" ht="15">
      <c r="A146" s="96">
        <v>136</v>
      </c>
      <c r="B146" s="223" t="s">
        <v>190</v>
      </c>
      <c r="C146" s="2">
        <v>40480</v>
      </c>
      <c r="D146" s="19" t="s">
        <v>8</v>
      </c>
      <c r="E146" s="4">
        <v>1</v>
      </c>
      <c r="F146" s="4">
        <v>1</v>
      </c>
      <c r="G146" s="4">
        <v>10</v>
      </c>
      <c r="H146" s="499">
        <v>266</v>
      </c>
      <c r="I146" s="500">
        <v>38</v>
      </c>
      <c r="J146" s="102">
        <f>+I146/F146</f>
        <v>38</v>
      </c>
      <c r="K146" s="227">
        <f>+H146/I146</f>
        <v>7</v>
      </c>
      <c r="L146" s="6">
        <v>14809</v>
      </c>
      <c r="M146" s="7">
        <v>1110</v>
      </c>
      <c r="N146" s="228">
        <f t="shared" si="25"/>
        <v>13.341441441441441</v>
      </c>
      <c r="O146" s="108">
        <v>136</v>
      </c>
    </row>
    <row r="147" spans="1:15" s="95" customFormat="1" ht="15">
      <c r="A147" s="96">
        <v>137</v>
      </c>
      <c r="B147" s="223" t="s">
        <v>190</v>
      </c>
      <c r="C147" s="2">
        <v>40480</v>
      </c>
      <c r="D147" s="19" t="s">
        <v>8</v>
      </c>
      <c r="E147" s="4">
        <v>21</v>
      </c>
      <c r="F147" s="4">
        <v>1</v>
      </c>
      <c r="G147" s="4">
        <v>12</v>
      </c>
      <c r="H147" s="499">
        <v>78</v>
      </c>
      <c r="I147" s="500">
        <v>13</v>
      </c>
      <c r="J147" s="115">
        <f>I147/F147</f>
        <v>13</v>
      </c>
      <c r="K147" s="208">
        <f>H147/I147</f>
        <v>6</v>
      </c>
      <c r="L147" s="6">
        <v>15228</v>
      </c>
      <c r="M147" s="7">
        <v>1180</v>
      </c>
      <c r="N147" s="228">
        <f t="shared" si="25"/>
        <v>12.905084745762712</v>
      </c>
      <c r="O147" s="108">
        <v>137</v>
      </c>
    </row>
    <row r="148" spans="1:15" s="95" customFormat="1" ht="15">
      <c r="A148" s="96">
        <v>138</v>
      </c>
      <c r="B148" s="253" t="s">
        <v>190</v>
      </c>
      <c r="C148" s="2">
        <v>40480</v>
      </c>
      <c r="D148" s="26" t="s">
        <v>8</v>
      </c>
      <c r="E148" s="4">
        <v>1</v>
      </c>
      <c r="F148" s="4">
        <v>1</v>
      </c>
      <c r="G148" s="4">
        <v>8</v>
      </c>
      <c r="H148" s="501">
        <v>42</v>
      </c>
      <c r="I148" s="500">
        <v>6</v>
      </c>
      <c r="J148" s="102">
        <f>+I148/F148</f>
        <v>6</v>
      </c>
      <c r="K148" s="229">
        <f>+H148/I148</f>
        <v>7</v>
      </c>
      <c r="L148" s="21">
        <v>14175</v>
      </c>
      <c r="M148" s="7">
        <v>1015</v>
      </c>
      <c r="N148" s="228">
        <f t="shared" si="25"/>
        <v>13.96551724137931</v>
      </c>
      <c r="O148" s="108">
        <v>138</v>
      </c>
    </row>
    <row r="149" spans="1:15" s="95" customFormat="1" ht="15">
      <c r="A149" s="96">
        <v>139</v>
      </c>
      <c r="B149" s="217" t="s">
        <v>191</v>
      </c>
      <c r="C149" s="202">
        <v>39710</v>
      </c>
      <c r="D149" s="199" t="s">
        <v>36</v>
      </c>
      <c r="E149" s="201">
        <v>1</v>
      </c>
      <c r="F149" s="201">
        <v>1</v>
      </c>
      <c r="G149" s="201">
        <v>16</v>
      </c>
      <c r="H149" s="475">
        <v>236</v>
      </c>
      <c r="I149" s="476">
        <v>59</v>
      </c>
      <c r="J149" s="203">
        <f>(I149/F149)</f>
        <v>59</v>
      </c>
      <c r="K149" s="200">
        <f>H149/I149</f>
        <v>4</v>
      </c>
      <c r="L149" s="27">
        <f>11305+5960+2538+2056+455+891+1621+1302+712+1484+1484+1424+1188+1188+1188+236</f>
        <v>35032</v>
      </c>
      <c r="M149" s="24">
        <f>835+676+295+239+136+275+187+148+178+371+371+356+297+297+297+59</f>
        <v>5017</v>
      </c>
      <c r="N149" s="197">
        <f>L149/M149</f>
        <v>6.982658959537572</v>
      </c>
      <c r="O149" s="108">
        <v>139</v>
      </c>
    </row>
    <row r="150" spans="1:15" s="95" customFormat="1" ht="15">
      <c r="A150" s="96">
        <v>140</v>
      </c>
      <c r="B150" s="217" t="s">
        <v>192</v>
      </c>
      <c r="C150" s="202">
        <v>39997</v>
      </c>
      <c r="D150" s="199" t="s">
        <v>36</v>
      </c>
      <c r="E150" s="201">
        <v>5</v>
      </c>
      <c r="F150" s="201">
        <v>1</v>
      </c>
      <c r="G150" s="201">
        <v>21</v>
      </c>
      <c r="H150" s="473">
        <v>952</v>
      </c>
      <c r="I150" s="474">
        <v>238</v>
      </c>
      <c r="J150" s="118">
        <f>(I150/F150)</f>
        <v>238</v>
      </c>
      <c r="K150" s="195">
        <f>H150/I150</f>
        <v>4</v>
      </c>
      <c r="L150" s="9">
        <f>18914.5+7321+4028.5+1674+6130+4818.5+6984.5+5012.5+1695+4556+3587.5+1286+2931+2868+2878.5+3369+1780+1780+162+63+952</f>
        <v>82791.5</v>
      </c>
      <c r="M150" s="8">
        <f>1467+674+673+324+645+765+779+620+311+670+508+195+503+424+502+755+445+445+35+21+238</f>
        <v>10999</v>
      </c>
      <c r="N150" s="197">
        <f>L150/M150</f>
        <v>7.527184289480862</v>
      </c>
      <c r="O150" s="108">
        <v>140</v>
      </c>
    </row>
    <row r="151" spans="1:15" s="95" customFormat="1" ht="15">
      <c r="A151" s="96">
        <v>141</v>
      </c>
      <c r="B151" s="190" t="s">
        <v>193</v>
      </c>
      <c r="C151" s="34">
        <v>40424</v>
      </c>
      <c r="D151" s="199" t="s">
        <v>36</v>
      </c>
      <c r="E151" s="36">
        <v>5</v>
      </c>
      <c r="F151" s="36">
        <v>1</v>
      </c>
      <c r="G151" s="36">
        <v>10</v>
      </c>
      <c r="H151" s="473">
        <v>1188</v>
      </c>
      <c r="I151" s="474">
        <v>297</v>
      </c>
      <c r="J151" s="118">
        <f>(I151/F151)</f>
        <v>297</v>
      </c>
      <c r="K151" s="195">
        <f>H151/I151</f>
        <v>4</v>
      </c>
      <c r="L151" s="9">
        <f>11822.5+3468.5+3273+3742.5+3152+1092+927+1058+2153.5+1188</f>
        <v>31877</v>
      </c>
      <c r="M151" s="8">
        <f>827+293+410+398+368+137+124+170+462+297</f>
        <v>3486</v>
      </c>
      <c r="N151" s="197">
        <f>L151/M151</f>
        <v>9.144291451520367</v>
      </c>
      <c r="O151" s="108">
        <v>141</v>
      </c>
    </row>
    <row r="152" spans="1:15" s="95" customFormat="1" ht="15">
      <c r="A152" s="96">
        <v>142</v>
      </c>
      <c r="B152" s="223" t="s">
        <v>194</v>
      </c>
      <c r="C152" s="2">
        <v>39647</v>
      </c>
      <c r="D152" s="16" t="s">
        <v>22</v>
      </c>
      <c r="E152" s="4">
        <v>108</v>
      </c>
      <c r="F152" s="4">
        <v>1</v>
      </c>
      <c r="G152" s="4">
        <v>20</v>
      </c>
      <c r="H152" s="483">
        <v>3020</v>
      </c>
      <c r="I152" s="484">
        <v>604</v>
      </c>
      <c r="J152" s="102">
        <f>+I152/F152</f>
        <v>604</v>
      </c>
      <c r="K152" s="227">
        <f>+H152/I152</f>
        <v>5</v>
      </c>
      <c r="L152" s="40">
        <f>4275145.5+3020</f>
        <v>4278165.5</v>
      </c>
      <c r="M152" s="44">
        <f>437002+604</f>
        <v>437606</v>
      </c>
      <c r="N152" s="228">
        <f>IF(L152&lt;&gt;0,L152/M152,"")</f>
        <v>9.776295343299681</v>
      </c>
      <c r="O152" s="108">
        <v>142</v>
      </c>
    </row>
    <row r="153" spans="1:15" s="95" customFormat="1" ht="15">
      <c r="A153" s="96">
        <v>143</v>
      </c>
      <c r="B153" s="221" t="s">
        <v>254</v>
      </c>
      <c r="C153" s="2">
        <v>40452</v>
      </c>
      <c r="D153" s="18" t="s">
        <v>22</v>
      </c>
      <c r="E153" s="3">
        <v>67</v>
      </c>
      <c r="F153" s="3">
        <v>3</v>
      </c>
      <c r="G153" s="3">
        <v>12</v>
      </c>
      <c r="H153" s="483">
        <v>1188</v>
      </c>
      <c r="I153" s="484">
        <v>297</v>
      </c>
      <c r="J153" s="102">
        <f>IF(H153&lt;&gt;0,I153/F153,"")</f>
        <v>99</v>
      </c>
      <c r="K153" s="227">
        <f>IF(H153&lt;&gt;0,H153/I153,"")</f>
        <v>4</v>
      </c>
      <c r="L153" s="40">
        <f>148907+7057+8529+4040+573.5+1227+412+727+521+258+1188</f>
        <v>173439.5</v>
      </c>
      <c r="M153" s="44">
        <f>14954+1128+1323+621+141+331+59+105+73+51+297</f>
        <v>19083</v>
      </c>
      <c r="N153" s="228">
        <f>IF(L153&lt;&gt;0,L153/M153,"")</f>
        <v>9.08869150552848</v>
      </c>
      <c r="O153" s="108">
        <v>143</v>
      </c>
    </row>
    <row r="154" spans="1:15" s="95" customFormat="1" ht="15">
      <c r="A154" s="96">
        <v>144</v>
      </c>
      <c r="B154" s="221" t="s">
        <v>254</v>
      </c>
      <c r="C154" s="2">
        <v>40452</v>
      </c>
      <c r="D154" s="23" t="s">
        <v>22</v>
      </c>
      <c r="E154" s="3">
        <v>67</v>
      </c>
      <c r="F154" s="3">
        <v>3</v>
      </c>
      <c r="G154" s="3">
        <v>11</v>
      </c>
      <c r="H154" s="485">
        <v>258</v>
      </c>
      <c r="I154" s="484">
        <v>51</v>
      </c>
      <c r="J154" s="102">
        <f>IF(H154&lt;&gt;0,I154/F154,"")</f>
        <v>17</v>
      </c>
      <c r="K154" s="229">
        <f>IF(H154&lt;&gt;0,H154/I154,"")</f>
        <v>5.0588235294117645</v>
      </c>
      <c r="L154" s="38">
        <f>148907+7057+8529+4040+573.5+1227+412+727+521+H154</f>
        <v>172251.5</v>
      </c>
      <c r="M154" s="44">
        <f>14954+1128+1323+621+141+331+59+105+73+I154</f>
        <v>18786</v>
      </c>
      <c r="N154" s="228">
        <f>IF(L154&lt;&gt;0,L154/M154,"")</f>
        <v>9.16914191419142</v>
      </c>
      <c r="O154" s="108">
        <v>144</v>
      </c>
    </row>
    <row r="155" spans="1:15" s="95" customFormat="1" ht="15">
      <c r="A155" s="96">
        <v>145</v>
      </c>
      <c r="B155" s="223" t="s">
        <v>254</v>
      </c>
      <c r="C155" s="17">
        <v>40452</v>
      </c>
      <c r="D155" s="16" t="s">
        <v>22</v>
      </c>
      <c r="E155" s="4">
        <v>67</v>
      </c>
      <c r="F155" s="4">
        <v>1</v>
      </c>
      <c r="G155" s="4">
        <v>13</v>
      </c>
      <c r="H155" s="485">
        <v>129</v>
      </c>
      <c r="I155" s="498">
        <v>19</v>
      </c>
      <c r="J155" s="284">
        <f>IF(H155&lt;&gt;0,I155/F155,"")</f>
        <v>19</v>
      </c>
      <c r="K155" s="229">
        <f>IF(H155&lt;&gt;0,H155/I155,"")</f>
        <v>6.7894736842105265</v>
      </c>
      <c r="L155" s="38">
        <f>148907+7057+8529+4040+573.5+1227+412+727+521+258+1188+129</f>
        <v>173568.5</v>
      </c>
      <c r="M155" s="29">
        <f>14954+1128+1323+621+141+331+59+105+73+51+297+19</f>
        <v>19102</v>
      </c>
      <c r="N155" s="228">
        <f>IF(L155&lt;&gt;0,L155/M155,"")</f>
        <v>9.086404564967019</v>
      </c>
      <c r="O155" s="108">
        <v>145</v>
      </c>
    </row>
    <row r="156" spans="1:15" s="95" customFormat="1" ht="15">
      <c r="A156" s="96">
        <v>146</v>
      </c>
      <c r="B156" s="271" t="s">
        <v>195</v>
      </c>
      <c r="C156" s="272">
        <v>40368</v>
      </c>
      <c r="D156" s="199" t="s">
        <v>36</v>
      </c>
      <c r="E156" s="273">
        <v>126</v>
      </c>
      <c r="F156" s="273">
        <v>1</v>
      </c>
      <c r="G156" s="273">
        <v>23</v>
      </c>
      <c r="H156" s="473">
        <v>1782</v>
      </c>
      <c r="I156" s="474">
        <v>445</v>
      </c>
      <c r="J156" s="118">
        <f>(I156/F156)</f>
        <v>445</v>
      </c>
      <c r="K156" s="195">
        <f>H156/I156</f>
        <v>4.004494382022472</v>
      </c>
      <c r="L156" s="9">
        <f>2106797.5+50230.5+32558.5+15249.5+15137+17418.5+7784.5+2808+2841.5+1328+2453+1693+613+726+713+1425.5+1782+1437+1782</f>
        <v>2264778</v>
      </c>
      <c r="M156" s="8">
        <f>220679+7944+5486+2451+2714+3159+1414+494+658+202+452+398+85+227+178+356+445+228+445</f>
        <v>248015</v>
      </c>
      <c r="N156" s="197">
        <f>L156/M156</f>
        <v>9.131617039291978</v>
      </c>
      <c r="O156" s="108">
        <v>146</v>
      </c>
    </row>
    <row r="157" spans="1:15" s="95" customFormat="1" ht="15">
      <c r="A157" s="96">
        <v>147</v>
      </c>
      <c r="B157" s="190" t="s">
        <v>255</v>
      </c>
      <c r="C157" s="34">
        <v>40284</v>
      </c>
      <c r="D157" s="31" t="s">
        <v>36</v>
      </c>
      <c r="E157" s="36">
        <v>14</v>
      </c>
      <c r="F157" s="36">
        <v>1</v>
      </c>
      <c r="G157" s="36">
        <v>22</v>
      </c>
      <c r="H157" s="473">
        <v>1307</v>
      </c>
      <c r="I157" s="474">
        <v>327</v>
      </c>
      <c r="J157" s="118">
        <f>(I157/F157)</f>
        <v>327</v>
      </c>
      <c r="K157" s="195">
        <f>H157/I157</f>
        <v>3.996941896024465</v>
      </c>
      <c r="L157" s="9">
        <f>45403.5+26416+19522+5885+5520+2576+2604+1325+840+957.5+196+2970+1095+960+1330+1159+1173+1901+475+2019.5+1188+1307</f>
        <v>126822.5</v>
      </c>
      <c r="M157" s="8">
        <f>4053+2594+2599+732+962+495+470+215+146+347+28+743+229+194+270+236+188+475+119+505+297+327</f>
        <v>16224</v>
      </c>
      <c r="N157" s="197">
        <f>L157/M157</f>
        <v>7.816968688362919</v>
      </c>
      <c r="O157" s="108">
        <v>147</v>
      </c>
    </row>
    <row r="158" spans="1:15" s="95" customFormat="1" ht="15">
      <c r="A158" s="96">
        <v>148</v>
      </c>
      <c r="B158" s="223" t="s">
        <v>256</v>
      </c>
      <c r="C158" s="2">
        <v>40480</v>
      </c>
      <c r="D158" s="16" t="s">
        <v>22</v>
      </c>
      <c r="E158" s="4">
        <v>71</v>
      </c>
      <c r="F158" s="4">
        <v>2</v>
      </c>
      <c r="G158" s="4">
        <v>11</v>
      </c>
      <c r="H158" s="483">
        <v>3270</v>
      </c>
      <c r="I158" s="484">
        <v>654</v>
      </c>
      <c r="J158" s="102">
        <f>IF(H158&lt;&gt;0,I158/F158,"")</f>
        <v>327</v>
      </c>
      <c r="K158" s="227">
        <f>IF(H158&lt;&gt;0,H158/I158,"")</f>
        <v>5</v>
      </c>
      <c r="L158" s="40">
        <f>72774.5+23673+5827+3625+7534.5+38620+936+11563+4979+496.5+3270</f>
        <v>173298.5</v>
      </c>
      <c r="M158" s="44">
        <f>8533+3652+916+601+1795+7393+145+2290+697+79+654</f>
        <v>26755</v>
      </c>
      <c r="N158" s="228">
        <f>IF(L158&lt;&gt;0,L158/M158,"")</f>
        <v>6.4772378994580455</v>
      </c>
      <c r="O158" s="108">
        <v>148</v>
      </c>
    </row>
    <row r="159" spans="1:15" s="95" customFormat="1" ht="15">
      <c r="A159" s="96">
        <v>149</v>
      </c>
      <c r="B159" s="221" t="s">
        <v>256</v>
      </c>
      <c r="C159" s="2">
        <v>40480</v>
      </c>
      <c r="D159" s="18" t="s">
        <v>22</v>
      </c>
      <c r="E159" s="3">
        <v>71</v>
      </c>
      <c r="F159" s="3">
        <v>1</v>
      </c>
      <c r="G159" s="3">
        <v>12</v>
      </c>
      <c r="H159" s="483">
        <v>526</v>
      </c>
      <c r="I159" s="484">
        <v>85</v>
      </c>
      <c r="J159" s="102">
        <f>IF(H159&lt;&gt;0,I159/F159,"")</f>
        <v>85</v>
      </c>
      <c r="K159" s="227">
        <f>IF(H159&lt;&gt;0,H159/I159,"")</f>
        <v>6.188235294117647</v>
      </c>
      <c r="L159" s="40">
        <f>72774.5+23673+5827+3625+7534.5+38620+936+11563+4979+496.5+3270+526</f>
        <v>173824.5</v>
      </c>
      <c r="M159" s="44">
        <f>8533+3652+916+601+1795+7393+145+2290+697+79+654+85</f>
        <v>26840</v>
      </c>
      <c r="N159" s="228">
        <f>IF(L159&lt;&gt;0,L159/M159,"")</f>
        <v>6.476322652757079</v>
      </c>
      <c r="O159" s="108">
        <v>149</v>
      </c>
    </row>
    <row r="160" spans="1:15" s="95" customFormat="1" ht="15">
      <c r="A160" s="96">
        <v>150</v>
      </c>
      <c r="B160" s="221" t="s">
        <v>256</v>
      </c>
      <c r="C160" s="2">
        <v>40480</v>
      </c>
      <c r="D160" s="23" t="s">
        <v>22</v>
      </c>
      <c r="E160" s="3">
        <v>71</v>
      </c>
      <c r="F160" s="3">
        <v>8</v>
      </c>
      <c r="G160" s="3">
        <v>10</v>
      </c>
      <c r="H160" s="485">
        <v>496.5</v>
      </c>
      <c r="I160" s="484">
        <v>79</v>
      </c>
      <c r="J160" s="102">
        <f>IF(H160&lt;&gt;0,I160/F160,"")</f>
        <v>9.875</v>
      </c>
      <c r="K160" s="229">
        <f>IF(H160&lt;&gt;0,H160/I160,"")</f>
        <v>6.284810126582278</v>
      </c>
      <c r="L160" s="38">
        <f>72774.5+23673+5827+3625+7534.5+38620+936+11563+4979+H160</f>
        <v>170028.5</v>
      </c>
      <c r="M160" s="44">
        <f>8533+3652+916+601+1795+7393+145+2290+697+I160</f>
        <v>26101</v>
      </c>
      <c r="N160" s="228">
        <f>IF(L160&lt;&gt;0,L160/M160,"")</f>
        <v>6.514252327497031</v>
      </c>
      <c r="O160" s="108">
        <v>150</v>
      </c>
    </row>
    <row r="161" spans="1:15" s="95" customFormat="1" ht="15">
      <c r="A161" s="96">
        <v>151</v>
      </c>
      <c r="B161" s="283" t="s">
        <v>196</v>
      </c>
      <c r="C161" s="2">
        <v>40067</v>
      </c>
      <c r="D161" s="18" t="s">
        <v>22</v>
      </c>
      <c r="E161" s="3">
        <v>105</v>
      </c>
      <c r="F161" s="3">
        <v>2</v>
      </c>
      <c r="G161" s="3">
        <v>48</v>
      </c>
      <c r="H161" s="483">
        <v>3071</v>
      </c>
      <c r="I161" s="484">
        <v>592</v>
      </c>
      <c r="J161" s="102">
        <f>IF(H161&lt;&gt;0,I161/F161,"")</f>
        <v>296</v>
      </c>
      <c r="K161" s="227">
        <f>IF(H161&lt;&gt;0,H161/I161,"")</f>
        <v>5.1875</v>
      </c>
      <c r="L161" s="40">
        <f>645861.5+391+1223+705+141+3564+3071</f>
        <v>654956.5</v>
      </c>
      <c r="M161" s="44">
        <f>78550+64+202+109+20+713+592</f>
        <v>80250</v>
      </c>
      <c r="N161" s="228">
        <f>IF(L161&lt;&gt;0,L161/M161,"")</f>
        <v>8.161451713395639</v>
      </c>
      <c r="O161" s="108">
        <v>151</v>
      </c>
    </row>
    <row r="162" spans="1:15" s="95" customFormat="1" ht="15">
      <c r="A162" s="96">
        <v>152</v>
      </c>
      <c r="B162" s="198" t="s">
        <v>197</v>
      </c>
      <c r="C162" s="34">
        <v>40473</v>
      </c>
      <c r="D162" s="199" t="s">
        <v>36</v>
      </c>
      <c r="E162" s="36">
        <v>30</v>
      </c>
      <c r="F162" s="36">
        <v>10</v>
      </c>
      <c r="G162" s="36">
        <v>11</v>
      </c>
      <c r="H162" s="475">
        <v>8357</v>
      </c>
      <c r="I162" s="474">
        <v>1374</v>
      </c>
      <c r="J162" s="118">
        <f aca="true" t="shared" si="26" ref="J162:J170">(I162/F162)</f>
        <v>137.4</v>
      </c>
      <c r="K162" s="200">
        <f aca="true" t="shared" si="27" ref="K162:K170">H162/I162</f>
        <v>6.082241630276565</v>
      </c>
      <c r="L162" s="27">
        <f>140269+106844+7979+4849+4700.5+7059+2232+1390+2769+13917+8357</f>
        <v>300365.5</v>
      </c>
      <c r="M162" s="8">
        <f>11518+8629+641+577+660+1341+325+348+324+2259+1374</f>
        <v>27996</v>
      </c>
      <c r="N162" s="197">
        <f aca="true" t="shared" si="28" ref="N162:N170">L162/M162</f>
        <v>10.728871981711674</v>
      </c>
      <c r="O162" s="108">
        <v>152</v>
      </c>
    </row>
    <row r="163" spans="1:15" s="95" customFormat="1" ht="15">
      <c r="A163" s="96">
        <v>153</v>
      </c>
      <c r="B163" s="209" t="s">
        <v>197</v>
      </c>
      <c r="C163" s="210">
        <v>40473</v>
      </c>
      <c r="D163" s="199" t="s">
        <v>36</v>
      </c>
      <c r="E163" s="211">
        <v>30</v>
      </c>
      <c r="F163" s="211">
        <v>3</v>
      </c>
      <c r="G163" s="211">
        <v>13</v>
      </c>
      <c r="H163" s="477">
        <v>4704</v>
      </c>
      <c r="I163" s="478">
        <v>506</v>
      </c>
      <c r="J163" s="212">
        <f t="shared" si="26"/>
        <v>168.66666666666666</v>
      </c>
      <c r="K163" s="213">
        <f t="shared" si="27"/>
        <v>9.296442687747035</v>
      </c>
      <c r="L163" s="214">
        <f>140269+106844+7979+4849+4700.5+7059+2232+1390+2769+13917+8357+891.5+4704</f>
        <v>305961</v>
      </c>
      <c r="M163" s="215">
        <f>11518+8629+641+577+660+1341+325+348+324+2259+1374+332+506</f>
        <v>28834</v>
      </c>
      <c r="N163" s="216">
        <f t="shared" si="28"/>
        <v>10.61111881806201</v>
      </c>
      <c r="O163" s="108">
        <v>153</v>
      </c>
    </row>
    <row r="164" spans="1:15" s="95" customFormat="1" ht="15">
      <c r="A164" s="96">
        <v>154</v>
      </c>
      <c r="B164" s="209" t="s">
        <v>197</v>
      </c>
      <c r="C164" s="210">
        <v>40473</v>
      </c>
      <c r="D164" s="199" t="s">
        <v>36</v>
      </c>
      <c r="E164" s="211">
        <v>30</v>
      </c>
      <c r="F164" s="211">
        <v>1</v>
      </c>
      <c r="G164" s="211">
        <v>14</v>
      </c>
      <c r="H164" s="477">
        <v>1307</v>
      </c>
      <c r="I164" s="478">
        <v>327</v>
      </c>
      <c r="J164" s="212">
        <f t="shared" si="26"/>
        <v>327</v>
      </c>
      <c r="K164" s="213">
        <f t="shared" si="27"/>
        <v>3.996941896024465</v>
      </c>
      <c r="L164" s="214">
        <f>140269+106844+7979+4849+4700.5+7059+2232+1390+2769+13917+8357+891.5+4704+1307</f>
        <v>307268</v>
      </c>
      <c r="M164" s="215">
        <f>11518+8629+641+577+660+1341+325+348+324+2259+1374+332+506+327</f>
        <v>29161</v>
      </c>
      <c r="N164" s="216">
        <f t="shared" si="28"/>
        <v>10.536950036006996</v>
      </c>
      <c r="O164" s="108">
        <v>154</v>
      </c>
    </row>
    <row r="165" spans="1:15" s="95" customFormat="1" ht="15">
      <c r="A165" s="96">
        <v>155</v>
      </c>
      <c r="B165" s="217" t="s">
        <v>197</v>
      </c>
      <c r="C165" s="202">
        <v>40473</v>
      </c>
      <c r="D165" s="199" t="s">
        <v>36</v>
      </c>
      <c r="E165" s="201">
        <v>30</v>
      </c>
      <c r="F165" s="201">
        <v>1</v>
      </c>
      <c r="G165" s="201">
        <v>15</v>
      </c>
      <c r="H165" s="473">
        <v>1076</v>
      </c>
      <c r="I165" s="474">
        <v>114</v>
      </c>
      <c r="J165" s="118">
        <f t="shared" si="26"/>
        <v>114</v>
      </c>
      <c r="K165" s="195">
        <f t="shared" si="27"/>
        <v>9.43859649122807</v>
      </c>
      <c r="L165" s="9">
        <f>140269+106844+7979+4849+4700.5+7059+2232+1390+2769+13917+8357+891.5+4704+1307+1076</f>
        <v>308344</v>
      </c>
      <c r="M165" s="8">
        <f>11518+8629+641+577+660+1341+325+348+324+2259+1374+332+506+327+114</f>
        <v>29275</v>
      </c>
      <c r="N165" s="197">
        <f t="shared" si="28"/>
        <v>10.53267292912041</v>
      </c>
      <c r="O165" s="108">
        <v>155</v>
      </c>
    </row>
    <row r="166" spans="1:15" s="95" customFormat="1" ht="15">
      <c r="A166" s="96">
        <v>156</v>
      </c>
      <c r="B166" s="190" t="s">
        <v>197</v>
      </c>
      <c r="C166" s="34">
        <v>40473</v>
      </c>
      <c r="D166" s="199" t="s">
        <v>36</v>
      </c>
      <c r="E166" s="36">
        <v>30</v>
      </c>
      <c r="F166" s="36">
        <v>1</v>
      </c>
      <c r="G166" s="36">
        <v>12</v>
      </c>
      <c r="H166" s="473">
        <v>891.5</v>
      </c>
      <c r="I166" s="474">
        <v>332</v>
      </c>
      <c r="J166" s="118">
        <f t="shared" si="26"/>
        <v>332</v>
      </c>
      <c r="K166" s="195">
        <f t="shared" si="27"/>
        <v>2.6852409638554215</v>
      </c>
      <c r="L166" s="9">
        <f>140269+106844+7979+4849+4700.5+7059+2232+1390+2769+13917+8357+891.5</f>
        <v>301257</v>
      </c>
      <c r="M166" s="8">
        <f>11518+8629+641+577+660+1341+325+348+324+2259+1374+332</f>
        <v>28328</v>
      </c>
      <c r="N166" s="197">
        <f t="shared" si="28"/>
        <v>10.63460180739904</v>
      </c>
      <c r="O166" s="108">
        <v>156</v>
      </c>
    </row>
    <row r="167" spans="1:15" s="95" customFormat="1" ht="15">
      <c r="A167" s="96">
        <v>157</v>
      </c>
      <c r="B167" s="190" t="s">
        <v>197</v>
      </c>
      <c r="C167" s="34">
        <v>40473</v>
      </c>
      <c r="D167" s="31" t="s">
        <v>36</v>
      </c>
      <c r="E167" s="36">
        <v>30</v>
      </c>
      <c r="F167" s="36">
        <v>1</v>
      </c>
      <c r="G167" s="36">
        <v>16</v>
      </c>
      <c r="H167" s="473">
        <v>311</v>
      </c>
      <c r="I167" s="474">
        <v>46</v>
      </c>
      <c r="J167" s="118">
        <f t="shared" si="26"/>
        <v>46</v>
      </c>
      <c r="K167" s="195">
        <f t="shared" si="27"/>
        <v>6.760869565217392</v>
      </c>
      <c r="L167" s="9">
        <f>140269+106844+7979+4849+4700.5+7059+2232+1390+2769+13917+8357+891.5+4704+1307+1076+311</f>
        <v>308655</v>
      </c>
      <c r="M167" s="8">
        <f>11518+8629+641+577+660+1341+325+348+324+2259+1374+332+506+327+114+46</f>
        <v>29321</v>
      </c>
      <c r="N167" s="197">
        <f t="shared" si="28"/>
        <v>10.526755567681866</v>
      </c>
      <c r="O167" s="108">
        <v>157</v>
      </c>
    </row>
    <row r="168" spans="1:15" s="95" customFormat="1" ht="15">
      <c r="A168" s="96">
        <v>158</v>
      </c>
      <c r="B168" s="277" t="s">
        <v>198</v>
      </c>
      <c r="C168" s="35">
        <v>40438</v>
      </c>
      <c r="D168" s="31" t="s">
        <v>36</v>
      </c>
      <c r="E168" s="37">
        <v>19</v>
      </c>
      <c r="F168" s="37">
        <v>1</v>
      </c>
      <c r="G168" s="37">
        <v>14</v>
      </c>
      <c r="H168" s="473">
        <v>1425.5</v>
      </c>
      <c r="I168" s="474">
        <v>356</v>
      </c>
      <c r="J168" s="118">
        <f t="shared" si="26"/>
        <v>356</v>
      </c>
      <c r="K168" s="195">
        <f t="shared" si="27"/>
        <v>4.004213483146067</v>
      </c>
      <c r="L168" s="9">
        <f>56752.5+38871+22868.5+4839+2786+2829.5+8012+670+1368+140+42+628+1188+1425.5</f>
        <v>142420</v>
      </c>
      <c r="M168" s="8">
        <f>4639+3072+2103+531+316+368+936+83+203+20+6+98+297+356</f>
        <v>13028</v>
      </c>
      <c r="N168" s="197">
        <f t="shared" si="28"/>
        <v>10.931839115750691</v>
      </c>
      <c r="O168" s="108">
        <v>158</v>
      </c>
    </row>
    <row r="169" spans="1:15" s="95" customFormat="1" ht="15">
      <c r="A169" s="96">
        <v>159</v>
      </c>
      <c r="B169" s="278" t="s">
        <v>198</v>
      </c>
      <c r="C169" s="35">
        <v>40438</v>
      </c>
      <c r="D169" s="199" t="s">
        <v>36</v>
      </c>
      <c r="E169" s="37">
        <v>19</v>
      </c>
      <c r="F169" s="37">
        <v>1</v>
      </c>
      <c r="G169" s="37">
        <v>13</v>
      </c>
      <c r="H169" s="475">
        <v>1188</v>
      </c>
      <c r="I169" s="474">
        <v>297</v>
      </c>
      <c r="J169" s="118">
        <f t="shared" si="26"/>
        <v>297</v>
      </c>
      <c r="K169" s="200">
        <f t="shared" si="27"/>
        <v>4</v>
      </c>
      <c r="L169" s="27">
        <f>56752.5+38871+22868.5+4839+2786+2829.5+8012+670+1368+140+42+628+1188</f>
        <v>140994.5</v>
      </c>
      <c r="M169" s="8">
        <f>4639+3072+2103+531+316+368+936+83+203+20+6+98+297</f>
        <v>12672</v>
      </c>
      <c r="N169" s="197">
        <f t="shared" si="28"/>
        <v>11.12645991161616</v>
      </c>
      <c r="O169" s="108">
        <v>159</v>
      </c>
    </row>
    <row r="170" spans="1:15" s="95" customFormat="1" ht="15">
      <c r="A170" s="96">
        <v>160</v>
      </c>
      <c r="B170" s="217" t="s">
        <v>199</v>
      </c>
      <c r="C170" s="202">
        <v>39871</v>
      </c>
      <c r="D170" s="199" t="s">
        <v>36</v>
      </c>
      <c r="E170" s="201">
        <v>1</v>
      </c>
      <c r="F170" s="201">
        <v>1</v>
      </c>
      <c r="G170" s="201">
        <v>24</v>
      </c>
      <c r="H170" s="473">
        <v>952</v>
      </c>
      <c r="I170" s="474">
        <v>238</v>
      </c>
      <c r="J170" s="118">
        <f t="shared" si="26"/>
        <v>238</v>
      </c>
      <c r="K170" s="195">
        <f t="shared" si="27"/>
        <v>4</v>
      </c>
      <c r="L170" s="9">
        <f>1088+1510+1304+856+387+214+424+106+162+130+476+60.5+118+96+1664+1780+454+259.5+1188+119.5+1188+1780+1780+1780+952</f>
        <v>19876.5</v>
      </c>
      <c r="M170" s="8">
        <f>267+175+155+102+46+26+51+12+18+16+57+8+22+16+416+445+57+31+297+19+297+445+445+445+238</f>
        <v>4106</v>
      </c>
      <c r="N170" s="197">
        <f t="shared" si="28"/>
        <v>4.840842669264491</v>
      </c>
      <c r="O170" s="108">
        <v>160</v>
      </c>
    </row>
    <row r="171" spans="1:15" s="95" customFormat="1" ht="15">
      <c r="A171" s="96">
        <v>161</v>
      </c>
      <c r="B171" s="221" t="s">
        <v>200</v>
      </c>
      <c r="C171" s="2">
        <v>40529</v>
      </c>
      <c r="D171" s="23" t="s">
        <v>10</v>
      </c>
      <c r="E171" s="3">
        <v>72</v>
      </c>
      <c r="F171" s="3">
        <v>71</v>
      </c>
      <c r="G171" s="3">
        <v>3</v>
      </c>
      <c r="H171" s="481">
        <v>165182</v>
      </c>
      <c r="I171" s="480">
        <v>14707</v>
      </c>
      <c r="J171" s="115">
        <f aca="true" t="shared" si="29" ref="J171:J176">I171/F171</f>
        <v>207.14084507042253</v>
      </c>
      <c r="K171" s="244">
        <f>+H171/I171</f>
        <v>11.231522404297273</v>
      </c>
      <c r="L171" s="39">
        <v>909930</v>
      </c>
      <c r="M171" s="47">
        <v>83118</v>
      </c>
      <c r="N171" s="220">
        <f aca="true" t="shared" si="30" ref="N171:N177">+L171/M171</f>
        <v>10.94744820616473</v>
      </c>
      <c r="O171" s="108">
        <v>161</v>
      </c>
    </row>
    <row r="172" spans="1:15" s="95" customFormat="1" ht="15">
      <c r="A172" s="96">
        <v>162</v>
      </c>
      <c r="B172" s="223" t="s">
        <v>200</v>
      </c>
      <c r="C172" s="2">
        <v>40529</v>
      </c>
      <c r="D172" s="16" t="s">
        <v>10</v>
      </c>
      <c r="E172" s="4">
        <v>72</v>
      </c>
      <c r="F172" s="4">
        <v>3</v>
      </c>
      <c r="G172" s="4">
        <v>5</v>
      </c>
      <c r="H172" s="479">
        <v>3407</v>
      </c>
      <c r="I172" s="480">
        <v>461</v>
      </c>
      <c r="J172" s="115">
        <f t="shared" si="29"/>
        <v>153.66666666666666</v>
      </c>
      <c r="K172" s="208">
        <f>H172/I172</f>
        <v>7.390455531453362</v>
      </c>
      <c r="L172" s="42">
        <v>915738</v>
      </c>
      <c r="M172" s="47">
        <v>84149</v>
      </c>
      <c r="N172" s="220">
        <f t="shared" si="30"/>
        <v>10.88233965941366</v>
      </c>
      <c r="O172" s="108">
        <v>162</v>
      </c>
    </row>
    <row r="173" spans="1:15" s="95" customFormat="1" ht="15">
      <c r="A173" s="96">
        <v>163</v>
      </c>
      <c r="B173" s="219" t="s">
        <v>200</v>
      </c>
      <c r="C173" s="2">
        <v>40529</v>
      </c>
      <c r="D173" s="23" t="s">
        <v>10</v>
      </c>
      <c r="E173" s="3">
        <v>72</v>
      </c>
      <c r="F173" s="3">
        <v>2</v>
      </c>
      <c r="G173" s="3">
        <v>4</v>
      </c>
      <c r="H173" s="479">
        <v>2401</v>
      </c>
      <c r="I173" s="480">
        <v>570</v>
      </c>
      <c r="J173" s="115">
        <f t="shared" si="29"/>
        <v>285</v>
      </c>
      <c r="K173" s="208">
        <f>H173/I173</f>
        <v>4.212280701754386</v>
      </c>
      <c r="L173" s="42">
        <v>912331</v>
      </c>
      <c r="M173" s="47">
        <v>83688</v>
      </c>
      <c r="N173" s="220">
        <f t="shared" si="30"/>
        <v>10.901574897237358</v>
      </c>
      <c r="O173" s="108">
        <v>163</v>
      </c>
    </row>
    <row r="174" spans="1:15" s="95" customFormat="1" ht="15">
      <c r="A174" s="96">
        <v>164</v>
      </c>
      <c r="B174" s="219" t="s">
        <v>200</v>
      </c>
      <c r="C174" s="2">
        <v>40529</v>
      </c>
      <c r="D174" s="18" t="s">
        <v>10</v>
      </c>
      <c r="E174" s="3">
        <v>72</v>
      </c>
      <c r="F174" s="3">
        <v>4</v>
      </c>
      <c r="G174" s="3">
        <v>7</v>
      </c>
      <c r="H174" s="479">
        <v>2361</v>
      </c>
      <c r="I174" s="480">
        <v>403</v>
      </c>
      <c r="J174" s="115">
        <f t="shared" si="29"/>
        <v>100.75</v>
      </c>
      <c r="K174" s="208">
        <f>H174/I174</f>
        <v>5.858560794044665</v>
      </c>
      <c r="L174" s="42">
        <v>919279</v>
      </c>
      <c r="M174" s="47">
        <v>84735</v>
      </c>
      <c r="N174" s="220">
        <f t="shared" si="30"/>
        <v>10.848870006490824</v>
      </c>
      <c r="O174" s="108">
        <v>164</v>
      </c>
    </row>
    <row r="175" spans="1:15" s="95" customFormat="1" ht="15">
      <c r="A175" s="96">
        <v>165</v>
      </c>
      <c r="B175" s="221" t="s">
        <v>200</v>
      </c>
      <c r="C175" s="2">
        <v>40529</v>
      </c>
      <c r="D175" s="18" t="s">
        <v>10</v>
      </c>
      <c r="E175" s="3">
        <v>72</v>
      </c>
      <c r="F175" s="3">
        <v>2</v>
      </c>
      <c r="G175" s="3">
        <v>6</v>
      </c>
      <c r="H175" s="479">
        <v>1181</v>
      </c>
      <c r="I175" s="480">
        <v>183</v>
      </c>
      <c r="J175" s="115">
        <f t="shared" si="29"/>
        <v>91.5</v>
      </c>
      <c r="K175" s="208">
        <f>H175/I175</f>
        <v>6.453551912568306</v>
      </c>
      <c r="L175" s="42">
        <v>916919</v>
      </c>
      <c r="M175" s="47">
        <v>84332</v>
      </c>
      <c r="N175" s="220">
        <f t="shared" si="30"/>
        <v>10.87272921311009</v>
      </c>
      <c r="O175" s="108">
        <v>165</v>
      </c>
    </row>
    <row r="176" spans="1:15" s="95" customFormat="1" ht="15">
      <c r="A176" s="96">
        <v>166</v>
      </c>
      <c r="B176" s="223" t="s">
        <v>200</v>
      </c>
      <c r="C176" s="17">
        <v>40529</v>
      </c>
      <c r="D176" s="16" t="s">
        <v>10</v>
      </c>
      <c r="E176" s="4">
        <v>72</v>
      </c>
      <c r="F176" s="4">
        <v>1</v>
      </c>
      <c r="G176" s="4">
        <v>8</v>
      </c>
      <c r="H176" s="479">
        <v>500</v>
      </c>
      <c r="I176" s="480">
        <v>70</v>
      </c>
      <c r="J176" s="115">
        <f t="shared" si="29"/>
        <v>70</v>
      </c>
      <c r="K176" s="208">
        <f>H176/I176</f>
        <v>7.142857142857143</v>
      </c>
      <c r="L176" s="42">
        <v>919779</v>
      </c>
      <c r="M176" s="47">
        <v>84805</v>
      </c>
      <c r="N176" s="220">
        <f t="shared" si="30"/>
        <v>10.84581097812629</v>
      </c>
      <c r="O176" s="108">
        <v>166</v>
      </c>
    </row>
    <row r="177" spans="1:15" s="95" customFormat="1" ht="15">
      <c r="A177" s="96">
        <v>167</v>
      </c>
      <c r="B177" s="288" t="s">
        <v>201</v>
      </c>
      <c r="C177" s="289">
        <v>40480</v>
      </c>
      <c r="D177" s="31" t="s">
        <v>169</v>
      </c>
      <c r="E177" s="290">
        <v>15</v>
      </c>
      <c r="F177" s="290">
        <v>1</v>
      </c>
      <c r="G177" s="290">
        <v>9</v>
      </c>
      <c r="H177" s="491">
        <v>2135</v>
      </c>
      <c r="I177" s="492">
        <v>427</v>
      </c>
      <c r="J177" s="106">
        <v>427</v>
      </c>
      <c r="K177" s="249">
        <v>5</v>
      </c>
      <c r="L177" s="250">
        <v>60143</v>
      </c>
      <c r="M177" s="251">
        <v>6696</v>
      </c>
      <c r="N177" s="220">
        <f t="shared" si="30"/>
        <v>8.981929510155316</v>
      </c>
      <c r="O177" s="108">
        <v>167</v>
      </c>
    </row>
    <row r="178" spans="1:15" s="95" customFormat="1" ht="15">
      <c r="A178" s="96">
        <v>168</v>
      </c>
      <c r="B178" s="291" t="s">
        <v>201</v>
      </c>
      <c r="C178" s="292">
        <v>40480</v>
      </c>
      <c r="D178" s="199" t="s">
        <v>169</v>
      </c>
      <c r="E178" s="293">
        <v>15</v>
      </c>
      <c r="F178" s="293">
        <v>1</v>
      </c>
      <c r="G178" s="201">
        <v>10</v>
      </c>
      <c r="H178" s="491">
        <v>1898</v>
      </c>
      <c r="I178" s="492">
        <v>380</v>
      </c>
      <c r="J178" s="106">
        <v>380</v>
      </c>
      <c r="K178" s="285">
        <v>4.994736842105263</v>
      </c>
      <c r="L178" s="250">
        <v>62041</v>
      </c>
      <c r="M178" s="251">
        <v>7076</v>
      </c>
      <c r="N178" s="252">
        <v>8.767806670435274</v>
      </c>
      <c r="O178" s="108">
        <v>168</v>
      </c>
    </row>
    <row r="179" spans="1:15" s="95" customFormat="1" ht="15">
      <c r="A179" s="96">
        <v>169</v>
      </c>
      <c r="B179" s="291" t="s">
        <v>201</v>
      </c>
      <c r="C179" s="289">
        <v>40480</v>
      </c>
      <c r="D179" s="294" t="s">
        <v>169</v>
      </c>
      <c r="E179" s="293">
        <v>15</v>
      </c>
      <c r="F179" s="293">
        <v>1</v>
      </c>
      <c r="G179" s="293">
        <v>7</v>
      </c>
      <c r="H179" s="491">
        <v>1779</v>
      </c>
      <c r="I179" s="492">
        <v>356</v>
      </c>
      <c r="J179" s="251">
        <v>356</v>
      </c>
      <c r="K179" s="724">
        <v>4.997191011235955</v>
      </c>
      <c r="L179" s="250">
        <v>57513</v>
      </c>
      <c r="M179" s="251">
        <v>6199</v>
      </c>
      <c r="N179" s="295">
        <v>9.277786739796742</v>
      </c>
      <c r="O179" s="108">
        <v>169</v>
      </c>
    </row>
    <row r="180" spans="1:15" s="95" customFormat="1" ht="15">
      <c r="A180" s="96">
        <v>170</v>
      </c>
      <c r="B180" s="296" t="s">
        <v>201</v>
      </c>
      <c r="C180" s="289">
        <v>40480</v>
      </c>
      <c r="D180" s="297" t="s">
        <v>202</v>
      </c>
      <c r="E180" s="290">
        <v>15</v>
      </c>
      <c r="F180" s="290">
        <v>1</v>
      </c>
      <c r="G180" s="290">
        <v>8</v>
      </c>
      <c r="H180" s="491">
        <v>495</v>
      </c>
      <c r="I180" s="492">
        <v>70</v>
      </c>
      <c r="J180" s="118">
        <f>(I180/F180)</f>
        <v>70</v>
      </c>
      <c r="K180" s="195">
        <f>H180/I180</f>
        <v>7.071428571428571</v>
      </c>
      <c r="L180" s="250">
        <v>58008</v>
      </c>
      <c r="M180" s="251">
        <v>6269</v>
      </c>
      <c r="N180" s="197">
        <f>L180/M180</f>
        <v>9.253150422714947</v>
      </c>
      <c r="O180" s="108">
        <v>170</v>
      </c>
    </row>
    <row r="181" spans="1:15" s="95" customFormat="1" ht="15">
      <c r="A181" s="96">
        <v>171</v>
      </c>
      <c r="B181" s="235" t="s">
        <v>203</v>
      </c>
      <c r="C181" s="34">
        <v>40536</v>
      </c>
      <c r="D181" s="268" t="s">
        <v>24</v>
      </c>
      <c r="E181" s="36">
        <v>91</v>
      </c>
      <c r="F181" s="36">
        <v>92</v>
      </c>
      <c r="G181" s="36">
        <v>2</v>
      </c>
      <c r="H181" s="490">
        <v>390086</v>
      </c>
      <c r="I181" s="487">
        <v>33581</v>
      </c>
      <c r="J181" s="44">
        <f aca="true" t="shared" si="31" ref="J181:J188">I181/F181</f>
        <v>365.0108695652174</v>
      </c>
      <c r="K181" s="244">
        <f aca="true" t="shared" si="32" ref="K181:K188">+H181/I181</f>
        <v>11.616271105684762</v>
      </c>
      <c r="L181" s="28">
        <v>972705</v>
      </c>
      <c r="M181" s="45">
        <v>84601</v>
      </c>
      <c r="N181" s="234">
        <f aca="true" t="shared" si="33" ref="N181:N188">+L181/M181</f>
        <v>11.497559130506732</v>
      </c>
      <c r="O181" s="108">
        <v>171</v>
      </c>
    </row>
    <row r="182" spans="1:15" s="95" customFormat="1" ht="15">
      <c r="A182" s="96">
        <v>172</v>
      </c>
      <c r="B182" s="190" t="s">
        <v>203</v>
      </c>
      <c r="C182" s="34">
        <v>40536</v>
      </c>
      <c r="D182" s="268" t="s">
        <v>24</v>
      </c>
      <c r="E182" s="36">
        <v>91</v>
      </c>
      <c r="F182" s="36">
        <v>90</v>
      </c>
      <c r="G182" s="36">
        <v>3</v>
      </c>
      <c r="H182" s="486">
        <v>191201</v>
      </c>
      <c r="I182" s="487">
        <v>16807</v>
      </c>
      <c r="J182" s="44">
        <f t="shared" si="31"/>
        <v>186.74444444444444</v>
      </c>
      <c r="K182" s="233">
        <f t="shared" si="32"/>
        <v>11.37627179151544</v>
      </c>
      <c r="L182" s="41">
        <v>1163906</v>
      </c>
      <c r="M182" s="45">
        <v>101408</v>
      </c>
      <c r="N182" s="234">
        <f t="shared" si="33"/>
        <v>11.477457399810666</v>
      </c>
      <c r="O182" s="108">
        <v>172</v>
      </c>
    </row>
    <row r="183" spans="1:15" s="95" customFormat="1" ht="15">
      <c r="A183" s="96">
        <v>173</v>
      </c>
      <c r="B183" s="237" t="s">
        <v>203</v>
      </c>
      <c r="C183" s="269">
        <v>40536</v>
      </c>
      <c r="D183" s="270" t="s">
        <v>24</v>
      </c>
      <c r="E183" s="239">
        <v>91</v>
      </c>
      <c r="F183" s="239">
        <v>22</v>
      </c>
      <c r="G183" s="239">
        <v>4</v>
      </c>
      <c r="H183" s="488">
        <v>28672</v>
      </c>
      <c r="I183" s="489">
        <v>2679</v>
      </c>
      <c r="J183" s="240">
        <f t="shared" si="31"/>
        <v>121.77272727272727</v>
      </c>
      <c r="K183" s="241">
        <f t="shared" si="32"/>
        <v>10.702500933184023</v>
      </c>
      <c r="L183" s="242">
        <v>1192578</v>
      </c>
      <c r="M183" s="240">
        <v>104087</v>
      </c>
      <c r="N183" s="243">
        <f t="shared" si="33"/>
        <v>11.45751150479887</v>
      </c>
      <c r="O183" s="108">
        <v>173</v>
      </c>
    </row>
    <row r="184" spans="1:15" s="95" customFormat="1" ht="15">
      <c r="A184" s="96">
        <v>174</v>
      </c>
      <c r="B184" s="235" t="s">
        <v>203</v>
      </c>
      <c r="C184" s="34">
        <v>40536</v>
      </c>
      <c r="D184" s="299" t="s">
        <v>24</v>
      </c>
      <c r="E184" s="36">
        <v>91</v>
      </c>
      <c r="F184" s="36">
        <v>6</v>
      </c>
      <c r="G184" s="36">
        <v>5</v>
      </c>
      <c r="H184" s="486">
        <v>2455</v>
      </c>
      <c r="I184" s="487">
        <v>339</v>
      </c>
      <c r="J184" s="44">
        <f t="shared" si="31"/>
        <v>56.5</v>
      </c>
      <c r="K184" s="233">
        <f t="shared" si="32"/>
        <v>7.241887905604719</v>
      </c>
      <c r="L184" s="41">
        <v>1195033</v>
      </c>
      <c r="M184" s="45">
        <v>104426</v>
      </c>
      <c r="N184" s="234">
        <f t="shared" si="33"/>
        <v>11.443826250167582</v>
      </c>
      <c r="O184" s="108">
        <v>174</v>
      </c>
    </row>
    <row r="185" spans="1:15" s="95" customFormat="1" ht="15">
      <c r="A185" s="96">
        <v>175</v>
      </c>
      <c r="B185" s="230" t="s">
        <v>203</v>
      </c>
      <c r="C185" s="202">
        <v>40536</v>
      </c>
      <c r="D185" s="199" t="s">
        <v>24</v>
      </c>
      <c r="E185" s="201">
        <v>91</v>
      </c>
      <c r="F185" s="201">
        <v>3</v>
      </c>
      <c r="G185" s="201">
        <v>10</v>
      </c>
      <c r="H185" s="490">
        <v>1793</v>
      </c>
      <c r="I185" s="503">
        <v>426</v>
      </c>
      <c r="J185" s="29">
        <f t="shared" si="31"/>
        <v>142</v>
      </c>
      <c r="K185" s="244">
        <f t="shared" si="32"/>
        <v>4.208920187793427</v>
      </c>
      <c r="L185" s="28">
        <v>1199776</v>
      </c>
      <c r="M185" s="30">
        <v>105815</v>
      </c>
      <c r="N185" s="234">
        <f t="shared" si="33"/>
        <v>11.338430279260974</v>
      </c>
      <c r="O185" s="108">
        <v>175</v>
      </c>
    </row>
    <row r="186" spans="1:15" s="95" customFormat="1" ht="15">
      <c r="A186" s="96">
        <v>176</v>
      </c>
      <c r="B186" s="230" t="s">
        <v>203</v>
      </c>
      <c r="C186" s="202">
        <v>40536</v>
      </c>
      <c r="D186" s="199" t="s">
        <v>24</v>
      </c>
      <c r="E186" s="201">
        <v>91</v>
      </c>
      <c r="F186" s="201">
        <v>1</v>
      </c>
      <c r="G186" s="201">
        <v>9</v>
      </c>
      <c r="H186" s="486">
        <v>1546</v>
      </c>
      <c r="I186" s="487">
        <v>759</v>
      </c>
      <c r="J186" s="44">
        <f t="shared" si="31"/>
        <v>759</v>
      </c>
      <c r="K186" s="233">
        <f t="shared" si="32"/>
        <v>2.036890645586298</v>
      </c>
      <c r="L186" s="41">
        <v>1197983</v>
      </c>
      <c r="M186" s="45">
        <v>105389</v>
      </c>
      <c r="N186" s="234">
        <f t="shared" si="33"/>
        <v>11.367248953875642</v>
      </c>
      <c r="O186" s="108">
        <v>176</v>
      </c>
    </row>
    <row r="187" spans="1:15" s="95" customFormat="1" ht="15">
      <c r="A187" s="96">
        <v>177</v>
      </c>
      <c r="B187" s="190" t="s">
        <v>203</v>
      </c>
      <c r="C187" s="34">
        <v>40536</v>
      </c>
      <c r="D187" s="299" t="s">
        <v>24</v>
      </c>
      <c r="E187" s="36">
        <v>91</v>
      </c>
      <c r="F187" s="36">
        <v>1</v>
      </c>
      <c r="G187" s="36">
        <v>6</v>
      </c>
      <c r="H187" s="486">
        <v>901</v>
      </c>
      <c r="I187" s="487">
        <v>123</v>
      </c>
      <c r="J187" s="44">
        <f t="shared" si="31"/>
        <v>123</v>
      </c>
      <c r="K187" s="233">
        <f t="shared" si="32"/>
        <v>7.32520325203252</v>
      </c>
      <c r="L187" s="41">
        <v>1195880</v>
      </c>
      <c r="M187" s="45">
        <v>104549</v>
      </c>
      <c r="N187" s="220">
        <f t="shared" si="33"/>
        <v>11.438464260777243</v>
      </c>
      <c r="O187" s="108">
        <v>177</v>
      </c>
    </row>
    <row r="188" spans="1:15" s="95" customFormat="1" ht="15">
      <c r="A188" s="96">
        <v>178</v>
      </c>
      <c r="B188" s="237" t="s">
        <v>203</v>
      </c>
      <c r="C188" s="269">
        <v>40536</v>
      </c>
      <c r="D188" s="270" t="s">
        <v>24</v>
      </c>
      <c r="E188" s="239">
        <v>91</v>
      </c>
      <c r="F188" s="239">
        <v>1</v>
      </c>
      <c r="G188" s="239">
        <v>8</v>
      </c>
      <c r="H188" s="488">
        <v>557</v>
      </c>
      <c r="I188" s="489">
        <v>81</v>
      </c>
      <c r="J188" s="240">
        <f t="shared" si="31"/>
        <v>81</v>
      </c>
      <c r="K188" s="241">
        <f t="shared" si="32"/>
        <v>6.8765432098765435</v>
      </c>
      <c r="L188" s="242">
        <v>1196437</v>
      </c>
      <c r="M188" s="240">
        <v>104630</v>
      </c>
      <c r="N188" s="243">
        <f t="shared" si="33"/>
        <v>11.43493261970754</v>
      </c>
      <c r="O188" s="108">
        <v>178</v>
      </c>
    </row>
    <row r="189" spans="1:15" s="95" customFormat="1" ht="15">
      <c r="A189" s="96">
        <v>179</v>
      </c>
      <c r="B189" s="296" t="s">
        <v>204</v>
      </c>
      <c r="C189" s="289">
        <v>40193</v>
      </c>
      <c r="D189" s="199" t="s">
        <v>36</v>
      </c>
      <c r="E189" s="290">
        <v>55</v>
      </c>
      <c r="F189" s="290">
        <v>1</v>
      </c>
      <c r="G189" s="290">
        <v>29</v>
      </c>
      <c r="H189" s="473">
        <v>1782</v>
      </c>
      <c r="I189" s="474">
        <v>445</v>
      </c>
      <c r="J189" s="118">
        <f>(I189/F189)</f>
        <v>445</v>
      </c>
      <c r="K189" s="195">
        <f>H189/I189</f>
        <v>4.004494382022472</v>
      </c>
      <c r="L189" s="9">
        <f>197266+158498+94472.5+25746.5+5341+4975+4175+3550+3868+6158+8020+1277+951+3397+4599+198+566+1146+2247.5+174+31.5+2775.5+1188+735+2376+307+324+2613.5+1782</f>
        <v>538758</v>
      </c>
      <c r="M189" s="8">
        <f>19567+17056+12441+3194+866+909+697+693+818+1478+1988+298+238+832+1154+55+212+207+411+57+12+610+297+71+594+46+71+653+445</f>
        <v>65970</v>
      </c>
      <c r="N189" s="197">
        <f>L189/M189</f>
        <v>8.166712141882673</v>
      </c>
      <c r="O189" s="108">
        <v>179</v>
      </c>
    </row>
    <row r="190" spans="1:15" s="95" customFormat="1" ht="15">
      <c r="A190" s="96">
        <v>180</v>
      </c>
      <c r="B190" s="300" t="s">
        <v>204</v>
      </c>
      <c r="C190" s="301">
        <v>40193</v>
      </c>
      <c r="D190" s="199" t="s">
        <v>36</v>
      </c>
      <c r="E190" s="302">
        <v>55</v>
      </c>
      <c r="F190" s="302">
        <v>1</v>
      </c>
      <c r="G190" s="302">
        <v>30</v>
      </c>
      <c r="H190" s="473">
        <v>1782</v>
      </c>
      <c r="I190" s="474">
        <v>445</v>
      </c>
      <c r="J190" s="118">
        <f>(I190/F190)</f>
        <v>445</v>
      </c>
      <c r="K190" s="195">
        <f>H190/I190</f>
        <v>4.004494382022472</v>
      </c>
      <c r="L190" s="9">
        <f>197266+158498+94472.5+25746.5+5341+4975+4175+3550+3868+6158+8020+1277+951+3397+4599+198+566+1146+2247.5+174+31.5+2775.5+1188+735+2376+307+324+2613.5+1782+1782</f>
        <v>540540</v>
      </c>
      <c r="M190" s="8">
        <f>19567+17056+12441+3194+866+909+697+693+818+1478+1988+298+238+832+1154+55+212+207+411+57+12+610+297+71+594+46+71+653+445+445</f>
        <v>66415</v>
      </c>
      <c r="N190" s="197">
        <f>L190/M190</f>
        <v>8.138824060829633</v>
      </c>
      <c r="O190" s="108">
        <v>180</v>
      </c>
    </row>
    <row r="191" spans="1:15" s="95" customFormat="1" ht="15">
      <c r="A191" s="96">
        <v>181</v>
      </c>
      <c r="B191" s="303" t="s">
        <v>204</v>
      </c>
      <c r="C191" s="301">
        <v>40193</v>
      </c>
      <c r="D191" s="31" t="s">
        <v>36</v>
      </c>
      <c r="E191" s="302">
        <v>55</v>
      </c>
      <c r="F191" s="302">
        <v>1</v>
      </c>
      <c r="G191" s="302">
        <v>31</v>
      </c>
      <c r="H191" s="473">
        <v>1782</v>
      </c>
      <c r="I191" s="474">
        <v>445</v>
      </c>
      <c r="J191" s="118">
        <f>(I191/F191)</f>
        <v>445</v>
      </c>
      <c r="K191" s="195">
        <f>H191/I191</f>
        <v>4.004494382022472</v>
      </c>
      <c r="L191" s="9">
        <f>197266+158498+94472.5+25746.5+5341+4975+4175+3550+3868+6158+8020+1277+951+3397+4599+198+566+1146+2247.5+174+31.5+2775.5+1188+735+2376+307+324+2613.5+1782+1782+1782</f>
        <v>542322</v>
      </c>
      <c r="M191" s="8">
        <f>19567+17056+12441+3194+866+909+697+693+818+1478+1988+298+238+832+1154+55+212+207+411+57+12+610+297+71+594+46+71+653+445+445+445</f>
        <v>66860</v>
      </c>
      <c r="N191" s="197">
        <f>L191/M191</f>
        <v>8.111307209093628</v>
      </c>
      <c r="O191" s="108">
        <v>181</v>
      </c>
    </row>
    <row r="192" spans="1:15" s="95" customFormat="1" ht="15">
      <c r="A192" s="96">
        <v>182</v>
      </c>
      <c r="B192" s="198" t="s">
        <v>205</v>
      </c>
      <c r="C192" s="34">
        <v>40312</v>
      </c>
      <c r="D192" s="199" t="s">
        <v>36</v>
      </c>
      <c r="E192" s="36">
        <v>8</v>
      </c>
      <c r="F192" s="36">
        <v>1</v>
      </c>
      <c r="G192" s="36">
        <v>18</v>
      </c>
      <c r="H192" s="473">
        <v>1188</v>
      </c>
      <c r="I192" s="474">
        <v>297</v>
      </c>
      <c r="J192" s="118">
        <f>(I192/F192)</f>
        <v>297</v>
      </c>
      <c r="K192" s="195">
        <f>H192/I192</f>
        <v>4</v>
      </c>
      <c r="L192" s="9">
        <f>41764.5+663+13.5+1901+220.5+1188</f>
        <v>45750.5</v>
      </c>
      <c r="M192" s="8">
        <f>4847+89+1+475+63+297</f>
        <v>5772</v>
      </c>
      <c r="N192" s="197">
        <f>L192/M192</f>
        <v>7.926282051282051</v>
      </c>
      <c r="O192" s="108">
        <v>182</v>
      </c>
    </row>
    <row r="193" spans="1:15" s="95" customFormat="1" ht="15">
      <c r="A193" s="96">
        <v>183</v>
      </c>
      <c r="B193" s="235" t="s">
        <v>257</v>
      </c>
      <c r="C193" s="34">
        <v>40515</v>
      </c>
      <c r="D193" s="268" t="s">
        <v>24</v>
      </c>
      <c r="E193" s="36">
        <v>122</v>
      </c>
      <c r="F193" s="36">
        <v>7</v>
      </c>
      <c r="G193" s="36">
        <v>4</v>
      </c>
      <c r="H193" s="490">
        <v>4679</v>
      </c>
      <c r="I193" s="487">
        <v>723</v>
      </c>
      <c r="J193" s="44">
        <f>I193/F193</f>
        <v>103.28571428571429</v>
      </c>
      <c r="K193" s="244">
        <f>+H193/I193</f>
        <v>6.4716459197787</v>
      </c>
      <c r="L193" s="28">
        <v>611175</v>
      </c>
      <c r="M193" s="45">
        <v>72305</v>
      </c>
      <c r="N193" s="234">
        <f>+L193/M193</f>
        <v>8.452734942258488</v>
      </c>
      <c r="O193" s="108">
        <v>183</v>
      </c>
    </row>
    <row r="194" spans="1:15" s="95" customFormat="1" ht="15">
      <c r="A194" s="96">
        <v>184</v>
      </c>
      <c r="B194" s="190" t="s">
        <v>257</v>
      </c>
      <c r="C194" s="34">
        <v>40515</v>
      </c>
      <c r="D194" s="299" t="s">
        <v>24</v>
      </c>
      <c r="E194" s="36">
        <v>122</v>
      </c>
      <c r="F194" s="36">
        <v>1</v>
      </c>
      <c r="G194" s="36">
        <v>13</v>
      </c>
      <c r="H194" s="486">
        <v>519</v>
      </c>
      <c r="I194" s="487">
        <v>74</v>
      </c>
      <c r="J194" s="44">
        <f>I194/F194</f>
        <v>74</v>
      </c>
      <c r="K194" s="233">
        <f>+H194/I194</f>
        <v>7.013513513513513</v>
      </c>
      <c r="L194" s="41">
        <v>613786</v>
      </c>
      <c r="M194" s="45">
        <v>73223</v>
      </c>
      <c r="N194" s="234">
        <f>+L194/M194</f>
        <v>8.382420824058014</v>
      </c>
      <c r="O194" s="108">
        <v>184</v>
      </c>
    </row>
    <row r="195" spans="1:15" s="95" customFormat="1" ht="15">
      <c r="A195" s="96">
        <v>185</v>
      </c>
      <c r="B195" s="349" t="s">
        <v>257</v>
      </c>
      <c r="C195" s="191">
        <v>40515</v>
      </c>
      <c r="D195" s="268" t="s">
        <v>24</v>
      </c>
      <c r="E195" s="192">
        <v>122</v>
      </c>
      <c r="F195" s="192">
        <v>2</v>
      </c>
      <c r="G195" s="192">
        <v>5</v>
      </c>
      <c r="H195" s="486">
        <v>474</v>
      </c>
      <c r="I195" s="487">
        <v>70</v>
      </c>
      <c r="J195" s="45">
        <f>I195/F195</f>
        <v>35</v>
      </c>
      <c r="K195" s="233">
        <f>+H195/I195</f>
        <v>6.771428571428571</v>
      </c>
      <c r="L195" s="41">
        <v>611649</v>
      </c>
      <c r="M195" s="46">
        <v>72375</v>
      </c>
      <c r="N195" s="234">
        <f>+L195/M195</f>
        <v>8.451108808290156</v>
      </c>
      <c r="O195" s="108">
        <v>185</v>
      </c>
    </row>
    <row r="196" spans="1:15" s="95" customFormat="1" ht="15">
      <c r="A196" s="96">
        <v>186</v>
      </c>
      <c r="B196" s="468" t="s">
        <v>257</v>
      </c>
      <c r="C196" s="305">
        <v>40515</v>
      </c>
      <c r="D196" s="306" t="s">
        <v>24</v>
      </c>
      <c r="E196" s="307">
        <v>122</v>
      </c>
      <c r="F196" s="307">
        <v>1</v>
      </c>
      <c r="G196" s="307">
        <v>14</v>
      </c>
      <c r="H196" s="488">
        <v>147</v>
      </c>
      <c r="I196" s="489">
        <v>21</v>
      </c>
      <c r="J196" s="311">
        <f>I196/F196</f>
        <v>21</v>
      </c>
      <c r="K196" s="309">
        <f>+H196/I196</f>
        <v>7</v>
      </c>
      <c r="L196" s="310">
        <v>613933</v>
      </c>
      <c r="M196" s="469">
        <v>73244</v>
      </c>
      <c r="N196" s="312">
        <f>+L196/M196</f>
        <v>8.382024466167877</v>
      </c>
      <c r="O196" s="108">
        <v>186</v>
      </c>
    </row>
    <row r="197" spans="1:15" s="95" customFormat="1" ht="15">
      <c r="A197" s="96">
        <v>187</v>
      </c>
      <c r="B197" s="209" t="s">
        <v>206</v>
      </c>
      <c r="C197" s="210">
        <v>40389</v>
      </c>
      <c r="D197" s="199" t="s">
        <v>36</v>
      </c>
      <c r="E197" s="211">
        <v>19</v>
      </c>
      <c r="F197" s="211">
        <v>1</v>
      </c>
      <c r="G197" s="211">
        <v>13</v>
      </c>
      <c r="H197" s="477">
        <v>1307</v>
      </c>
      <c r="I197" s="478">
        <v>327</v>
      </c>
      <c r="J197" s="212">
        <f>(I197/F197)</f>
        <v>327</v>
      </c>
      <c r="K197" s="213">
        <f>H197/I197</f>
        <v>3.996941896024465</v>
      </c>
      <c r="L197" s="214">
        <f>69032+15425.5+9802+4755.5+7049.5+3610.5+8536+6024.5+2322+245+405.5+1307</f>
        <v>128515</v>
      </c>
      <c r="M197" s="215">
        <f>5509+1589+1417+704+842+602+1038+829+323+37+46+327</f>
        <v>13263</v>
      </c>
      <c r="N197" s="216">
        <f>L197/M197</f>
        <v>9.68973836990123</v>
      </c>
      <c r="O197" s="108">
        <v>187</v>
      </c>
    </row>
    <row r="198" spans="1:15" s="95" customFormat="1" ht="15">
      <c r="A198" s="96">
        <v>188</v>
      </c>
      <c r="B198" s="253" t="s">
        <v>207</v>
      </c>
      <c r="C198" s="2">
        <v>40459</v>
      </c>
      <c r="D198" s="26" t="s">
        <v>8</v>
      </c>
      <c r="E198" s="4">
        <v>50</v>
      </c>
      <c r="F198" s="4">
        <v>5</v>
      </c>
      <c r="G198" s="4">
        <v>13</v>
      </c>
      <c r="H198" s="501">
        <v>4218</v>
      </c>
      <c r="I198" s="500">
        <v>597</v>
      </c>
      <c r="J198" s="102">
        <f>+I198/F198</f>
        <v>119.4</v>
      </c>
      <c r="K198" s="229">
        <f>+H198/I198</f>
        <v>7.065326633165829</v>
      </c>
      <c r="L198" s="21">
        <v>377106</v>
      </c>
      <c r="M198" s="7">
        <v>34343</v>
      </c>
      <c r="N198" s="228">
        <f>+L198/M198</f>
        <v>10.980578283784178</v>
      </c>
      <c r="O198" s="108">
        <v>188</v>
      </c>
    </row>
    <row r="199" spans="1:15" s="95" customFormat="1" ht="15">
      <c r="A199" s="96">
        <v>189</v>
      </c>
      <c r="B199" s="223" t="s">
        <v>207</v>
      </c>
      <c r="C199" s="2">
        <v>40459</v>
      </c>
      <c r="D199" s="26" t="s">
        <v>8</v>
      </c>
      <c r="E199" s="4">
        <v>50</v>
      </c>
      <c r="F199" s="4">
        <v>1</v>
      </c>
      <c r="G199" s="4">
        <v>14</v>
      </c>
      <c r="H199" s="499">
        <v>62</v>
      </c>
      <c r="I199" s="500">
        <v>10</v>
      </c>
      <c r="J199" s="102">
        <f>+I199/F199</f>
        <v>10</v>
      </c>
      <c r="K199" s="227">
        <f>+H199/I199</f>
        <v>6.2</v>
      </c>
      <c r="L199" s="6">
        <v>377168</v>
      </c>
      <c r="M199" s="7">
        <v>34353</v>
      </c>
      <c r="N199" s="228">
        <f>+L199/M199</f>
        <v>10.979186679474864</v>
      </c>
      <c r="O199" s="108">
        <v>189</v>
      </c>
    </row>
    <row r="200" spans="1:15" s="95" customFormat="1" ht="15">
      <c r="A200" s="96">
        <v>190</v>
      </c>
      <c r="B200" s="198" t="s">
        <v>258</v>
      </c>
      <c r="C200" s="34">
        <v>40480</v>
      </c>
      <c r="D200" s="33" t="s">
        <v>32</v>
      </c>
      <c r="E200" s="36">
        <v>135</v>
      </c>
      <c r="F200" s="36">
        <v>5</v>
      </c>
      <c r="G200" s="36">
        <v>10</v>
      </c>
      <c r="H200" s="490">
        <v>604</v>
      </c>
      <c r="I200" s="487">
        <v>91</v>
      </c>
      <c r="J200" s="102">
        <f>IF(H200&lt;&gt;0,I200/F200,"")</f>
        <v>18.2</v>
      </c>
      <c r="K200" s="229">
        <f>IF(H200&lt;&gt;0,H200/I200,"")</f>
        <v>6.637362637362638</v>
      </c>
      <c r="L200" s="28">
        <f>151771.5+44278.5+20156+4831.5+5960.5+2697+3743.5+81+2518+2320+604</f>
        <v>238961.5</v>
      </c>
      <c r="M200" s="44">
        <f>19003+7410+3277+795+995+475+746+11+433+386+91</f>
        <v>33622</v>
      </c>
      <c r="N200" s="228">
        <f>IF(L200&lt;&gt;0,L200/M200,"")</f>
        <v>7.107295818214264</v>
      </c>
      <c r="O200" s="108">
        <v>190</v>
      </c>
    </row>
    <row r="201" spans="1:15" s="95" customFormat="1" ht="15">
      <c r="A201" s="96">
        <v>191</v>
      </c>
      <c r="B201" s="190" t="s">
        <v>258</v>
      </c>
      <c r="C201" s="34">
        <v>40480</v>
      </c>
      <c r="D201" s="33" t="s">
        <v>32</v>
      </c>
      <c r="E201" s="36">
        <v>135</v>
      </c>
      <c r="F201" s="36">
        <v>1</v>
      </c>
      <c r="G201" s="36">
        <v>11</v>
      </c>
      <c r="H201" s="486">
        <v>265</v>
      </c>
      <c r="I201" s="487">
        <v>52</v>
      </c>
      <c r="J201" s="44">
        <f>I201/F201</f>
        <v>52</v>
      </c>
      <c r="K201" s="233">
        <f>H201/I201</f>
        <v>5.096153846153846</v>
      </c>
      <c r="L201" s="41">
        <f>151771.5+44278.5+20156+4831.5+5960.5+2697+3743.5+81+2518+2320+604+265</f>
        <v>239226.5</v>
      </c>
      <c r="M201" s="44">
        <f>19003+7410+3277+795+995+475+746+11+433+386+91+52</f>
        <v>33674</v>
      </c>
      <c r="N201" s="234">
        <f>L201/M201</f>
        <v>7.10419017639722</v>
      </c>
      <c r="O201" s="108">
        <v>191</v>
      </c>
    </row>
    <row r="202" spans="1:15" s="95" customFormat="1" ht="15">
      <c r="A202" s="96">
        <v>192</v>
      </c>
      <c r="B202" s="253" t="s">
        <v>259</v>
      </c>
      <c r="C202" s="2">
        <v>40487</v>
      </c>
      <c r="D202" s="26" t="s">
        <v>8</v>
      </c>
      <c r="E202" s="4">
        <v>312</v>
      </c>
      <c r="F202" s="4">
        <v>86</v>
      </c>
      <c r="G202" s="4">
        <v>9</v>
      </c>
      <c r="H202" s="501">
        <v>125458</v>
      </c>
      <c r="I202" s="500">
        <v>15869</v>
      </c>
      <c r="J202" s="102">
        <f>+I202/F202</f>
        <v>184.52325581395348</v>
      </c>
      <c r="K202" s="229">
        <f>+H202/I202</f>
        <v>7.90585418110782</v>
      </c>
      <c r="L202" s="21">
        <v>31622053</v>
      </c>
      <c r="M202" s="7">
        <v>3470958</v>
      </c>
      <c r="N202" s="228">
        <f>+L202/M202</f>
        <v>9.110468349084028</v>
      </c>
      <c r="O202" s="108">
        <v>192</v>
      </c>
    </row>
    <row r="203" spans="1:15" s="95" customFormat="1" ht="15">
      <c r="A203" s="96">
        <v>193</v>
      </c>
      <c r="B203" s="223" t="s">
        <v>259</v>
      </c>
      <c r="C203" s="2">
        <v>40487</v>
      </c>
      <c r="D203" s="26" t="s">
        <v>8</v>
      </c>
      <c r="E203" s="4">
        <v>312</v>
      </c>
      <c r="F203" s="4">
        <v>19</v>
      </c>
      <c r="G203" s="4">
        <v>10</v>
      </c>
      <c r="H203" s="499">
        <v>12589</v>
      </c>
      <c r="I203" s="500">
        <v>1965</v>
      </c>
      <c r="J203" s="102">
        <f>+I203/F203</f>
        <v>103.42105263157895</v>
      </c>
      <c r="K203" s="227">
        <f>+H203/I203</f>
        <v>6.406615776081425</v>
      </c>
      <c r="L203" s="6">
        <v>31634642</v>
      </c>
      <c r="M203" s="7">
        <v>3472923</v>
      </c>
      <c r="N203" s="228">
        <f>+L203/M203</f>
        <v>9.108938493597469</v>
      </c>
      <c r="O203" s="108">
        <v>193</v>
      </c>
    </row>
    <row r="204" spans="1:15" s="95" customFormat="1" ht="15">
      <c r="A204" s="96">
        <v>194</v>
      </c>
      <c r="B204" s="223" t="s">
        <v>259</v>
      </c>
      <c r="C204" s="2">
        <v>40487</v>
      </c>
      <c r="D204" s="16" t="s">
        <v>8</v>
      </c>
      <c r="E204" s="4">
        <v>312</v>
      </c>
      <c r="F204" s="4">
        <v>12</v>
      </c>
      <c r="G204" s="4">
        <v>11</v>
      </c>
      <c r="H204" s="499">
        <v>5621</v>
      </c>
      <c r="I204" s="500">
        <v>841</v>
      </c>
      <c r="J204" s="102">
        <f>+I204/F204</f>
        <v>70.08333333333333</v>
      </c>
      <c r="K204" s="227">
        <f>+H204/I204</f>
        <v>6.683709869203329</v>
      </c>
      <c r="L204" s="6">
        <v>31640263</v>
      </c>
      <c r="M204" s="7">
        <v>3473764</v>
      </c>
      <c r="N204" s="228">
        <f>+L204/M204</f>
        <v>9.108351344535784</v>
      </c>
      <c r="O204" s="108">
        <v>194</v>
      </c>
    </row>
    <row r="205" spans="1:15" s="95" customFormat="1" ht="15">
      <c r="A205" s="96">
        <v>195</v>
      </c>
      <c r="B205" s="253" t="s">
        <v>259</v>
      </c>
      <c r="C205" s="2">
        <v>40487</v>
      </c>
      <c r="D205" s="19" t="s">
        <v>8</v>
      </c>
      <c r="E205" s="4">
        <v>312</v>
      </c>
      <c r="F205" s="4">
        <v>7</v>
      </c>
      <c r="G205" s="4">
        <v>12</v>
      </c>
      <c r="H205" s="499">
        <v>4990</v>
      </c>
      <c r="I205" s="500">
        <v>695</v>
      </c>
      <c r="J205" s="118">
        <f>(I205/F205)</f>
        <v>99.28571428571429</v>
      </c>
      <c r="K205" s="195">
        <f>H205/I205</f>
        <v>7.179856115107913</v>
      </c>
      <c r="L205" s="6">
        <v>31645253</v>
      </c>
      <c r="M205" s="7">
        <v>3474459</v>
      </c>
      <c r="N205" s="197">
        <f>L205/M205</f>
        <v>9.107965585433588</v>
      </c>
      <c r="O205" s="108">
        <v>195</v>
      </c>
    </row>
    <row r="206" spans="1:15" s="95" customFormat="1" ht="15">
      <c r="A206" s="96">
        <v>196</v>
      </c>
      <c r="B206" s="313" t="s">
        <v>260</v>
      </c>
      <c r="C206" s="34">
        <v>39941</v>
      </c>
      <c r="D206" s="31" t="s">
        <v>36</v>
      </c>
      <c r="E206" s="36">
        <v>26</v>
      </c>
      <c r="F206" s="36">
        <v>1</v>
      </c>
      <c r="G206" s="36">
        <v>26</v>
      </c>
      <c r="H206" s="473">
        <v>2376</v>
      </c>
      <c r="I206" s="474">
        <v>594</v>
      </c>
      <c r="J206" s="118">
        <f>(I206/F206)</f>
        <v>594</v>
      </c>
      <c r="K206" s="195">
        <f>H206/I206</f>
        <v>4</v>
      </c>
      <c r="L206" s="9">
        <f>36482.75+16583.5+5922.75+3249+4769+4925+4199.5+5525+366+924+414+2215+2444+33+1987+838+1440+537+604+3792+2376+1780+3800+2376+310.7+381.86+2376</f>
        <v>110651.06</v>
      </c>
      <c r="M206" s="8">
        <f>4495+1934+744+517+1003+1215+722+968+65+193+83+369+384+5+336+159+238+83+151+948+594+445+950+594+72+92+594</f>
        <v>17953</v>
      </c>
      <c r="N206" s="197">
        <f>L206/M206</f>
        <v>6.163374366401158</v>
      </c>
      <c r="O206" s="108">
        <v>196</v>
      </c>
    </row>
    <row r="207" spans="1:15" s="95" customFormat="1" ht="15">
      <c r="A207" s="96">
        <v>197</v>
      </c>
      <c r="B207" s="217" t="s">
        <v>261</v>
      </c>
      <c r="C207" s="202">
        <v>40473</v>
      </c>
      <c r="D207" s="199" t="s">
        <v>32</v>
      </c>
      <c r="E207" s="201">
        <v>36</v>
      </c>
      <c r="F207" s="201">
        <v>1</v>
      </c>
      <c r="G207" s="201">
        <v>9</v>
      </c>
      <c r="H207" s="490">
        <v>926</v>
      </c>
      <c r="I207" s="503">
        <v>136</v>
      </c>
      <c r="J207" s="284">
        <f>+I207/F207</f>
        <v>136</v>
      </c>
      <c r="K207" s="229">
        <f>+H207/I207</f>
        <v>6.8088235294117645</v>
      </c>
      <c r="L207" s="28">
        <f>34961.5+23009.5+1351+805+533+530+156+172+926</f>
        <v>62444</v>
      </c>
      <c r="M207" s="29">
        <f>4408+3132+214+122+62+78+26+27+136</f>
        <v>8205</v>
      </c>
      <c r="N207" s="228">
        <f>+L207/M207</f>
        <v>7.61048141377209</v>
      </c>
      <c r="O207" s="108">
        <v>197</v>
      </c>
    </row>
    <row r="208" spans="1:15" s="95" customFormat="1" ht="15">
      <c r="A208" s="96">
        <v>198</v>
      </c>
      <c r="B208" s="198" t="s">
        <v>261</v>
      </c>
      <c r="C208" s="34">
        <v>40473</v>
      </c>
      <c r="D208" s="33" t="s">
        <v>32</v>
      </c>
      <c r="E208" s="36">
        <v>36</v>
      </c>
      <c r="F208" s="36">
        <v>1</v>
      </c>
      <c r="G208" s="36">
        <v>8</v>
      </c>
      <c r="H208" s="490">
        <v>172</v>
      </c>
      <c r="I208" s="487">
        <v>27</v>
      </c>
      <c r="J208" s="102">
        <f>IF(H208&lt;&gt;0,I208/F208,"")</f>
        <v>27</v>
      </c>
      <c r="K208" s="229">
        <f>IF(H208&lt;&gt;0,H208/I208,"")</f>
        <v>6.37037037037037</v>
      </c>
      <c r="L208" s="28">
        <f>34961.5+23009.5+1351+805+533+530+156+172</f>
        <v>61518</v>
      </c>
      <c r="M208" s="44">
        <f>4408+3132+214+122+62+78+26+27</f>
        <v>8069</v>
      </c>
      <c r="N208" s="228">
        <f>IF(L208&lt;&gt;0,L208/M208,"")</f>
        <v>7.6239930598587184</v>
      </c>
      <c r="O208" s="108">
        <v>198</v>
      </c>
    </row>
    <row r="209" spans="1:15" s="95" customFormat="1" ht="15">
      <c r="A209" s="96">
        <v>199</v>
      </c>
      <c r="B209" s="190" t="s">
        <v>208</v>
      </c>
      <c r="C209" s="34">
        <v>40102</v>
      </c>
      <c r="D209" s="31" t="s">
        <v>36</v>
      </c>
      <c r="E209" s="36">
        <v>9</v>
      </c>
      <c r="F209" s="36">
        <v>1</v>
      </c>
      <c r="G209" s="36">
        <v>11</v>
      </c>
      <c r="H209" s="473">
        <v>1500</v>
      </c>
      <c r="I209" s="474">
        <v>150</v>
      </c>
      <c r="J209" s="118">
        <f aca="true" t="shared" si="34" ref="J209:J220">(I209/F209)</f>
        <v>150</v>
      </c>
      <c r="K209" s="195">
        <f aca="true" t="shared" si="35" ref="K209:K227">H209/I209</f>
        <v>10</v>
      </c>
      <c r="L209" s="9">
        <f>140093+133065.5+53545.5+8843.5+1143.5+938+558+224+456+4065+1500</f>
        <v>344432</v>
      </c>
      <c r="M209" s="8">
        <f>10984+10700+4415+806+91+134+57+28+33+335+150</f>
        <v>27733</v>
      </c>
      <c r="N209" s="197">
        <f aca="true" t="shared" si="36" ref="N209:N227">L209/M209</f>
        <v>12.419572350629215</v>
      </c>
      <c r="O209" s="108">
        <v>199</v>
      </c>
    </row>
    <row r="210" spans="1:15" s="95" customFormat="1" ht="15">
      <c r="A210" s="96">
        <v>200</v>
      </c>
      <c r="B210" s="190" t="s">
        <v>208</v>
      </c>
      <c r="C210" s="34">
        <v>40102</v>
      </c>
      <c r="D210" s="31" t="s">
        <v>36</v>
      </c>
      <c r="E210" s="36">
        <v>9</v>
      </c>
      <c r="F210" s="36">
        <v>1</v>
      </c>
      <c r="G210" s="36">
        <v>12</v>
      </c>
      <c r="H210" s="473">
        <v>670</v>
      </c>
      <c r="I210" s="474">
        <v>67</v>
      </c>
      <c r="J210" s="118">
        <f t="shared" si="34"/>
        <v>67</v>
      </c>
      <c r="K210" s="195">
        <f t="shared" si="35"/>
        <v>10</v>
      </c>
      <c r="L210" s="9">
        <f>140093+133065.5+53545.5+8843.5+1143.5+938+558+224+456+4065+1500+670</f>
        <v>345102</v>
      </c>
      <c r="M210" s="8">
        <f>10984+10700+4415+806+91+134+57+28+33+335+150+67</f>
        <v>27800</v>
      </c>
      <c r="N210" s="197">
        <f t="shared" si="36"/>
        <v>12.413741007194245</v>
      </c>
      <c r="O210" s="108">
        <v>200</v>
      </c>
    </row>
    <row r="211" spans="1:15" s="95" customFormat="1" ht="15">
      <c r="A211" s="96">
        <v>201</v>
      </c>
      <c r="B211" s="198" t="s">
        <v>140</v>
      </c>
      <c r="C211" s="34">
        <v>40515</v>
      </c>
      <c r="D211" s="199" t="s">
        <v>36</v>
      </c>
      <c r="E211" s="36">
        <v>62</v>
      </c>
      <c r="F211" s="36">
        <v>62</v>
      </c>
      <c r="G211" s="36">
        <v>5</v>
      </c>
      <c r="H211" s="475">
        <v>47812</v>
      </c>
      <c r="I211" s="474">
        <v>7581</v>
      </c>
      <c r="J211" s="118">
        <f t="shared" si="34"/>
        <v>122.2741935483871</v>
      </c>
      <c r="K211" s="200">
        <f t="shared" si="35"/>
        <v>6.3068196807809</v>
      </c>
      <c r="L211" s="27">
        <f>353151+191248+132731.5+71376+47812</f>
        <v>796318.5</v>
      </c>
      <c r="M211" s="8">
        <f>34650+19352+14525+10591+7581</f>
        <v>86699</v>
      </c>
      <c r="N211" s="197">
        <f t="shared" si="36"/>
        <v>9.184863723918385</v>
      </c>
      <c r="O211" s="108">
        <v>201</v>
      </c>
    </row>
    <row r="212" spans="1:15" s="95" customFormat="1" ht="15">
      <c r="A212" s="96">
        <v>202</v>
      </c>
      <c r="B212" s="217" t="s">
        <v>140</v>
      </c>
      <c r="C212" s="34">
        <v>40515</v>
      </c>
      <c r="D212" s="199" t="s">
        <v>36</v>
      </c>
      <c r="E212" s="201">
        <v>62</v>
      </c>
      <c r="F212" s="201">
        <v>28</v>
      </c>
      <c r="G212" s="201">
        <v>10</v>
      </c>
      <c r="H212" s="473">
        <v>42312</v>
      </c>
      <c r="I212" s="474">
        <v>6589</v>
      </c>
      <c r="J212" s="118">
        <f t="shared" si="34"/>
        <v>235.32142857142858</v>
      </c>
      <c r="K212" s="195">
        <f t="shared" si="35"/>
        <v>6.421611777204432</v>
      </c>
      <c r="L212" s="9">
        <f>353151+191248+132731.5+71376+47862+26248.5+19265+34650.5+35095.5+42312</f>
        <v>953940</v>
      </c>
      <c r="M212" s="8">
        <f>34650+19352+14525+10591+7581+5012+3223+6065+6865+6589</f>
        <v>114453</v>
      </c>
      <c r="N212" s="197">
        <f t="shared" si="36"/>
        <v>8.334774973133076</v>
      </c>
      <c r="O212" s="108">
        <v>202</v>
      </c>
    </row>
    <row r="213" spans="1:15" s="95" customFormat="1" ht="15">
      <c r="A213" s="96">
        <v>203</v>
      </c>
      <c r="B213" s="190" t="s">
        <v>140</v>
      </c>
      <c r="C213" s="34">
        <v>40515</v>
      </c>
      <c r="D213" s="199" t="s">
        <v>36</v>
      </c>
      <c r="E213" s="36">
        <v>62</v>
      </c>
      <c r="F213" s="36">
        <v>37</v>
      </c>
      <c r="G213" s="36">
        <v>9</v>
      </c>
      <c r="H213" s="473">
        <v>35095.5</v>
      </c>
      <c r="I213" s="474">
        <v>6865</v>
      </c>
      <c r="J213" s="118">
        <f t="shared" si="34"/>
        <v>185.54054054054055</v>
      </c>
      <c r="K213" s="195">
        <f t="shared" si="35"/>
        <v>5.112235979606701</v>
      </c>
      <c r="L213" s="9">
        <f>353151+191248+132731.5+71376+47862+26248.5+19265+34650.5+35095.5</f>
        <v>911628</v>
      </c>
      <c r="M213" s="8">
        <f>34650+19352+14525+10591+7581+5012+3223+6065+6865</f>
        <v>107864</v>
      </c>
      <c r="N213" s="197">
        <f t="shared" si="36"/>
        <v>8.451642809463769</v>
      </c>
      <c r="O213" s="108">
        <v>203</v>
      </c>
    </row>
    <row r="214" spans="1:15" s="95" customFormat="1" ht="15">
      <c r="A214" s="96">
        <v>204</v>
      </c>
      <c r="B214" s="198" t="s">
        <v>140</v>
      </c>
      <c r="C214" s="34">
        <v>40515</v>
      </c>
      <c r="D214" s="199" t="s">
        <v>36</v>
      </c>
      <c r="E214" s="36">
        <v>62</v>
      </c>
      <c r="F214" s="36">
        <v>36</v>
      </c>
      <c r="G214" s="36">
        <v>8</v>
      </c>
      <c r="H214" s="473">
        <v>34650.5</v>
      </c>
      <c r="I214" s="474">
        <v>6065</v>
      </c>
      <c r="J214" s="118">
        <f t="shared" si="34"/>
        <v>168.47222222222223</v>
      </c>
      <c r="K214" s="195">
        <f t="shared" si="35"/>
        <v>5.713190436933224</v>
      </c>
      <c r="L214" s="9">
        <f>353151+191248+132731.5+71376+47862+26248.5+19265+34650.5</f>
        <v>876532.5</v>
      </c>
      <c r="M214" s="8">
        <f>34650+19352+14525+10591+7581+5012+3223+6065</f>
        <v>100999</v>
      </c>
      <c r="N214" s="197">
        <f t="shared" si="36"/>
        <v>8.678625530945851</v>
      </c>
      <c r="O214" s="108">
        <v>204</v>
      </c>
    </row>
    <row r="215" spans="1:15" s="95" customFormat="1" ht="15">
      <c r="A215" s="96">
        <v>205</v>
      </c>
      <c r="B215" s="190" t="s">
        <v>140</v>
      </c>
      <c r="C215" s="34">
        <v>40515</v>
      </c>
      <c r="D215" s="199" t="s">
        <v>36</v>
      </c>
      <c r="E215" s="36">
        <v>62</v>
      </c>
      <c r="F215" s="36">
        <v>42</v>
      </c>
      <c r="G215" s="36">
        <v>6</v>
      </c>
      <c r="H215" s="473">
        <v>26248.5</v>
      </c>
      <c r="I215" s="474">
        <v>5012</v>
      </c>
      <c r="J215" s="118">
        <f t="shared" si="34"/>
        <v>119.33333333333333</v>
      </c>
      <c r="K215" s="195">
        <f t="shared" si="35"/>
        <v>5.237130885873903</v>
      </c>
      <c r="L215" s="9">
        <f>353151+191248+132731.5+71376+47862+26248.5</f>
        <v>822617</v>
      </c>
      <c r="M215" s="8">
        <f>34650+19352+14525+10591+7581+5012</f>
        <v>91711</v>
      </c>
      <c r="N215" s="197">
        <f t="shared" si="36"/>
        <v>8.96966557991953</v>
      </c>
      <c r="O215" s="108">
        <v>205</v>
      </c>
    </row>
    <row r="216" spans="1:15" s="95" customFormat="1" ht="15">
      <c r="A216" s="96">
        <v>206</v>
      </c>
      <c r="B216" s="209" t="s">
        <v>140</v>
      </c>
      <c r="C216" s="210">
        <v>40515</v>
      </c>
      <c r="D216" s="199" t="s">
        <v>36</v>
      </c>
      <c r="E216" s="211">
        <v>62</v>
      </c>
      <c r="F216" s="211">
        <v>26</v>
      </c>
      <c r="G216" s="211">
        <v>11</v>
      </c>
      <c r="H216" s="477">
        <v>25849</v>
      </c>
      <c r="I216" s="478">
        <v>3930</v>
      </c>
      <c r="J216" s="212">
        <f t="shared" si="34"/>
        <v>151.15384615384616</v>
      </c>
      <c r="K216" s="213">
        <f t="shared" si="35"/>
        <v>6.57735368956743</v>
      </c>
      <c r="L216" s="214">
        <f>353151+191248+132731.5+71376+47862+26248.5+19265+34650.5+35095.5+42312+25849</f>
        <v>979789</v>
      </c>
      <c r="M216" s="215">
        <f>34650+19352+14525+10591+7581+5012+3223+6065+6865+6589+3930</f>
        <v>118383</v>
      </c>
      <c r="N216" s="216">
        <f t="shared" si="36"/>
        <v>8.276433271669074</v>
      </c>
      <c r="O216" s="108">
        <v>206</v>
      </c>
    </row>
    <row r="217" spans="1:15" s="95" customFormat="1" ht="15">
      <c r="A217" s="96">
        <v>207</v>
      </c>
      <c r="B217" s="209" t="s">
        <v>140</v>
      </c>
      <c r="C217" s="210">
        <v>40515</v>
      </c>
      <c r="D217" s="199" t="s">
        <v>36</v>
      </c>
      <c r="E217" s="211">
        <v>62</v>
      </c>
      <c r="F217" s="211">
        <v>37</v>
      </c>
      <c r="G217" s="211">
        <v>7</v>
      </c>
      <c r="H217" s="477">
        <v>19265</v>
      </c>
      <c r="I217" s="478">
        <v>3223</v>
      </c>
      <c r="J217" s="212">
        <f t="shared" si="34"/>
        <v>87.10810810810811</v>
      </c>
      <c r="K217" s="213">
        <f t="shared" si="35"/>
        <v>5.977350294756438</v>
      </c>
      <c r="L217" s="214">
        <f>353151+191248+132731.5+71376+47862+26248.5+19265</f>
        <v>841882</v>
      </c>
      <c r="M217" s="215">
        <f>34650+19352+14525+10591+7581+5012+3223</f>
        <v>94934</v>
      </c>
      <c r="N217" s="216">
        <f t="shared" si="36"/>
        <v>8.868076769123812</v>
      </c>
      <c r="O217" s="108">
        <v>207</v>
      </c>
    </row>
    <row r="218" spans="1:15" s="95" customFormat="1" ht="15">
      <c r="A218" s="96">
        <v>208</v>
      </c>
      <c r="B218" s="217" t="s">
        <v>140</v>
      </c>
      <c r="C218" s="202">
        <v>40515</v>
      </c>
      <c r="D218" s="199" t="s">
        <v>36</v>
      </c>
      <c r="E218" s="201">
        <v>62</v>
      </c>
      <c r="F218" s="201">
        <v>17</v>
      </c>
      <c r="G218" s="201">
        <v>12</v>
      </c>
      <c r="H218" s="473">
        <v>10987</v>
      </c>
      <c r="I218" s="474">
        <v>1782</v>
      </c>
      <c r="J218" s="118">
        <f t="shared" si="34"/>
        <v>104.82352941176471</v>
      </c>
      <c r="K218" s="195">
        <f t="shared" si="35"/>
        <v>6.165544332210999</v>
      </c>
      <c r="L218" s="9">
        <f>353151+191248+132731.5+71376+47862+26248.5+19265+34650.5+35095.5+42312+25849+10987</f>
        <v>990776</v>
      </c>
      <c r="M218" s="8">
        <f>34650+19352+14525+10591+7581+5012+3223+6065+6865+6589+3930+1782</f>
        <v>120165</v>
      </c>
      <c r="N218" s="197">
        <f t="shared" si="36"/>
        <v>8.245129613448176</v>
      </c>
      <c r="O218" s="108">
        <v>208</v>
      </c>
    </row>
    <row r="219" spans="1:15" s="95" customFormat="1" ht="15">
      <c r="A219" s="96">
        <v>209</v>
      </c>
      <c r="B219" s="217" t="s">
        <v>140</v>
      </c>
      <c r="C219" s="202">
        <v>40515</v>
      </c>
      <c r="D219" s="199" t="s">
        <v>36</v>
      </c>
      <c r="E219" s="201">
        <v>62</v>
      </c>
      <c r="F219" s="201">
        <v>14</v>
      </c>
      <c r="G219" s="201">
        <v>13</v>
      </c>
      <c r="H219" s="475">
        <v>7528</v>
      </c>
      <c r="I219" s="476">
        <v>1091</v>
      </c>
      <c r="J219" s="203">
        <f t="shared" si="34"/>
        <v>77.92857142857143</v>
      </c>
      <c r="K219" s="200">
        <f t="shared" si="35"/>
        <v>6.900091659028415</v>
      </c>
      <c r="L219" s="27">
        <f>353151+191248+132731.5+71376+47862+26248.5+19265+34650.5+35095.5+42312+25849+10987+7528</f>
        <v>998304</v>
      </c>
      <c r="M219" s="24">
        <f>34650+19352+14525+10591+7581+5012+3223+6065+6865+6589+3930+1782+1091</f>
        <v>121256</v>
      </c>
      <c r="N219" s="197">
        <f t="shared" si="36"/>
        <v>8.233027643992875</v>
      </c>
      <c r="O219" s="108">
        <v>209</v>
      </c>
    </row>
    <row r="220" spans="1:15" s="95" customFormat="1" ht="15">
      <c r="A220" s="96">
        <v>210</v>
      </c>
      <c r="B220" s="190" t="s">
        <v>140</v>
      </c>
      <c r="C220" s="34">
        <v>40515</v>
      </c>
      <c r="D220" s="31" t="s">
        <v>36</v>
      </c>
      <c r="E220" s="36">
        <v>62</v>
      </c>
      <c r="F220" s="36">
        <v>5</v>
      </c>
      <c r="G220" s="36">
        <v>21</v>
      </c>
      <c r="H220" s="473">
        <v>6128</v>
      </c>
      <c r="I220" s="474">
        <v>1395</v>
      </c>
      <c r="J220" s="118">
        <f t="shared" si="34"/>
        <v>279</v>
      </c>
      <c r="K220" s="195">
        <f t="shared" si="35"/>
        <v>4.392831541218638</v>
      </c>
      <c r="L220" s="9">
        <f>353151+191248+132731.5+71376+47862+26248.5+19265+34650.5+35095.5+42312+25849+10987+7528+3248+2395.5+3280.5+3141.5+4280+3042+1597+6128</f>
        <v>1025416.5</v>
      </c>
      <c r="M220" s="8">
        <f>34650+19352+14525+10591+7581+5012+3223+6065+6865+6589+3930+1782+1091+624+468+512+688+987+804+306+1395</f>
        <v>127040</v>
      </c>
      <c r="N220" s="197">
        <f t="shared" si="36"/>
        <v>8.071603431989924</v>
      </c>
      <c r="O220" s="108">
        <v>210</v>
      </c>
    </row>
    <row r="221" spans="1:15" s="95" customFormat="1" ht="15">
      <c r="A221" s="96">
        <v>211</v>
      </c>
      <c r="B221" s="347" t="s">
        <v>140</v>
      </c>
      <c r="C221" s="99">
        <v>40515</v>
      </c>
      <c r="D221" s="100" t="s">
        <v>36</v>
      </c>
      <c r="E221" s="101">
        <v>62</v>
      </c>
      <c r="F221" s="101">
        <v>2</v>
      </c>
      <c r="G221" s="101">
        <v>27</v>
      </c>
      <c r="H221" s="475">
        <v>4335.5</v>
      </c>
      <c r="I221" s="476">
        <v>1084</v>
      </c>
      <c r="J221" s="284">
        <f>I221/F221</f>
        <v>542</v>
      </c>
      <c r="K221" s="451">
        <f t="shared" si="35"/>
        <v>3.999538745387454</v>
      </c>
      <c r="L221" s="27">
        <f>353151+191248+132731.5+71376+47862+26248.5+19265+34650.5+35095.5+42312+25849+10987+7528+3248+2395.5+3280.5+3141.5+4280+3042+1597+6128+4358+2107+777+4230+4335.5</f>
        <v>1041224</v>
      </c>
      <c r="M221" s="24">
        <f>34650+19352+14525+10591+7581+5012+3223+6065+6865+6589+3930+1782+1091+624+468+512+688+987+804+306+1395+991+478+166+1058+1084</f>
        <v>130817</v>
      </c>
      <c r="N221" s="453">
        <f t="shared" si="36"/>
        <v>7.959393656787726</v>
      </c>
      <c r="O221" s="108">
        <v>211</v>
      </c>
    </row>
    <row r="222" spans="1:15" s="95" customFormat="1" ht="15">
      <c r="A222" s="96">
        <v>212</v>
      </c>
      <c r="B222" s="190" t="s">
        <v>140</v>
      </c>
      <c r="C222" s="34">
        <v>40515</v>
      </c>
      <c r="D222" s="314" t="s">
        <v>36</v>
      </c>
      <c r="E222" s="36">
        <v>62</v>
      </c>
      <c r="F222" s="36">
        <v>5</v>
      </c>
      <c r="G222" s="36">
        <v>22</v>
      </c>
      <c r="H222" s="473">
        <v>4328</v>
      </c>
      <c r="I222" s="474">
        <v>991</v>
      </c>
      <c r="J222" s="118">
        <f>(I222/F222)</f>
        <v>198.2</v>
      </c>
      <c r="K222" s="200">
        <f t="shared" si="35"/>
        <v>4.367305751765893</v>
      </c>
      <c r="L222" s="9">
        <f>353151+191248+132731.5+71376+47862+26248.5+19265+34650.5+35095.5+42312+25849+10987+7528+3248+2395.5+3280.5+3141.5+4280+3042+1597+6128+4328</f>
        <v>1029744.5</v>
      </c>
      <c r="M222" s="8">
        <f>34650+19352+14525+10591+7581+5012+3223+6065+6865+6589+3930+1782+1091+624+468+512+688+987+804+306+1395+991</f>
        <v>128031</v>
      </c>
      <c r="N222" s="197">
        <f t="shared" si="36"/>
        <v>8.042931008896282</v>
      </c>
      <c r="O222" s="108">
        <v>212</v>
      </c>
    </row>
    <row r="223" spans="1:15" s="95" customFormat="1" ht="15">
      <c r="A223" s="96">
        <v>213</v>
      </c>
      <c r="B223" s="209" t="s">
        <v>140</v>
      </c>
      <c r="C223" s="210">
        <v>40515</v>
      </c>
      <c r="D223" s="204" t="s">
        <v>36</v>
      </c>
      <c r="E223" s="211">
        <v>62</v>
      </c>
      <c r="F223" s="211">
        <v>8</v>
      </c>
      <c r="G223" s="211">
        <v>18</v>
      </c>
      <c r="H223" s="477">
        <v>4280</v>
      </c>
      <c r="I223" s="478">
        <v>987</v>
      </c>
      <c r="J223" s="212">
        <f>(I223/F223)</f>
        <v>123.375</v>
      </c>
      <c r="K223" s="213">
        <f t="shared" si="35"/>
        <v>4.336372847011145</v>
      </c>
      <c r="L223" s="214">
        <f>353151+191248+132731.5+71376+47862+26248.5+19265+34650.5+35095.5+42312+25849+10987+7528+3248+2395.5+3280.5+3141.5+4280</f>
        <v>1014649.5</v>
      </c>
      <c r="M223" s="215">
        <f>34650+19352+14525+10591+7581+5012+3223+6065+6865+6589+3930+1782+1091+624+468+512+688+987</f>
        <v>124535</v>
      </c>
      <c r="N223" s="216">
        <f t="shared" si="36"/>
        <v>8.147504717549284</v>
      </c>
      <c r="O223" s="108">
        <v>213</v>
      </c>
    </row>
    <row r="224" spans="1:15" s="95" customFormat="1" ht="15">
      <c r="A224" s="96">
        <v>214</v>
      </c>
      <c r="B224" s="347" t="s">
        <v>140</v>
      </c>
      <c r="C224" s="99">
        <v>40515</v>
      </c>
      <c r="D224" s="100" t="s">
        <v>36</v>
      </c>
      <c r="E224" s="101">
        <v>62</v>
      </c>
      <c r="F224" s="101">
        <v>2</v>
      </c>
      <c r="G224" s="101">
        <v>25</v>
      </c>
      <c r="H224" s="504">
        <v>4230</v>
      </c>
      <c r="I224" s="505">
        <v>1058</v>
      </c>
      <c r="J224" s="102">
        <f>I224/F224</f>
        <v>529</v>
      </c>
      <c r="K224" s="103">
        <f t="shared" si="35"/>
        <v>3.9981096408317582</v>
      </c>
      <c r="L224" s="117">
        <f>353151+191248+132731.5+71376+47862+26248.5+19265+34650.5+35095.5+42312+25849+10987+7528+3248+2395.5+3280.5+3141.5+4280+3042+1597+6128+4358+2107+777+4230</f>
        <v>1036888.5</v>
      </c>
      <c r="M224" s="118">
        <f>34650+19352+14525+10591+7581+5012+3223+6065+6865+6589+3930+1782+1091+624+468+512+688+987+804+306+1395+991+478+166+1058</f>
        <v>129733</v>
      </c>
      <c r="N224" s="110">
        <f t="shared" si="36"/>
        <v>7.992480710382092</v>
      </c>
      <c r="O224" s="108">
        <v>214</v>
      </c>
    </row>
    <row r="225" spans="1:15" s="95" customFormat="1" ht="15">
      <c r="A225" s="96">
        <v>215</v>
      </c>
      <c r="B225" s="190" t="s">
        <v>140</v>
      </c>
      <c r="C225" s="34">
        <v>40515</v>
      </c>
      <c r="D225" s="31" t="s">
        <v>36</v>
      </c>
      <c r="E225" s="36">
        <v>62</v>
      </c>
      <c r="F225" s="36">
        <v>8</v>
      </c>
      <c r="G225" s="36">
        <v>16</v>
      </c>
      <c r="H225" s="473">
        <v>3280.5</v>
      </c>
      <c r="I225" s="474">
        <v>512</v>
      </c>
      <c r="J225" s="118">
        <f>(I225/F225)</f>
        <v>64</v>
      </c>
      <c r="K225" s="195">
        <f t="shared" si="35"/>
        <v>6.4072265625</v>
      </c>
      <c r="L225" s="9">
        <f>353151+191248+132731.5+71376+47862+26248.5+19265+34650.5+35095.5+42312+25849+10987+7528+3248+2395.5+3280.5</f>
        <v>1007228</v>
      </c>
      <c r="M225" s="8">
        <f>34650+19352+14525+10591+7581+5012+3223+6065+6865+6589+3930+1782+1091+624+468+512</f>
        <v>122860</v>
      </c>
      <c r="N225" s="197">
        <f t="shared" si="36"/>
        <v>8.198176786586359</v>
      </c>
      <c r="O225" s="108">
        <v>215</v>
      </c>
    </row>
    <row r="226" spans="1:15" s="95" customFormat="1" ht="15">
      <c r="A226" s="96">
        <v>216</v>
      </c>
      <c r="B226" s="190" t="s">
        <v>140</v>
      </c>
      <c r="C226" s="34">
        <v>40515</v>
      </c>
      <c r="D226" s="31" t="s">
        <v>36</v>
      </c>
      <c r="E226" s="36">
        <v>62</v>
      </c>
      <c r="F226" s="36">
        <v>9</v>
      </c>
      <c r="G226" s="36">
        <v>14</v>
      </c>
      <c r="H226" s="473">
        <v>3248</v>
      </c>
      <c r="I226" s="474">
        <v>624</v>
      </c>
      <c r="J226" s="118">
        <f>(I226/F226)</f>
        <v>69.33333333333333</v>
      </c>
      <c r="K226" s="195">
        <f t="shared" si="35"/>
        <v>5.205128205128205</v>
      </c>
      <c r="L226" s="9">
        <f>353151+191248+132731.5+71376+47862+26248.5+19265+34650.5+35095.5+42312+25849+10987+7528+3248</f>
        <v>1001552</v>
      </c>
      <c r="M226" s="8">
        <f>34650+19352+14525+10591+7581+5012+3223+6065+6865+6589+3930+1782+1091+624</f>
        <v>121880</v>
      </c>
      <c r="N226" s="197">
        <f t="shared" si="36"/>
        <v>8.217525434853954</v>
      </c>
      <c r="O226" s="108">
        <v>216</v>
      </c>
    </row>
    <row r="227" spans="1:15" s="95" customFormat="1" ht="15">
      <c r="A227" s="96">
        <v>217</v>
      </c>
      <c r="B227" s="217" t="s">
        <v>140</v>
      </c>
      <c r="C227" s="32">
        <v>40515</v>
      </c>
      <c r="D227" s="199" t="s">
        <v>160</v>
      </c>
      <c r="E227" s="201">
        <v>62</v>
      </c>
      <c r="F227" s="201">
        <v>6</v>
      </c>
      <c r="G227" s="201">
        <v>17</v>
      </c>
      <c r="H227" s="473">
        <v>3141.5</v>
      </c>
      <c r="I227" s="474">
        <v>688</v>
      </c>
      <c r="J227" s="118">
        <f>(I227/F227)</f>
        <v>114.66666666666667</v>
      </c>
      <c r="K227" s="218">
        <f t="shared" si="35"/>
        <v>4.566133720930233</v>
      </c>
      <c r="L227" s="9">
        <f>353151+191248+132731.5+71376+47862+26248.5+19265+34650.5+35095.5+42312+25849+10987+7528+3248+2395.5+3280.5+3141.5</f>
        <v>1010369.5</v>
      </c>
      <c r="M227" s="8">
        <f>34650+19352+14525+10591+7581+5012+3223+6065+6865+6589+3930+1782+1091+624+468+512+688</f>
        <v>123548</v>
      </c>
      <c r="N227" s="197">
        <f t="shared" si="36"/>
        <v>8.177951079742286</v>
      </c>
      <c r="O227" s="108">
        <v>217</v>
      </c>
    </row>
    <row r="228" spans="1:15" s="95" customFormat="1" ht="15">
      <c r="A228" s="96">
        <v>218</v>
      </c>
      <c r="B228" s="315" t="s">
        <v>140</v>
      </c>
      <c r="C228" s="205">
        <v>40515</v>
      </c>
      <c r="D228" s="206" t="s">
        <v>36</v>
      </c>
      <c r="E228" s="207">
        <v>62</v>
      </c>
      <c r="F228" s="207">
        <v>6</v>
      </c>
      <c r="G228" s="207">
        <v>19</v>
      </c>
      <c r="H228" s="473">
        <v>3042</v>
      </c>
      <c r="I228" s="474">
        <v>804</v>
      </c>
      <c r="J228" s="115">
        <v>134</v>
      </c>
      <c r="K228" s="208">
        <v>3.783582089552239</v>
      </c>
      <c r="L228" s="9">
        <v>1017691.5</v>
      </c>
      <c r="M228" s="8">
        <v>125339</v>
      </c>
      <c r="N228" s="197">
        <v>8.119511883771212</v>
      </c>
      <c r="O228" s="108">
        <v>218</v>
      </c>
    </row>
    <row r="229" spans="1:15" s="95" customFormat="1" ht="15">
      <c r="A229" s="96">
        <v>219</v>
      </c>
      <c r="B229" s="190" t="s">
        <v>140</v>
      </c>
      <c r="C229" s="34">
        <v>40515</v>
      </c>
      <c r="D229" s="31" t="s">
        <v>36</v>
      </c>
      <c r="E229" s="36">
        <v>62</v>
      </c>
      <c r="F229" s="36">
        <v>8</v>
      </c>
      <c r="G229" s="36">
        <v>15</v>
      </c>
      <c r="H229" s="473">
        <v>2395.5</v>
      </c>
      <c r="I229" s="474">
        <v>468</v>
      </c>
      <c r="J229" s="118">
        <f>(I229/F229)</f>
        <v>58.5</v>
      </c>
      <c r="K229" s="195">
        <f>H229/I229</f>
        <v>5.118589743589744</v>
      </c>
      <c r="L229" s="9">
        <f>353151+191248+132731.5+71376+47862+26248.5+19265+34650.5+35095.5+42312+25849+10987+7528+3248+2395.5</f>
        <v>1003947.5</v>
      </c>
      <c r="M229" s="8">
        <f>34650+19352+14525+10591+7581+5012+3223+6065+6865+6589+3930+1782+1091+624+468</f>
        <v>122348</v>
      </c>
      <c r="N229" s="197">
        <f>L229/M229</f>
        <v>8.205671527119364</v>
      </c>
      <c r="O229" s="108">
        <v>219</v>
      </c>
    </row>
    <row r="230" spans="1:15" s="95" customFormat="1" ht="15">
      <c r="A230" s="96">
        <v>220</v>
      </c>
      <c r="B230" s="190" t="s">
        <v>140</v>
      </c>
      <c r="C230" s="34">
        <v>40515</v>
      </c>
      <c r="D230" s="31" t="s">
        <v>36</v>
      </c>
      <c r="E230" s="36">
        <v>62</v>
      </c>
      <c r="F230" s="36">
        <v>4</v>
      </c>
      <c r="G230" s="36">
        <v>23</v>
      </c>
      <c r="H230" s="473">
        <v>2107</v>
      </c>
      <c r="I230" s="474">
        <v>478</v>
      </c>
      <c r="J230" s="118">
        <f>(I230/F230)</f>
        <v>119.5</v>
      </c>
      <c r="K230" s="195">
        <f>H230/I230</f>
        <v>4.407949790794979</v>
      </c>
      <c r="L230" s="9">
        <f>353151+191248+132731.5+71376+47862+26248.5+19265+34650.5+35095.5+42312+25849+10987+7528+3248+2395.5+3280.5+3141.5+4280+3042+1597+6128+4358+2107</f>
        <v>1031881.5</v>
      </c>
      <c r="M230" s="8">
        <f>34650+19352+14525+10591+7581+5012+3223+6065+6865+6589+3930+1782+1091+624+468+512+688+987+804+306+1395+991+478</f>
        <v>128509</v>
      </c>
      <c r="N230" s="197">
        <f>L230/M230</f>
        <v>8.029643838174758</v>
      </c>
      <c r="O230" s="108">
        <v>220</v>
      </c>
    </row>
    <row r="231" spans="1:15" s="95" customFormat="1" ht="15">
      <c r="A231" s="96">
        <v>221</v>
      </c>
      <c r="B231" s="710" t="s">
        <v>140</v>
      </c>
      <c r="C231" s="711">
        <v>40515</v>
      </c>
      <c r="D231" s="713" t="s">
        <v>160</v>
      </c>
      <c r="E231" s="610">
        <v>62</v>
      </c>
      <c r="F231" s="211">
        <v>2</v>
      </c>
      <c r="G231" s="610">
        <v>27</v>
      </c>
      <c r="H231" s="708">
        <v>1718.5</v>
      </c>
      <c r="I231" s="709">
        <v>430</v>
      </c>
      <c r="J231" s="284">
        <f>I231/F231</f>
        <v>215</v>
      </c>
      <c r="K231" s="451">
        <f>H231/I231</f>
        <v>3.9965116279069766</v>
      </c>
      <c r="L231" s="9">
        <f>353151+191248+132731.5+71376+47862+26248.5+19265+34650.5+35095.5+42312+25849+10987+7528+3248+2395.5+3280.5+3141.5+4280+3042+1597+6128+4358+2107+777+4230+4335.5+1718.5</f>
        <v>1042942.5</v>
      </c>
      <c r="M231" s="8">
        <f>34650+19352+14525+10591+7581+5012+3223+6065+6865+6589+3930+1782+1091+624+468+512+688+987+804+306+1395+991+478+166+1058+1084+430</f>
        <v>131247</v>
      </c>
      <c r="N231" s="107">
        <f>+L231/M231</f>
        <v>7.946410203661798</v>
      </c>
      <c r="O231" s="108">
        <v>221</v>
      </c>
    </row>
    <row r="232" spans="1:15" s="95" customFormat="1" ht="15">
      <c r="A232" s="96">
        <v>222</v>
      </c>
      <c r="B232" s="190" t="s">
        <v>140</v>
      </c>
      <c r="C232" s="34">
        <v>40515</v>
      </c>
      <c r="D232" s="31" t="s">
        <v>36</v>
      </c>
      <c r="E232" s="36">
        <v>62</v>
      </c>
      <c r="F232" s="36">
        <v>3</v>
      </c>
      <c r="G232" s="36">
        <v>20</v>
      </c>
      <c r="H232" s="473">
        <v>1597</v>
      </c>
      <c r="I232" s="474">
        <v>306</v>
      </c>
      <c r="J232" s="118">
        <f>(I232/F232)</f>
        <v>102</v>
      </c>
      <c r="K232" s="195">
        <f>H232/I232</f>
        <v>5.218954248366013</v>
      </c>
      <c r="L232" s="9">
        <f>353151+191248+132731.5+71376+47862+26248.5+19265+34650.5+35095.5+42312+25849+10987+7528+3248+2395.5+3280.5+3141.5+4280+3042+1597</f>
        <v>1019288.5</v>
      </c>
      <c r="M232" s="8">
        <f>34650+19352+14525+10591+7581+5012+3223+6065+6865+6589+3930+1782+1091+624+468+512+688+987+804+306</f>
        <v>125645</v>
      </c>
      <c r="N232" s="197">
        <f>L232/M232</f>
        <v>8.112447769509332</v>
      </c>
      <c r="O232" s="108">
        <v>222</v>
      </c>
    </row>
    <row r="233" spans="1:15" s="95" customFormat="1" ht="15">
      <c r="A233" s="96">
        <v>223</v>
      </c>
      <c r="B233" s="190" t="s">
        <v>140</v>
      </c>
      <c r="C233" s="34">
        <v>40515</v>
      </c>
      <c r="D233" s="31" t="s">
        <v>36</v>
      </c>
      <c r="E233" s="36">
        <v>62</v>
      </c>
      <c r="F233" s="36">
        <v>2</v>
      </c>
      <c r="G233" s="36">
        <v>24</v>
      </c>
      <c r="H233" s="473">
        <v>777</v>
      </c>
      <c r="I233" s="474">
        <v>166</v>
      </c>
      <c r="J233" s="118">
        <f>(I233/F233)</f>
        <v>83</v>
      </c>
      <c r="K233" s="195">
        <f>H233/I233</f>
        <v>4.680722891566265</v>
      </c>
      <c r="L233" s="9">
        <f>353151+191248+132731.5+71376+47862+26248.5+19265+34650.5+35095.5+42312+25849+10987+7528+3248+2395.5+3280.5+3141.5+4280+3042+1597+6128+4358+2107+777</f>
        <v>1032658.5</v>
      </c>
      <c r="M233" s="8">
        <f>34650+19352+14525+10591+7581+5012+3223+6065+6865+6589+3930+1782+1091+624+468+512+688+987+804+306+1395+991+478+166</f>
        <v>128675</v>
      </c>
      <c r="N233" s="197">
        <f>L233/M233</f>
        <v>8.025323489411308</v>
      </c>
      <c r="O233" s="108">
        <v>223</v>
      </c>
    </row>
    <row r="234" spans="1:15" s="95" customFormat="1" ht="15">
      <c r="A234" s="96">
        <v>224</v>
      </c>
      <c r="B234" s="235" t="s">
        <v>262</v>
      </c>
      <c r="C234" s="34">
        <v>40487</v>
      </c>
      <c r="D234" s="268" t="s">
        <v>24</v>
      </c>
      <c r="E234" s="36">
        <v>205</v>
      </c>
      <c r="F234" s="36">
        <v>3</v>
      </c>
      <c r="G234" s="36">
        <v>9</v>
      </c>
      <c r="H234" s="490">
        <v>2650</v>
      </c>
      <c r="I234" s="487">
        <v>405</v>
      </c>
      <c r="J234" s="44">
        <f>I234/F234</f>
        <v>135</v>
      </c>
      <c r="K234" s="244">
        <f>+H234/I234</f>
        <v>6.54320987654321</v>
      </c>
      <c r="L234" s="28">
        <v>1135918</v>
      </c>
      <c r="M234" s="45">
        <v>131505</v>
      </c>
      <c r="N234" s="234">
        <f>+L234/M234</f>
        <v>8.637831261168778</v>
      </c>
      <c r="O234" s="108">
        <v>224</v>
      </c>
    </row>
    <row r="235" spans="1:15" s="95" customFormat="1" ht="15">
      <c r="A235" s="96">
        <v>225</v>
      </c>
      <c r="B235" s="235" t="s">
        <v>209</v>
      </c>
      <c r="C235" s="34">
        <v>40473</v>
      </c>
      <c r="D235" s="268" t="s">
        <v>24</v>
      </c>
      <c r="E235" s="36">
        <v>100</v>
      </c>
      <c r="F235" s="36">
        <v>1</v>
      </c>
      <c r="G235" s="36">
        <v>11</v>
      </c>
      <c r="H235" s="490">
        <v>846</v>
      </c>
      <c r="I235" s="487">
        <v>141</v>
      </c>
      <c r="J235" s="44">
        <f>I235/F235</f>
        <v>141</v>
      </c>
      <c r="K235" s="244">
        <f>+H235/I235</f>
        <v>6</v>
      </c>
      <c r="L235" s="28">
        <v>1818047</v>
      </c>
      <c r="M235" s="45">
        <v>188946</v>
      </c>
      <c r="N235" s="234">
        <f>+L235/M235</f>
        <v>9.622045452139766</v>
      </c>
      <c r="O235" s="108">
        <v>225</v>
      </c>
    </row>
    <row r="236" spans="1:15" s="95" customFormat="1" ht="15">
      <c r="A236" s="96">
        <v>226</v>
      </c>
      <c r="B236" s="226" t="s">
        <v>210</v>
      </c>
      <c r="C236" s="34">
        <v>40228</v>
      </c>
      <c r="D236" s="31" t="s">
        <v>36</v>
      </c>
      <c r="E236" s="36">
        <v>88</v>
      </c>
      <c r="F236" s="36">
        <v>1</v>
      </c>
      <c r="G236" s="36">
        <v>25</v>
      </c>
      <c r="H236" s="473">
        <v>1782</v>
      </c>
      <c r="I236" s="474">
        <v>445</v>
      </c>
      <c r="J236" s="118">
        <f>(I236/F236)</f>
        <v>445</v>
      </c>
      <c r="K236" s="195">
        <f>H236/I236</f>
        <v>4.004494382022472</v>
      </c>
      <c r="L236" s="9">
        <f>848677.55+469+99+661+35+1782+1782</f>
        <v>853505.55</v>
      </c>
      <c r="M236" s="8">
        <f>99747+71+15+97+3+445+445</f>
        <v>100823</v>
      </c>
      <c r="N236" s="197">
        <f>L236/M236</f>
        <v>8.465385378336293</v>
      </c>
      <c r="O236" s="108">
        <v>226</v>
      </c>
    </row>
    <row r="237" spans="1:15" s="95" customFormat="1" ht="15">
      <c r="A237" s="96">
        <v>227</v>
      </c>
      <c r="B237" s="277" t="s">
        <v>141</v>
      </c>
      <c r="C237" s="35">
        <v>40347</v>
      </c>
      <c r="D237" s="199" t="s">
        <v>36</v>
      </c>
      <c r="E237" s="37">
        <v>66</v>
      </c>
      <c r="F237" s="37">
        <v>3</v>
      </c>
      <c r="G237" s="37">
        <v>27</v>
      </c>
      <c r="H237" s="473">
        <v>3382</v>
      </c>
      <c r="I237" s="474">
        <v>852</v>
      </c>
      <c r="J237" s="118">
        <f>(I237/F237)</f>
        <v>284</v>
      </c>
      <c r="K237" s="195">
        <f>H237/I237</f>
        <v>3.9694835680751175</v>
      </c>
      <c r="L237" s="9">
        <f>478213+7083+3309.5+6055+4900+8378+4378.5+2349+3103+2074+7679.5+6108+2991.5+2180+2234+642+2775.5+1757+1151+3382</f>
        <v>550743.5</v>
      </c>
      <c r="M237" s="8">
        <f>55327+1259+553+1133+756+1285+650+408+682+334+1688+1394+539+483+475+201+677+260+202+852</f>
        <v>69158</v>
      </c>
      <c r="N237" s="197">
        <f>L237/M237</f>
        <v>7.963554469475693</v>
      </c>
      <c r="O237" s="108">
        <v>227</v>
      </c>
    </row>
    <row r="238" spans="1:15" s="95" customFormat="1" ht="15">
      <c r="A238" s="96">
        <v>228</v>
      </c>
      <c r="B238" s="350" t="s">
        <v>141</v>
      </c>
      <c r="C238" s="126">
        <v>40347</v>
      </c>
      <c r="D238" s="100" t="s">
        <v>36</v>
      </c>
      <c r="E238" s="127">
        <v>66</v>
      </c>
      <c r="F238" s="127">
        <v>2</v>
      </c>
      <c r="G238" s="127">
        <v>30</v>
      </c>
      <c r="H238" s="504">
        <v>2851</v>
      </c>
      <c r="I238" s="505">
        <v>712</v>
      </c>
      <c r="J238" s="102">
        <f>I238/F238</f>
        <v>356</v>
      </c>
      <c r="K238" s="103">
        <f>H238/I238</f>
        <v>4.004213483146067</v>
      </c>
      <c r="L238" s="117">
        <f>478213+7083+3309.5+6055+4900+8378+4378.5+2349+3103+2074+7679.5+6108+2991.5+2180+2234+642+2775.5+1757+1151+3382+60+1782+2851</f>
        <v>555436.5</v>
      </c>
      <c r="M238" s="118">
        <f>55327+1259+553+1133+756+1285+650+408+682+334+1688+1394+539+483+475+201+677+260+202+852+20+445+712</f>
        <v>70335</v>
      </c>
      <c r="N238" s="110">
        <f>L238/M238</f>
        <v>7.89701428876093</v>
      </c>
      <c r="O238" s="108">
        <v>228</v>
      </c>
    </row>
    <row r="239" spans="1:15" s="95" customFormat="1" ht="15">
      <c r="A239" s="96">
        <v>229</v>
      </c>
      <c r="B239" s="277" t="s">
        <v>141</v>
      </c>
      <c r="C239" s="35">
        <v>40347</v>
      </c>
      <c r="D239" s="199" t="s">
        <v>36</v>
      </c>
      <c r="E239" s="37">
        <v>66</v>
      </c>
      <c r="F239" s="37">
        <v>1</v>
      </c>
      <c r="G239" s="37">
        <v>29</v>
      </c>
      <c r="H239" s="473">
        <v>1782</v>
      </c>
      <c r="I239" s="474">
        <v>445</v>
      </c>
      <c r="J239" s="118">
        <f>(I239/F239)</f>
        <v>445</v>
      </c>
      <c r="K239" s="195">
        <f>H239/I239</f>
        <v>4.004494382022472</v>
      </c>
      <c r="L239" s="9">
        <f>478213+7083+3309.5+6055+4900+8378+4378.5+2349+3103+2074+7679.5+6108+2991.5+2180+2234+642+2775.5+1757+1151+3382+60+1782</f>
        <v>552585.5</v>
      </c>
      <c r="M239" s="8">
        <f>55327+1259+553+1133+756+1285+650+408+682+334+1688+1394+539+483+475+201+677+260+202+852+20+445</f>
        <v>69623</v>
      </c>
      <c r="N239" s="197">
        <f>L239/M239</f>
        <v>7.936824038033408</v>
      </c>
      <c r="O239" s="108">
        <v>229</v>
      </c>
    </row>
    <row r="240" spans="1:15" s="95" customFormat="1" ht="15">
      <c r="A240" s="96">
        <v>230</v>
      </c>
      <c r="B240" s="274" t="s">
        <v>141</v>
      </c>
      <c r="C240" s="275">
        <v>40347</v>
      </c>
      <c r="D240" s="199" t="s">
        <v>36</v>
      </c>
      <c r="E240" s="276">
        <v>66</v>
      </c>
      <c r="F240" s="276">
        <v>1</v>
      </c>
      <c r="G240" s="276">
        <v>28</v>
      </c>
      <c r="H240" s="477">
        <v>60</v>
      </c>
      <c r="I240" s="478">
        <v>20</v>
      </c>
      <c r="J240" s="212">
        <f>(I240/F240)</f>
        <v>20</v>
      </c>
      <c r="K240" s="213">
        <f>H240/I240</f>
        <v>3</v>
      </c>
      <c r="L240" s="214">
        <f>478213+7083+3309.5+6055+4900+8378+4378.5+2349+3103+2074+7679.5+6108+2991.5+2180+2234+642+2775.5+1757+1151+3382+60</f>
        <v>550803.5</v>
      </c>
      <c r="M240" s="215">
        <f>55327+1259+553+1133+756+1285+650+408+682+334+1688+1394+539+483+475+201+677+260+202+852+20</f>
        <v>69178</v>
      </c>
      <c r="N240" s="216">
        <f>L240/M240</f>
        <v>7.962119459943913</v>
      </c>
      <c r="O240" s="108">
        <v>230</v>
      </c>
    </row>
    <row r="241" spans="1:15" s="95" customFormat="1" ht="15">
      <c r="A241" s="96">
        <v>231</v>
      </c>
      <c r="B241" s="221" t="s">
        <v>263</v>
      </c>
      <c r="C241" s="2">
        <v>38764</v>
      </c>
      <c r="D241" s="23" t="s">
        <v>22</v>
      </c>
      <c r="E241" s="3">
        <v>113</v>
      </c>
      <c r="F241" s="3">
        <v>1</v>
      </c>
      <c r="G241" s="3">
        <v>20</v>
      </c>
      <c r="H241" s="485">
        <v>2014</v>
      </c>
      <c r="I241" s="484">
        <v>403</v>
      </c>
      <c r="J241" s="102">
        <f>IF(H241&lt;&gt;0,I241/F241,"")</f>
        <v>403</v>
      </c>
      <c r="K241" s="229">
        <f>IF(H241&lt;&gt;0,H241/I241,"")</f>
        <v>4.997518610421836</v>
      </c>
      <c r="L241" s="38">
        <f>1551334+0+1188+H241</f>
        <v>1554536</v>
      </c>
      <c r="M241" s="44">
        <f>207370+0+238+I241</f>
        <v>208011</v>
      </c>
      <c r="N241" s="228">
        <f>IF(L241&lt;&gt;0,L241/M241,"")</f>
        <v>7.473335544754844</v>
      </c>
      <c r="O241" s="108">
        <v>231</v>
      </c>
    </row>
    <row r="242" spans="1:15" s="95" customFormat="1" ht="15">
      <c r="A242" s="96">
        <v>232</v>
      </c>
      <c r="B242" s="217" t="s">
        <v>211</v>
      </c>
      <c r="C242" s="202">
        <v>40025</v>
      </c>
      <c r="D242" s="199" t="s">
        <v>36</v>
      </c>
      <c r="E242" s="201">
        <v>1</v>
      </c>
      <c r="F242" s="201">
        <v>1</v>
      </c>
      <c r="G242" s="201">
        <v>9</v>
      </c>
      <c r="H242" s="473">
        <v>952</v>
      </c>
      <c r="I242" s="474">
        <v>238</v>
      </c>
      <c r="J242" s="118">
        <f>(I242/F242)</f>
        <v>238</v>
      </c>
      <c r="K242" s="195">
        <f aca="true" t="shared" si="37" ref="K242:K251">H242/I242</f>
        <v>4</v>
      </c>
      <c r="L242" s="9">
        <f>6157+1979.5+2138+815+825+343+114+159+952</f>
        <v>13482.5</v>
      </c>
      <c r="M242" s="8">
        <f>452+147+247+163+165+40+19+36+238</f>
        <v>1507</v>
      </c>
      <c r="N242" s="197">
        <f>L242/M242</f>
        <v>8.946582614465827</v>
      </c>
      <c r="O242" s="108">
        <v>232</v>
      </c>
    </row>
    <row r="243" spans="1:15" s="95" customFormat="1" ht="15">
      <c r="A243" s="96">
        <v>233</v>
      </c>
      <c r="B243" s="253" t="s">
        <v>264</v>
      </c>
      <c r="C243" s="2">
        <v>40501</v>
      </c>
      <c r="D243" s="25" t="s">
        <v>174</v>
      </c>
      <c r="E243" s="4">
        <v>121</v>
      </c>
      <c r="F243" s="4">
        <v>18</v>
      </c>
      <c r="G243" s="4">
        <v>7</v>
      </c>
      <c r="H243" s="493">
        <v>10646</v>
      </c>
      <c r="I243" s="494">
        <v>2164</v>
      </c>
      <c r="J243" s="256">
        <f>I243/F243</f>
        <v>120.22222222222223</v>
      </c>
      <c r="K243" s="267">
        <f t="shared" si="37"/>
        <v>4.919593345656192</v>
      </c>
      <c r="L243" s="316">
        <v>1582988</v>
      </c>
      <c r="M243" s="259">
        <v>158006</v>
      </c>
      <c r="N243" s="260">
        <f>+L243/M243</f>
        <v>10.018530941862966</v>
      </c>
      <c r="O243" s="108">
        <v>233</v>
      </c>
    </row>
    <row r="244" spans="1:15" s="95" customFormat="1" ht="15">
      <c r="A244" s="96">
        <v>234</v>
      </c>
      <c r="B244" s="223" t="s">
        <v>264</v>
      </c>
      <c r="C244" s="2">
        <v>40501</v>
      </c>
      <c r="D244" s="25" t="s">
        <v>174</v>
      </c>
      <c r="E244" s="4">
        <v>121</v>
      </c>
      <c r="F244" s="4">
        <v>6</v>
      </c>
      <c r="G244" s="4">
        <v>8</v>
      </c>
      <c r="H244" s="495">
        <v>6256</v>
      </c>
      <c r="I244" s="494">
        <v>1715</v>
      </c>
      <c r="J244" s="256">
        <f>I244/F244</f>
        <v>285.8333333333333</v>
      </c>
      <c r="K244" s="257">
        <f t="shared" si="37"/>
        <v>3.647813411078717</v>
      </c>
      <c r="L244" s="258">
        <v>1589244</v>
      </c>
      <c r="M244" s="259">
        <v>159721</v>
      </c>
      <c r="N244" s="260">
        <f>+L244/M244</f>
        <v>9.95012553139537</v>
      </c>
      <c r="O244" s="108">
        <v>234</v>
      </c>
    </row>
    <row r="245" spans="1:15" s="95" customFormat="1" ht="15">
      <c r="A245" s="96">
        <v>235</v>
      </c>
      <c r="B245" s="223" t="s">
        <v>264</v>
      </c>
      <c r="C245" s="17">
        <v>40501</v>
      </c>
      <c r="D245" s="16" t="s">
        <v>174</v>
      </c>
      <c r="E245" s="4">
        <v>121</v>
      </c>
      <c r="F245" s="4">
        <v>5</v>
      </c>
      <c r="G245" s="4">
        <v>15</v>
      </c>
      <c r="H245" s="493">
        <v>5491.95</v>
      </c>
      <c r="I245" s="506">
        <v>1653</v>
      </c>
      <c r="J245" s="317">
        <f>I245/F245</f>
        <v>330.6</v>
      </c>
      <c r="K245" s="267">
        <f t="shared" si="37"/>
        <v>3.3224137931034483</v>
      </c>
      <c r="L245" s="316">
        <v>1609599</v>
      </c>
      <c r="M245" s="318">
        <v>165154</v>
      </c>
      <c r="N245" s="260">
        <f>+L245/M245</f>
        <v>9.74604914201291</v>
      </c>
      <c r="O245" s="108">
        <v>235</v>
      </c>
    </row>
    <row r="246" spans="1:15" s="95" customFormat="1" ht="15">
      <c r="A246" s="96">
        <v>236</v>
      </c>
      <c r="B246" s="253" t="s">
        <v>264</v>
      </c>
      <c r="C246" s="2">
        <v>40501</v>
      </c>
      <c r="D246" s="16" t="s">
        <v>174</v>
      </c>
      <c r="E246" s="4">
        <v>121</v>
      </c>
      <c r="F246" s="4">
        <v>4</v>
      </c>
      <c r="G246" s="4">
        <v>10</v>
      </c>
      <c r="H246" s="495">
        <v>4266.5</v>
      </c>
      <c r="I246" s="494">
        <v>780</v>
      </c>
      <c r="J246" s="118">
        <f>(I246/F246)</f>
        <v>195</v>
      </c>
      <c r="K246" s="195">
        <f t="shared" si="37"/>
        <v>5.4698717948717945</v>
      </c>
      <c r="L246" s="258">
        <v>1596605</v>
      </c>
      <c r="M246" s="259">
        <v>161481</v>
      </c>
      <c r="N246" s="197">
        <f>L246/M246</f>
        <v>9.887262278534317</v>
      </c>
      <c r="O246" s="108">
        <v>236</v>
      </c>
    </row>
    <row r="247" spans="1:15" s="95" customFormat="1" ht="15">
      <c r="A247" s="96">
        <v>237</v>
      </c>
      <c r="B247" s="223" t="s">
        <v>264</v>
      </c>
      <c r="C247" s="2">
        <v>40501</v>
      </c>
      <c r="D247" s="16" t="s">
        <v>174</v>
      </c>
      <c r="E247" s="4">
        <v>121</v>
      </c>
      <c r="F247" s="4">
        <v>3</v>
      </c>
      <c r="G247" s="4">
        <v>12</v>
      </c>
      <c r="H247" s="495">
        <v>1882</v>
      </c>
      <c r="I247" s="494">
        <v>579</v>
      </c>
      <c r="J247" s="256">
        <f>I247/F247</f>
        <v>193</v>
      </c>
      <c r="K247" s="257">
        <f t="shared" si="37"/>
        <v>3.250431778929188</v>
      </c>
      <c r="L247" s="258">
        <v>1599042</v>
      </c>
      <c r="M247" s="259">
        <v>162149</v>
      </c>
      <c r="N247" s="260">
        <f>+L247/M247</f>
        <v>9.86155942990706</v>
      </c>
      <c r="O247" s="108">
        <v>237</v>
      </c>
    </row>
    <row r="248" spans="1:15" s="95" customFormat="1" ht="15">
      <c r="A248" s="96">
        <v>238</v>
      </c>
      <c r="B248" s="223" t="s">
        <v>264</v>
      </c>
      <c r="C248" s="2">
        <v>40501</v>
      </c>
      <c r="D248" s="16" t="s">
        <v>174</v>
      </c>
      <c r="E248" s="4">
        <v>121</v>
      </c>
      <c r="F248" s="4">
        <v>2</v>
      </c>
      <c r="G248" s="4">
        <v>13</v>
      </c>
      <c r="H248" s="495">
        <v>1565</v>
      </c>
      <c r="I248" s="494">
        <v>369</v>
      </c>
      <c r="J248" s="256">
        <f>I248/F248</f>
        <v>184.5</v>
      </c>
      <c r="K248" s="257">
        <f t="shared" si="37"/>
        <v>4.2411924119241196</v>
      </c>
      <c r="L248" s="258">
        <v>1601521</v>
      </c>
      <c r="M248" s="259">
        <v>162757</v>
      </c>
      <c r="N248" s="260">
        <f>+L248/M248</f>
        <v>9.839951584263657</v>
      </c>
      <c r="O248" s="108">
        <v>238</v>
      </c>
    </row>
    <row r="249" spans="1:15" s="95" customFormat="1" ht="15">
      <c r="A249" s="96">
        <v>239</v>
      </c>
      <c r="B249" s="223" t="s">
        <v>264</v>
      </c>
      <c r="C249" s="2">
        <v>40501</v>
      </c>
      <c r="D249" s="16" t="s">
        <v>174</v>
      </c>
      <c r="E249" s="4">
        <v>121</v>
      </c>
      <c r="F249" s="4">
        <v>3</v>
      </c>
      <c r="G249" s="4">
        <v>9</v>
      </c>
      <c r="H249" s="495">
        <v>1204</v>
      </c>
      <c r="I249" s="494">
        <v>296</v>
      </c>
      <c r="J249" s="256">
        <f>I249/F249</f>
        <v>98.66666666666667</v>
      </c>
      <c r="K249" s="257">
        <f t="shared" si="37"/>
        <v>4.0675675675675675</v>
      </c>
      <c r="L249" s="258">
        <v>1592338</v>
      </c>
      <c r="M249" s="259">
        <v>160701</v>
      </c>
      <c r="N249" s="260">
        <f>+L249/M249</f>
        <v>9.908700008089557</v>
      </c>
      <c r="O249" s="108">
        <v>239</v>
      </c>
    </row>
    <row r="250" spans="1:15" s="95" customFormat="1" ht="15">
      <c r="A250" s="96">
        <v>240</v>
      </c>
      <c r="B250" s="223" t="s">
        <v>264</v>
      </c>
      <c r="C250" s="2">
        <v>40501</v>
      </c>
      <c r="D250" s="16" t="s">
        <v>174</v>
      </c>
      <c r="E250" s="4">
        <v>121</v>
      </c>
      <c r="F250" s="4">
        <v>1</v>
      </c>
      <c r="G250" s="4">
        <v>23</v>
      </c>
      <c r="H250" s="495">
        <v>604</v>
      </c>
      <c r="I250" s="494">
        <v>180</v>
      </c>
      <c r="J250" s="256">
        <f>I250/F250</f>
        <v>180</v>
      </c>
      <c r="K250" s="257">
        <f t="shared" si="37"/>
        <v>3.3555555555555556</v>
      </c>
      <c r="L250" s="258">
        <v>1611412</v>
      </c>
      <c r="M250" s="259">
        <v>165732</v>
      </c>
      <c r="N250" s="260">
        <f>+L250/M250</f>
        <v>9.722998576014287</v>
      </c>
      <c r="O250" s="108">
        <v>240</v>
      </c>
    </row>
    <row r="251" spans="1:15" s="95" customFormat="1" ht="15">
      <c r="A251" s="96">
        <v>241</v>
      </c>
      <c r="B251" s="223" t="s">
        <v>264</v>
      </c>
      <c r="C251" s="2">
        <v>40501</v>
      </c>
      <c r="D251" s="16" t="s">
        <v>174</v>
      </c>
      <c r="E251" s="4">
        <v>121</v>
      </c>
      <c r="F251" s="4">
        <v>2</v>
      </c>
      <c r="G251" s="4">
        <v>11</v>
      </c>
      <c r="H251" s="495">
        <v>556</v>
      </c>
      <c r="I251" s="494">
        <v>89</v>
      </c>
      <c r="J251" s="256">
        <f>I251/F251</f>
        <v>44.5</v>
      </c>
      <c r="K251" s="257">
        <f t="shared" si="37"/>
        <v>6.247191011235955</v>
      </c>
      <c r="L251" s="258">
        <v>1597161</v>
      </c>
      <c r="M251" s="259">
        <v>161570</v>
      </c>
      <c r="N251" s="220">
        <f>+L251/M251</f>
        <v>9.88525716407749</v>
      </c>
      <c r="O251" s="108">
        <v>241</v>
      </c>
    </row>
    <row r="252" spans="1:15" s="95" customFormat="1" ht="15">
      <c r="A252" s="96">
        <v>242</v>
      </c>
      <c r="B252" s="319" t="s">
        <v>264</v>
      </c>
      <c r="C252" s="280">
        <v>40501</v>
      </c>
      <c r="D252" s="320" t="s">
        <v>174</v>
      </c>
      <c r="E252" s="321">
        <v>121</v>
      </c>
      <c r="F252" s="321">
        <v>1</v>
      </c>
      <c r="G252" s="321">
        <v>21</v>
      </c>
      <c r="H252" s="495">
        <v>342</v>
      </c>
      <c r="I252" s="494">
        <v>114</v>
      </c>
      <c r="J252" s="115">
        <v>114</v>
      </c>
      <c r="K252" s="208">
        <v>3</v>
      </c>
      <c r="L252" s="258">
        <v>1610808</v>
      </c>
      <c r="M252" s="259">
        <v>165552</v>
      </c>
      <c r="N252" s="260">
        <v>9.729921716439547</v>
      </c>
      <c r="O252" s="108">
        <v>242</v>
      </c>
    </row>
    <row r="253" spans="1:15" s="95" customFormat="1" ht="15">
      <c r="A253" s="96">
        <v>243</v>
      </c>
      <c r="B253" s="209" t="s">
        <v>212</v>
      </c>
      <c r="C253" s="210">
        <v>40466</v>
      </c>
      <c r="D253" s="199" t="s">
        <v>36</v>
      </c>
      <c r="E253" s="211">
        <v>139</v>
      </c>
      <c r="F253" s="211">
        <v>1</v>
      </c>
      <c r="G253" s="211">
        <v>12</v>
      </c>
      <c r="H253" s="473">
        <v>770</v>
      </c>
      <c r="I253" s="474">
        <v>44</v>
      </c>
      <c r="J253" s="118">
        <f>(I253/F253)</f>
        <v>44</v>
      </c>
      <c r="K253" s="195">
        <f>H253/I253</f>
        <v>17.5</v>
      </c>
      <c r="L253" s="9">
        <f>859399.5+611922.5+597511+92540.5+35432.5+12313+8417+3230+2786+1901+208.5+770</f>
        <v>2226431.5</v>
      </c>
      <c r="M253" s="8">
        <f>81834+61457+58453+8463+3493+2070+1395+1040+668+474+59+44</f>
        <v>219450</v>
      </c>
      <c r="N253" s="197">
        <f>L253/M253</f>
        <v>10.14550694919116</v>
      </c>
      <c r="O253" s="108">
        <v>243</v>
      </c>
    </row>
    <row r="254" spans="1:15" s="95" customFormat="1" ht="15">
      <c r="A254" s="96">
        <v>244</v>
      </c>
      <c r="B254" s="217" t="s">
        <v>213</v>
      </c>
      <c r="C254" s="202">
        <v>40466</v>
      </c>
      <c r="D254" s="199" t="s">
        <v>36</v>
      </c>
      <c r="E254" s="201">
        <v>139</v>
      </c>
      <c r="F254" s="201">
        <v>1</v>
      </c>
      <c r="G254" s="201">
        <v>13</v>
      </c>
      <c r="H254" s="475">
        <v>241</v>
      </c>
      <c r="I254" s="476">
        <v>42</v>
      </c>
      <c r="J254" s="203">
        <f>(I254/F254)</f>
        <v>42</v>
      </c>
      <c r="K254" s="200">
        <f>H254/I254</f>
        <v>5.738095238095238</v>
      </c>
      <c r="L254" s="27">
        <f>859399.5+611922.5+597511+92540.5+35432.5+12313+8417+3230+2786+1901+208.5+770+241</f>
        <v>2226672.5</v>
      </c>
      <c r="M254" s="24">
        <f>81834+61457+58453+8463+3493+2070+1395+1040+668+474+59+44+42</f>
        <v>219492</v>
      </c>
      <c r="N254" s="197">
        <f>L254/M254</f>
        <v>10.144663586827766</v>
      </c>
      <c r="O254" s="108">
        <v>244</v>
      </c>
    </row>
    <row r="255" spans="1:15" s="95" customFormat="1" ht="15">
      <c r="A255" s="96">
        <v>245</v>
      </c>
      <c r="B255" s="198" t="s">
        <v>213</v>
      </c>
      <c r="C255" s="34">
        <v>40466</v>
      </c>
      <c r="D255" s="199" t="s">
        <v>36</v>
      </c>
      <c r="E255" s="36">
        <v>139</v>
      </c>
      <c r="F255" s="36">
        <v>1</v>
      </c>
      <c r="G255" s="36">
        <v>11</v>
      </c>
      <c r="H255" s="473">
        <v>208.5</v>
      </c>
      <c r="I255" s="474">
        <v>59</v>
      </c>
      <c r="J255" s="118">
        <f>(I255/F255)</f>
        <v>59</v>
      </c>
      <c r="K255" s="195">
        <f>H255/I255</f>
        <v>3.5338983050847457</v>
      </c>
      <c r="L255" s="9">
        <f>859399.5+611922.5+597511+92540.5+35432.5+12313+8417+3230+2786+1901+208.5</f>
        <v>2225661.5</v>
      </c>
      <c r="M255" s="8">
        <f>81834+61457+58453+8463+3493+2070+1395+1040+668+474+59</f>
        <v>219406</v>
      </c>
      <c r="N255" s="197">
        <f>L255/M255</f>
        <v>10.14403206840287</v>
      </c>
      <c r="O255" s="108">
        <v>245</v>
      </c>
    </row>
    <row r="256" spans="1:15" s="95" customFormat="1" ht="15">
      <c r="A256" s="96">
        <v>246</v>
      </c>
      <c r="B256" s="253" t="s">
        <v>214</v>
      </c>
      <c r="C256" s="2">
        <v>40431</v>
      </c>
      <c r="D256" s="26" t="s">
        <v>8</v>
      </c>
      <c r="E256" s="4">
        <v>124</v>
      </c>
      <c r="F256" s="4">
        <v>1</v>
      </c>
      <c r="G256" s="4">
        <v>12</v>
      </c>
      <c r="H256" s="501">
        <v>567</v>
      </c>
      <c r="I256" s="500">
        <v>95</v>
      </c>
      <c r="J256" s="102">
        <f>+I256/F256</f>
        <v>95</v>
      </c>
      <c r="K256" s="229">
        <f>+H256/I256</f>
        <v>5.968421052631579</v>
      </c>
      <c r="L256" s="21">
        <v>3688296</v>
      </c>
      <c r="M256" s="7">
        <v>331614</v>
      </c>
      <c r="N256" s="228">
        <f>+L256/M256</f>
        <v>11.12225659954043</v>
      </c>
      <c r="O256" s="108">
        <v>246</v>
      </c>
    </row>
    <row r="257" spans="1:15" s="95" customFormat="1" ht="15">
      <c r="A257" s="96">
        <v>247</v>
      </c>
      <c r="B257" s="223" t="s">
        <v>214</v>
      </c>
      <c r="C257" s="2">
        <v>40431</v>
      </c>
      <c r="D257" s="19" t="s">
        <v>8</v>
      </c>
      <c r="E257" s="4">
        <v>104</v>
      </c>
      <c r="F257" s="4">
        <v>1</v>
      </c>
      <c r="G257" s="4">
        <v>13</v>
      </c>
      <c r="H257" s="499">
        <v>516</v>
      </c>
      <c r="I257" s="500">
        <v>86</v>
      </c>
      <c r="J257" s="102">
        <f>+I257/F257</f>
        <v>86</v>
      </c>
      <c r="K257" s="227">
        <f>+H257/I257</f>
        <v>6</v>
      </c>
      <c r="L257" s="6">
        <v>3688812</v>
      </c>
      <c r="M257" s="7">
        <v>331700</v>
      </c>
      <c r="N257" s="228">
        <f>+L257/M257</f>
        <v>11.120928549894483</v>
      </c>
      <c r="O257" s="108">
        <v>247</v>
      </c>
    </row>
    <row r="258" spans="1:15" s="95" customFormat="1" ht="15">
      <c r="A258" s="96">
        <v>248</v>
      </c>
      <c r="B258" s="190" t="s">
        <v>215</v>
      </c>
      <c r="C258" s="34">
        <v>40081</v>
      </c>
      <c r="D258" s="199" t="s">
        <v>36</v>
      </c>
      <c r="E258" s="36">
        <v>10</v>
      </c>
      <c r="F258" s="36">
        <v>1</v>
      </c>
      <c r="G258" s="36">
        <v>9</v>
      </c>
      <c r="H258" s="473">
        <v>952</v>
      </c>
      <c r="I258" s="474">
        <v>238</v>
      </c>
      <c r="J258" s="118">
        <f>(I258/F258)</f>
        <v>238</v>
      </c>
      <c r="K258" s="195">
        <f>H258/I258</f>
        <v>4</v>
      </c>
      <c r="L258" s="9">
        <f>15355.5+7416.5+5376.5+1210+1050.5+1780+1780+1780+952</f>
        <v>36701</v>
      </c>
      <c r="M258" s="8">
        <f>1226+729+733+198+202+445+445+445+238</f>
        <v>4661</v>
      </c>
      <c r="N258" s="197">
        <f>L258/M258</f>
        <v>7.874061360223128</v>
      </c>
      <c r="O258" s="108">
        <v>248</v>
      </c>
    </row>
    <row r="259" spans="1:15" s="95" customFormat="1" ht="15">
      <c r="A259" s="96">
        <v>249</v>
      </c>
      <c r="B259" s="235" t="s">
        <v>216</v>
      </c>
      <c r="C259" s="34">
        <v>40466</v>
      </c>
      <c r="D259" s="299" t="s">
        <v>24</v>
      </c>
      <c r="E259" s="36">
        <v>119</v>
      </c>
      <c r="F259" s="36">
        <v>3</v>
      </c>
      <c r="G259" s="36">
        <v>15</v>
      </c>
      <c r="H259" s="486">
        <v>2636</v>
      </c>
      <c r="I259" s="487">
        <v>738</v>
      </c>
      <c r="J259" s="44">
        <f aca="true" t="shared" si="38" ref="J259:J273">I259/F259</f>
        <v>246</v>
      </c>
      <c r="K259" s="233">
        <f aca="true" t="shared" si="39" ref="K259:K265">+H259/I259</f>
        <v>3.5718157181571817</v>
      </c>
      <c r="L259" s="41">
        <v>2014015</v>
      </c>
      <c r="M259" s="45">
        <v>175303</v>
      </c>
      <c r="N259" s="234">
        <f aca="true" t="shared" si="40" ref="N259:N273">+L259/M259</f>
        <v>11.488765166597263</v>
      </c>
      <c r="O259" s="108">
        <v>249</v>
      </c>
    </row>
    <row r="260" spans="1:15" s="95" customFormat="1" ht="15">
      <c r="A260" s="96">
        <v>250</v>
      </c>
      <c r="B260" s="235" t="s">
        <v>216</v>
      </c>
      <c r="C260" s="34">
        <v>40466</v>
      </c>
      <c r="D260" s="268" t="s">
        <v>24</v>
      </c>
      <c r="E260" s="36">
        <v>119</v>
      </c>
      <c r="F260" s="36">
        <v>3</v>
      </c>
      <c r="G260" s="36">
        <v>12</v>
      </c>
      <c r="H260" s="490">
        <v>999</v>
      </c>
      <c r="I260" s="487">
        <v>212</v>
      </c>
      <c r="J260" s="44">
        <f t="shared" si="38"/>
        <v>70.66666666666667</v>
      </c>
      <c r="K260" s="244">
        <f t="shared" si="39"/>
        <v>4.712264150943396</v>
      </c>
      <c r="L260" s="28">
        <v>2010636</v>
      </c>
      <c r="M260" s="45">
        <v>174432</v>
      </c>
      <c r="N260" s="234">
        <f t="shared" si="40"/>
        <v>11.526761144744084</v>
      </c>
      <c r="O260" s="108">
        <v>250</v>
      </c>
    </row>
    <row r="261" spans="1:15" s="95" customFormat="1" ht="15">
      <c r="A261" s="96">
        <v>251</v>
      </c>
      <c r="B261" s="237" t="s">
        <v>216</v>
      </c>
      <c r="C261" s="269">
        <v>40466</v>
      </c>
      <c r="D261" s="270" t="s">
        <v>24</v>
      </c>
      <c r="E261" s="239">
        <v>119</v>
      </c>
      <c r="F261" s="239">
        <v>1</v>
      </c>
      <c r="G261" s="239">
        <v>14</v>
      </c>
      <c r="H261" s="488">
        <v>558</v>
      </c>
      <c r="I261" s="489">
        <v>93</v>
      </c>
      <c r="J261" s="240">
        <f t="shared" si="38"/>
        <v>93</v>
      </c>
      <c r="K261" s="241">
        <f t="shared" si="39"/>
        <v>6</v>
      </c>
      <c r="L261" s="242">
        <v>2011379</v>
      </c>
      <c r="M261" s="240">
        <v>174565</v>
      </c>
      <c r="N261" s="243">
        <f t="shared" si="40"/>
        <v>11.522235270529603</v>
      </c>
      <c r="O261" s="108">
        <v>251</v>
      </c>
    </row>
    <row r="262" spans="1:15" s="95" customFormat="1" ht="15">
      <c r="A262" s="96">
        <v>252</v>
      </c>
      <c r="B262" s="190" t="s">
        <v>216</v>
      </c>
      <c r="C262" s="34">
        <v>40466</v>
      </c>
      <c r="D262" s="268" t="s">
        <v>24</v>
      </c>
      <c r="E262" s="36">
        <v>119</v>
      </c>
      <c r="F262" s="36">
        <v>2</v>
      </c>
      <c r="G262" s="36">
        <v>13</v>
      </c>
      <c r="H262" s="486">
        <v>185</v>
      </c>
      <c r="I262" s="487">
        <v>40</v>
      </c>
      <c r="J262" s="44">
        <f t="shared" si="38"/>
        <v>20</v>
      </c>
      <c r="K262" s="233">
        <f t="shared" si="39"/>
        <v>4.625</v>
      </c>
      <c r="L262" s="41">
        <v>2010821</v>
      </c>
      <c r="M262" s="45">
        <v>174472</v>
      </c>
      <c r="N262" s="234">
        <f t="shared" si="40"/>
        <v>11.525178825255628</v>
      </c>
      <c r="O262" s="108">
        <v>252</v>
      </c>
    </row>
    <row r="263" spans="1:15" s="95" customFormat="1" ht="15">
      <c r="A263" s="96">
        <v>253</v>
      </c>
      <c r="B263" s="230" t="s">
        <v>216</v>
      </c>
      <c r="C263" s="34">
        <v>40466</v>
      </c>
      <c r="D263" s="199" t="s">
        <v>24</v>
      </c>
      <c r="E263" s="201">
        <v>119</v>
      </c>
      <c r="F263" s="201">
        <v>1</v>
      </c>
      <c r="G263" s="201">
        <v>17</v>
      </c>
      <c r="H263" s="486">
        <v>168</v>
      </c>
      <c r="I263" s="487">
        <v>28</v>
      </c>
      <c r="J263" s="44">
        <f t="shared" si="38"/>
        <v>28</v>
      </c>
      <c r="K263" s="233">
        <f t="shared" si="39"/>
        <v>6</v>
      </c>
      <c r="L263" s="41">
        <v>2014279</v>
      </c>
      <c r="M263" s="45">
        <v>175347</v>
      </c>
      <c r="N263" s="234">
        <f t="shared" si="40"/>
        <v>11.487387865204424</v>
      </c>
      <c r="O263" s="108">
        <v>253</v>
      </c>
    </row>
    <row r="264" spans="1:15" s="95" customFormat="1" ht="15">
      <c r="A264" s="96">
        <v>254</v>
      </c>
      <c r="B264" s="349" t="s">
        <v>216</v>
      </c>
      <c r="C264" s="191">
        <v>40466</v>
      </c>
      <c r="D264" s="299" t="s">
        <v>24</v>
      </c>
      <c r="E264" s="192">
        <v>119</v>
      </c>
      <c r="F264" s="192">
        <v>1</v>
      </c>
      <c r="G264" s="192">
        <v>16</v>
      </c>
      <c r="H264" s="486">
        <v>96</v>
      </c>
      <c r="I264" s="487">
        <v>16</v>
      </c>
      <c r="J264" s="45">
        <f t="shared" si="38"/>
        <v>16</v>
      </c>
      <c r="K264" s="233">
        <f t="shared" si="39"/>
        <v>6</v>
      </c>
      <c r="L264" s="41">
        <v>2014111</v>
      </c>
      <c r="M264" s="46">
        <v>175319</v>
      </c>
      <c r="N264" s="220">
        <f t="shared" si="40"/>
        <v>11.488264249739046</v>
      </c>
      <c r="O264" s="108">
        <v>254</v>
      </c>
    </row>
    <row r="265" spans="1:15" s="95" customFormat="1" ht="15">
      <c r="A265" s="96">
        <v>255</v>
      </c>
      <c r="B265" s="237" t="s">
        <v>216</v>
      </c>
      <c r="C265" s="269">
        <v>40466</v>
      </c>
      <c r="D265" s="270" t="s">
        <v>24</v>
      </c>
      <c r="E265" s="239">
        <v>119</v>
      </c>
      <c r="F265" s="239">
        <v>1</v>
      </c>
      <c r="G265" s="239">
        <v>18</v>
      </c>
      <c r="H265" s="488">
        <v>66</v>
      </c>
      <c r="I265" s="489">
        <v>11</v>
      </c>
      <c r="J265" s="240">
        <f t="shared" si="38"/>
        <v>11</v>
      </c>
      <c r="K265" s="241">
        <f t="shared" si="39"/>
        <v>6</v>
      </c>
      <c r="L265" s="242">
        <v>2014345</v>
      </c>
      <c r="M265" s="240">
        <v>175358</v>
      </c>
      <c r="N265" s="243">
        <f t="shared" si="40"/>
        <v>11.487043647851824</v>
      </c>
      <c r="O265" s="108">
        <v>255</v>
      </c>
    </row>
    <row r="266" spans="1:15" s="95" customFormat="1" ht="15">
      <c r="A266" s="96">
        <v>256</v>
      </c>
      <c r="B266" s="221" t="s">
        <v>217</v>
      </c>
      <c r="C266" s="2">
        <v>40494</v>
      </c>
      <c r="D266" s="23" t="s">
        <v>10</v>
      </c>
      <c r="E266" s="3">
        <v>144</v>
      </c>
      <c r="F266" s="3">
        <v>16</v>
      </c>
      <c r="G266" s="3">
        <v>8</v>
      </c>
      <c r="H266" s="481">
        <v>13943</v>
      </c>
      <c r="I266" s="480">
        <v>2193</v>
      </c>
      <c r="J266" s="115">
        <f t="shared" si="38"/>
        <v>137.0625</v>
      </c>
      <c r="K266" s="222">
        <f aca="true" t="shared" si="41" ref="K266:K271">H266/I266</f>
        <v>6.357957136342909</v>
      </c>
      <c r="L266" s="39">
        <v>6055992</v>
      </c>
      <c r="M266" s="47">
        <v>521768</v>
      </c>
      <c r="N266" s="220">
        <f t="shared" si="40"/>
        <v>11.606675763941062</v>
      </c>
      <c r="O266" s="108">
        <v>256</v>
      </c>
    </row>
    <row r="267" spans="1:15" s="95" customFormat="1" ht="15">
      <c r="A267" s="96">
        <v>257</v>
      </c>
      <c r="B267" s="223" t="s">
        <v>217</v>
      </c>
      <c r="C267" s="2">
        <v>40494</v>
      </c>
      <c r="D267" s="16" t="s">
        <v>10</v>
      </c>
      <c r="E267" s="4">
        <v>144</v>
      </c>
      <c r="F267" s="4">
        <v>6</v>
      </c>
      <c r="G267" s="4">
        <v>10</v>
      </c>
      <c r="H267" s="479">
        <v>8265</v>
      </c>
      <c r="I267" s="480">
        <v>1244</v>
      </c>
      <c r="J267" s="115">
        <f t="shared" si="38"/>
        <v>207.33333333333334</v>
      </c>
      <c r="K267" s="208">
        <f t="shared" si="41"/>
        <v>6.643890675241158</v>
      </c>
      <c r="L267" s="42">
        <v>6066619</v>
      </c>
      <c r="M267" s="47">
        <v>523537</v>
      </c>
      <c r="N267" s="220">
        <f t="shared" si="40"/>
        <v>11.587755975222382</v>
      </c>
      <c r="O267" s="108">
        <v>257</v>
      </c>
    </row>
    <row r="268" spans="1:15" s="95" customFormat="1" ht="15">
      <c r="A268" s="96">
        <v>258</v>
      </c>
      <c r="B268" s="221" t="s">
        <v>217</v>
      </c>
      <c r="C268" s="2">
        <v>40494</v>
      </c>
      <c r="D268" s="18" t="s">
        <v>10</v>
      </c>
      <c r="E268" s="3">
        <v>144</v>
      </c>
      <c r="F268" s="3">
        <v>3</v>
      </c>
      <c r="G268" s="3">
        <v>11</v>
      </c>
      <c r="H268" s="479">
        <v>2600</v>
      </c>
      <c r="I268" s="480">
        <v>454</v>
      </c>
      <c r="J268" s="115">
        <f t="shared" si="38"/>
        <v>151.33333333333334</v>
      </c>
      <c r="K268" s="208">
        <f t="shared" si="41"/>
        <v>5.726872246696035</v>
      </c>
      <c r="L268" s="42">
        <v>6069219</v>
      </c>
      <c r="M268" s="47">
        <v>523991</v>
      </c>
      <c r="N268" s="220">
        <f t="shared" si="40"/>
        <v>11.582677946758627</v>
      </c>
      <c r="O268" s="108">
        <v>258</v>
      </c>
    </row>
    <row r="269" spans="1:15" s="95" customFormat="1" ht="15">
      <c r="A269" s="96">
        <v>259</v>
      </c>
      <c r="B269" s="219" t="s">
        <v>217</v>
      </c>
      <c r="C269" s="2">
        <v>40494</v>
      </c>
      <c r="D269" s="23" t="s">
        <v>10</v>
      </c>
      <c r="E269" s="3">
        <v>144</v>
      </c>
      <c r="F269" s="3">
        <v>3</v>
      </c>
      <c r="G269" s="3">
        <v>9</v>
      </c>
      <c r="H269" s="479">
        <v>2362</v>
      </c>
      <c r="I269" s="480">
        <v>525</v>
      </c>
      <c r="J269" s="115">
        <f t="shared" si="38"/>
        <v>175</v>
      </c>
      <c r="K269" s="208">
        <f t="shared" si="41"/>
        <v>4.499047619047619</v>
      </c>
      <c r="L269" s="42">
        <v>6058354</v>
      </c>
      <c r="M269" s="47">
        <v>522293</v>
      </c>
      <c r="N269" s="220">
        <f t="shared" si="40"/>
        <v>11.599531297566692</v>
      </c>
      <c r="O269" s="108">
        <v>259</v>
      </c>
    </row>
    <row r="270" spans="1:15" s="95" customFormat="1" ht="15">
      <c r="A270" s="96">
        <v>260</v>
      </c>
      <c r="B270" s="223" t="s">
        <v>217</v>
      </c>
      <c r="C270" s="17">
        <v>40494</v>
      </c>
      <c r="D270" s="16" t="s">
        <v>10</v>
      </c>
      <c r="E270" s="4">
        <v>144</v>
      </c>
      <c r="F270" s="4">
        <v>1</v>
      </c>
      <c r="G270" s="4">
        <v>13</v>
      </c>
      <c r="H270" s="479">
        <v>2042</v>
      </c>
      <c r="I270" s="480">
        <v>495</v>
      </c>
      <c r="J270" s="115">
        <f t="shared" si="38"/>
        <v>495</v>
      </c>
      <c r="K270" s="208">
        <f t="shared" si="41"/>
        <v>4.125252525252526</v>
      </c>
      <c r="L270" s="42">
        <v>6072415</v>
      </c>
      <c r="M270" s="47">
        <v>524703</v>
      </c>
      <c r="N270" s="220">
        <f t="shared" si="40"/>
        <v>11.573051802638826</v>
      </c>
      <c r="O270" s="108">
        <v>260</v>
      </c>
    </row>
    <row r="271" spans="1:15" s="95" customFormat="1" ht="15">
      <c r="A271" s="96">
        <v>261</v>
      </c>
      <c r="B271" s="219" t="s">
        <v>217</v>
      </c>
      <c r="C271" s="2">
        <v>40494</v>
      </c>
      <c r="D271" s="18" t="s">
        <v>10</v>
      </c>
      <c r="E271" s="3">
        <v>144</v>
      </c>
      <c r="F271" s="3">
        <v>1</v>
      </c>
      <c r="G271" s="3">
        <v>12</v>
      </c>
      <c r="H271" s="479">
        <v>1154</v>
      </c>
      <c r="I271" s="480">
        <v>217</v>
      </c>
      <c r="J271" s="115">
        <f t="shared" si="38"/>
        <v>217</v>
      </c>
      <c r="K271" s="208">
        <f t="shared" si="41"/>
        <v>5.317972350230415</v>
      </c>
      <c r="L271" s="42">
        <v>6070373</v>
      </c>
      <c r="M271" s="47">
        <v>524208</v>
      </c>
      <c r="N271" s="220">
        <f t="shared" si="40"/>
        <v>11.58008462289778</v>
      </c>
      <c r="O271" s="108">
        <v>261</v>
      </c>
    </row>
    <row r="272" spans="1:15" s="95" customFormat="1" ht="15">
      <c r="A272" s="96">
        <v>262</v>
      </c>
      <c r="B272" s="235" t="s">
        <v>218</v>
      </c>
      <c r="C272" s="34">
        <v>40494</v>
      </c>
      <c r="D272" s="268" t="s">
        <v>24</v>
      </c>
      <c r="E272" s="36">
        <v>72</v>
      </c>
      <c r="F272" s="36">
        <v>2</v>
      </c>
      <c r="G272" s="36">
        <v>8</v>
      </c>
      <c r="H272" s="490">
        <v>1110</v>
      </c>
      <c r="I272" s="487">
        <v>180</v>
      </c>
      <c r="J272" s="44">
        <f t="shared" si="38"/>
        <v>90</v>
      </c>
      <c r="K272" s="244">
        <f>+H272/I272</f>
        <v>6.166666666666667</v>
      </c>
      <c r="L272" s="28">
        <v>906333</v>
      </c>
      <c r="M272" s="45">
        <v>84860</v>
      </c>
      <c r="N272" s="234">
        <f t="shared" si="40"/>
        <v>10.680332312043365</v>
      </c>
      <c r="O272" s="108">
        <v>262</v>
      </c>
    </row>
    <row r="273" spans="1:15" s="95" customFormat="1" ht="15">
      <c r="A273" s="96">
        <v>263</v>
      </c>
      <c r="B273" s="190" t="s">
        <v>219</v>
      </c>
      <c r="C273" s="34">
        <v>40459</v>
      </c>
      <c r="D273" s="268" t="s">
        <v>24</v>
      </c>
      <c r="E273" s="36">
        <v>93</v>
      </c>
      <c r="F273" s="36">
        <v>1</v>
      </c>
      <c r="G273" s="36">
        <v>14</v>
      </c>
      <c r="H273" s="486">
        <v>2415</v>
      </c>
      <c r="I273" s="487">
        <v>875</v>
      </c>
      <c r="J273" s="44">
        <f t="shared" si="38"/>
        <v>875</v>
      </c>
      <c r="K273" s="233">
        <f>+H273/I273</f>
        <v>2.76</v>
      </c>
      <c r="L273" s="41">
        <v>1072374</v>
      </c>
      <c r="M273" s="44">
        <v>99383</v>
      </c>
      <c r="N273" s="234">
        <f t="shared" si="40"/>
        <v>10.790316251270339</v>
      </c>
      <c r="O273" s="108">
        <v>263</v>
      </c>
    </row>
    <row r="274" spans="1:15" s="95" customFormat="1" ht="15">
      <c r="A274" s="96">
        <v>264</v>
      </c>
      <c r="B274" s="221" t="s">
        <v>265</v>
      </c>
      <c r="C274" s="2">
        <v>40529</v>
      </c>
      <c r="D274" s="23" t="s">
        <v>22</v>
      </c>
      <c r="E274" s="3">
        <v>134</v>
      </c>
      <c r="F274" s="3">
        <v>121</v>
      </c>
      <c r="G274" s="3">
        <v>3</v>
      </c>
      <c r="H274" s="485">
        <v>49789.5</v>
      </c>
      <c r="I274" s="484">
        <v>7079</v>
      </c>
      <c r="J274" s="102">
        <f aca="true" t="shared" si="42" ref="J274:J282">IF(H274&lt;&gt;0,I274/F274,"")</f>
        <v>58.50413223140496</v>
      </c>
      <c r="K274" s="229">
        <f aca="true" t="shared" si="43" ref="K274:K282">IF(H274&lt;&gt;0,H274/I274,"")</f>
        <v>7.0334086735414605</v>
      </c>
      <c r="L274" s="38">
        <f>244174+121219.5+H274</f>
        <v>415183</v>
      </c>
      <c r="M274" s="44">
        <f>29518+15718+I274</f>
        <v>52315</v>
      </c>
      <c r="N274" s="228">
        <f aca="true" t="shared" si="44" ref="N274:N282">IF(L274&lt;&gt;0,L274/M274,"")</f>
        <v>7.936213323138679</v>
      </c>
      <c r="O274" s="108">
        <v>264</v>
      </c>
    </row>
    <row r="275" spans="1:15" s="95" customFormat="1" ht="15">
      <c r="A275" s="96">
        <v>265</v>
      </c>
      <c r="B275" s="219" t="s">
        <v>265</v>
      </c>
      <c r="C275" s="2">
        <v>40529</v>
      </c>
      <c r="D275" s="18" t="s">
        <v>22</v>
      </c>
      <c r="E275" s="3">
        <v>134</v>
      </c>
      <c r="F275" s="3">
        <v>2</v>
      </c>
      <c r="G275" s="3">
        <v>10</v>
      </c>
      <c r="H275" s="483">
        <v>4630</v>
      </c>
      <c r="I275" s="484">
        <v>683</v>
      </c>
      <c r="J275" s="102">
        <f t="shared" si="42"/>
        <v>341.5</v>
      </c>
      <c r="K275" s="227">
        <f t="shared" si="43"/>
        <v>6.77891654465593</v>
      </c>
      <c r="L275" s="40">
        <f>415183+3929+3246+2363+1074+230+2072+4630</f>
        <v>432727</v>
      </c>
      <c r="M275" s="44">
        <f>52315+638+476+361+299+38+414+683</f>
        <v>55224</v>
      </c>
      <c r="N275" s="228">
        <f t="shared" si="44"/>
        <v>7.8358503549181515</v>
      </c>
      <c r="O275" s="108">
        <v>265</v>
      </c>
    </row>
    <row r="276" spans="1:15" s="95" customFormat="1" ht="15">
      <c r="A276" s="96">
        <v>267</v>
      </c>
      <c r="B276" s="219" t="s">
        <v>265</v>
      </c>
      <c r="C276" s="2">
        <v>40529</v>
      </c>
      <c r="D276" s="23" t="s">
        <v>22</v>
      </c>
      <c r="E276" s="3">
        <v>134</v>
      </c>
      <c r="F276" s="3">
        <v>12</v>
      </c>
      <c r="G276" s="3">
        <v>4</v>
      </c>
      <c r="H276" s="483">
        <v>3929</v>
      </c>
      <c r="I276" s="484">
        <v>638</v>
      </c>
      <c r="J276" s="102">
        <f t="shared" si="42"/>
        <v>53.166666666666664</v>
      </c>
      <c r="K276" s="227">
        <f t="shared" si="43"/>
        <v>6.158307210031348</v>
      </c>
      <c r="L276" s="40">
        <f>415183+3929</f>
        <v>419112</v>
      </c>
      <c r="M276" s="44">
        <f>52315+638</f>
        <v>52953</v>
      </c>
      <c r="N276" s="228">
        <f t="shared" si="44"/>
        <v>7.914792363038921</v>
      </c>
      <c r="O276" s="108">
        <v>267</v>
      </c>
    </row>
    <row r="277" spans="1:15" s="95" customFormat="1" ht="15">
      <c r="A277" s="96">
        <v>268</v>
      </c>
      <c r="B277" s="223" t="s">
        <v>265</v>
      </c>
      <c r="C277" s="2">
        <v>40529</v>
      </c>
      <c r="D277" s="16" t="s">
        <v>22</v>
      </c>
      <c r="E277" s="4">
        <v>134</v>
      </c>
      <c r="F277" s="4">
        <v>8</v>
      </c>
      <c r="G277" s="4">
        <v>5</v>
      </c>
      <c r="H277" s="483">
        <v>3246</v>
      </c>
      <c r="I277" s="484">
        <v>476</v>
      </c>
      <c r="J277" s="102">
        <f t="shared" si="42"/>
        <v>59.5</v>
      </c>
      <c r="K277" s="227">
        <f t="shared" si="43"/>
        <v>6.819327731092437</v>
      </c>
      <c r="L277" s="40">
        <f>415183+3929+3246</f>
        <v>422358</v>
      </c>
      <c r="M277" s="44">
        <f>52315+638+476</f>
        <v>53429</v>
      </c>
      <c r="N277" s="228">
        <f t="shared" si="44"/>
        <v>7.9050328473301015</v>
      </c>
      <c r="O277" s="108">
        <v>268</v>
      </c>
    </row>
    <row r="278" spans="1:15" s="95" customFormat="1" ht="15">
      <c r="A278" s="96">
        <v>269</v>
      </c>
      <c r="B278" s="221" t="s">
        <v>265</v>
      </c>
      <c r="C278" s="2">
        <v>40529</v>
      </c>
      <c r="D278" s="18" t="s">
        <v>22</v>
      </c>
      <c r="E278" s="3">
        <v>134</v>
      </c>
      <c r="F278" s="3">
        <v>6</v>
      </c>
      <c r="G278" s="3">
        <v>6</v>
      </c>
      <c r="H278" s="483">
        <v>2363</v>
      </c>
      <c r="I278" s="484">
        <v>361</v>
      </c>
      <c r="J278" s="102">
        <f t="shared" si="42"/>
        <v>60.166666666666664</v>
      </c>
      <c r="K278" s="227">
        <f t="shared" si="43"/>
        <v>6.545706371191136</v>
      </c>
      <c r="L278" s="40">
        <f>415183+3929+3246+2363</f>
        <v>424721</v>
      </c>
      <c r="M278" s="44">
        <f>52315+638+476+361</f>
        <v>53790</v>
      </c>
      <c r="N278" s="228">
        <f t="shared" si="44"/>
        <v>7.8959100204498975</v>
      </c>
      <c r="O278" s="108">
        <v>269</v>
      </c>
    </row>
    <row r="279" spans="1:15" s="95" customFormat="1" ht="15">
      <c r="A279" s="96">
        <v>270</v>
      </c>
      <c r="B279" s="223" t="s">
        <v>265</v>
      </c>
      <c r="C279" s="17">
        <v>40529</v>
      </c>
      <c r="D279" s="16" t="s">
        <v>22</v>
      </c>
      <c r="E279" s="4">
        <v>134</v>
      </c>
      <c r="F279" s="4">
        <v>2</v>
      </c>
      <c r="G279" s="4">
        <v>9</v>
      </c>
      <c r="H279" s="485">
        <v>2072</v>
      </c>
      <c r="I279" s="498">
        <v>414</v>
      </c>
      <c r="J279" s="284">
        <f t="shared" si="42"/>
        <v>207</v>
      </c>
      <c r="K279" s="229">
        <f t="shared" si="43"/>
        <v>5.004830917874396</v>
      </c>
      <c r="L279" s="38">
        <f>415183+3929+3246+2363+1074+230+2072</f>
        <v>428097</v>
      </c>
      <c r="M279" s="30">
        <f>52315+638+476+361+299+38+414</f>
        <v>54541</v>
      </c>
      <c r="N279" s="228">
        <f t="shared" si="44"/>
        <v>7.84908600869071</v>
      </c>
      <c r="O279" s="108">
        <v>270</v>
      </c>
    </row>
    <row r="280" spans="1:15" s="95" customFormat="1" ht="15">
      <c r="A280" s="96">
        <v>271</v>
      </c>
      <c r="B280" s="283" t="s">
        <v>265</v>
      </c>
      <c r="C280" s="322">
        <v>40529</v>
      </c>
      <c r="D280" s="323" t="s">
        <v>22</v>
      </c>
      <c r="E280" s="324">
        <v>134</v>
      </c>
      <c r="F280" s="324">
        <v>1</v>
      </c>
      <c r="G280" s="324">
        <v>11</v>
      </c>
      <c r="H280" s="483">
        <v>1180</v>
      </c>
      <c r="I280" s="484">
        <v>192</v>
      </c>
      <c r="J280" s="325">
        <f t="shared" si="42"/>
        <v>192</v>
      </c>
      <c r="K280" s="326">
        <f t="shared" si="43"/>
        <v>6.145833333333333</v>
      </c>
      <c r="L280" s="40">
        <f>415183+3929+3246+2363+1074+230+2072+4630+1180</f>
        <v>433907</v>
      </c>
      <c r="M280" s="44">
        <f>52315+638+476+361+299+38+414+683+192</f>
        <v>55416</v>
      </c>
      <c r="N280" s="327">
        <f t="shared" si="44"/>
        <v>7.829994947307637</v>
      </c>
      <c r="O280" s="108">
        <v>271</v>
      </c>
    </row>
    <row r="281" spans="1:15" s="95" customFormat="1" ht="15">
      <c r="A281" s="96">
        <v>272</v>
      </c>
      <c r="B281" s="283" t="s">
        <v>265</v>
      </c>
      <c r="C281" s="2">
        <v>40529</v>
      </c>
      <c r="D281" s="18" t="s">
        <v>22</v>
      </c>
      <c r="E281" s="3">
        <v>134</v>
      </c>
      <c r="F281" s="3">
        <v>6</v>
      </c>
      <c r="G281" s="3">
        <v>6</v>
      </c>
      <c r="H281" s="483">
        <v>1074</v>
      </c>
      <c r="I281" s="484">
        <v>299</v>
      </c>
      <c r="J281" s="102">
        <f t="shared" si="42"/>
        <v>49.833333333333336</v>
      </c>
      <c r="K281" s="227">
        <f t="shared" si="43"/>
        <v>3.591973244147157</v>
      </c>
      <c r="L281" s="40">
        <f>415183+3929+3246+2363+1074</f>
        <v>425795</v>
      </c>
      <c r="M281" s="44">
        <f>52315+638+476+361+299</f>
        <v>54089</v>
      </c>
      <c r="N281" s="228">
        <f t="shared" si="44"/>
        <v>7.872118175599475</v>
      </c>
      <c r="O281" s="108">
        <v>272</v>
      </c>
    </row>
    <row r="282" spans="1:15" s="95" customFormat="1" ht="15">
      <c r="A282" s="96">
        <v>273</v>
      </c>
      <c r="B282" s="223" t="s">
        <v>265</v>
      </c>
      <c r="C282" s="17">
        <v>40529</v>
      </c>
      <c r="D282" s="16" t="s">
        <v>22</v>
      </c>
      <c r="E282" s="4">
        <v>134</v>
      </c>
      <c r="F282" s="4">
        <v>1</v>
      </c>
      <c r="G282" s="4">
        <v>8</v>
      </c>
      <c r="H282" s="483">
        <v>230</v>
      </c>
      <c r="I282" s="484">
        <v>38</v>
      </c>
      <c r="J282" s="102">
        <f t="shared" si="42"/>
        <v>38</v>
      </c>
      <c r="K282" s="227">
        <f t="shared" si="43"/>
        <v>6.052631578947368</v>
      </c>
      <c r="L282" s="40">
        <f>415183+3929+3246+2363+1074+230</f>
        <v>426025</v>
      </c>
      <c r="M282" s="44">
        <f>52315+638+476+361+299+38</f>
        <v>54127</v>
      </c>
      <c r="N282" s="228">
        <f t="shared" si="44"/>
        <v>7.870840800339941</v>
      </c>
      <c r="O282" s="108">
        <v>273</v>
      </c>
    </row>
    <row r="283" spans="1:15" s="95" customFormat="1" ht="15">
      <c r="A283" s="96">
        <v>274</v>
      </c>
      <c r="B283" s="217" t="s">
        <v>220</v>
      </c>
      <c r="C283" s="202">
        <v>40053</v>
      </c>
      <c r="D283" s="199" t="s">
        <v>36</v>
      </c>
      <c r="E283" s="201">
        <v>14</v>
      </c>
      <c r="F283" s="201">
        <v>1</v>
      </c>
      <c r="G283" s="201">
        <v>11</v>
      </c>
      <c r="H283" s="473">
        <v>952</v>
      </c>
      <c r="I283" s="474">
        <v>238</v>
      </c>
      <c r="J283" s="118">
        <f>(I283/F283)</f>
        <v>238</v>
      </c>
      <c r="K283" s="195">
        <f>H283/I283</f>
        <v>4</v>
      </c>
      <c r="L283" s="9">
        <f>46744+27773.5+29652+15092+1850+3126+1717.5+468+83+54+952</f>
        <v>127512</v>
      </c>
      <c r="M283" s="8">
        <f>3724+2772+2752+1903+308+472+380+135+20+18+238</f>
        <v>12722</v>
      </c>
      <c r="N283" s="197">
        <f>L283/M283</f>
        <v>10.022952365980192</v>
      </c>
      <c r="O283" s="108">
        <v>274</v>
      </c>
    </row>
    <row r="284" spans="1:15" s="95" customFormat="1" ht="15">
      <c r="A284" s="96">
        <v>275</v>
      </c>
      <c r="B284" s="217" t="s">
        <v>220</v>
      </c>
      <c r="C284" s="202">
        <v>40053</v>
      </c>
      <c r="D284" s="199" t="s">
        <v>36</v>
      </c>
      <c r="E284" s="201">
        <v>14</v>
      </c>
      <c r="F284" s="201">
        <v>1</v>
      </c>
      <c r="G284" s="201">
        <v>12</v>
      </c>
      <c r="H284" s="475">
        <v>236</v>
      </c>
      <c r="I284" s="476">
        <v>59</v>
      </c>
      <c r="J284" s="203">
        <f>(I284/F284)</f>
        <v>59</v>
      </c>
      <c r="K284" s="200">
        <f>H284/I284</f>
        <v>4</v>
      </c>
      <c r="L284" s="27">
        <f>46744+27773.5+29652+15092+1850+3126+1717.5+468+83+54+952+236</f>
        <v>127748</v>
      </c>
      <c r="M284" s="24">
        <f>3724+2772+2752+1903+308+472+380+135+20+18+238+59</f>
        <v>12781</v>
      </c>
      <c r="N284" s="197">
        <f>L284/M284</f>
        <v>9.99514904937016</v>
      </c>
      <c r="O284" s="108">
        <v>275</v>
      </c>
    </row>
    <row r="285" spans="1:15" s="95" customFormat="1" ht="15">
      <c r="A285" s="96">
        <v>276</v>
      </c>
      <c r="B285" s="253" t="s">
        <v>266</v>
      </c>
      <c r="C285" s="2">
        <v>40529</v>
      </c>
      <c r="D285" s="26" t="s">
        <v>8</v>
      </c>
      <c r="E285" s="4">
        <v>32</v>
      </c>
      <c r="F285" s="4">
        <v>5</v>
      </c>
      <c r="G285" s="4">
        <v>3</v>
      </c>
      <c r="H285" s="501">
        <v>964</v>
      </c>
      <c r="I285" s="500">
        <v>140</v>
      </c>
      <c r="J285" s="102">
        <f>+I285/F285</f>
        <v>28</v>
      </c>
      <c r="K285" s="229">
        <f>+H285/I285</f>
        <v>6.885714285714286</v>
      </c>
      <c r="L285" s="21">
        <v>18563</v>
      </c>
      <c r="M285" s="7">
        <v>1767</v>
      </c>
      <c r="N285" s="228">
        <f>+L285/M285</f>
        <v>10.505376344086022</v>
      </c>
      <c r="O285" s="108">
        <v>276</v>
      </c>
    </row>
    <row r="286" spans="1:15" s="95" customFormat="1" ht="15">
      <c r="A286" s="96">
        <v>277</v>
      </c>
      <c r="B286" s="223" t="s">
        <v>266</v>
      </c>
      <c r="C286" s="2">
        <v>40529</v>
      </c>
      <c r="D286" s="26" t="s">
        <v>8</v>
      </c>
      <c r="E286" s="4">
        <v>32</v>
      </c>
      <c r="F286" s="4">
        <v>1</v>
      </c>
      <c r="G286" s="4">
        <v>4</v>
      </c>
      <c r="H286" s="499">
        <v>523</v>
      </c>
      <c r="I286" s="500">
        <v>92</v>
      </c>
      <c r="J286" s="102">
        <f>+I286/F286</f>
        <v>92</v>
      </c>
      <c r="K286" s="227">
        <f>+H286/I286</f>
        <v>5.684782608695652</v>
      </c>
      <c r="L286" s="6">
        <v>19085</v>
      </c>
      <c r="M286" s="7">
        <v>1859</v>
      </c>
      <c r="N286" s="228">
        <f>+L286/M286</f>
        <v>10.266272189349113</v>
      </c>
      <c r="O286" s="108">
        <v>277</v>
      </c>
    </row>
    <row r="287" spans="1:15" s="95" customFormat="1" ht="15">
      <c r="A287" s="96">
        <v>278</v>
      </c>
      <c r="B287" s="198" t="s">
        <v>221</v>
      </c>
      <c r="C287" s="34">
        <v>40347</v>
      </c>
      <c r="D287" s="199" t="s">
        <v>36</v>
      </c>
      <c r="E287" s="36">
        <v>2</v>
      </c>
      <c r="F287" s="36">
        <v>1</v>
      </c>
      <c r="G287" s="36">
        <v>20</v>
      </c>
      <c r="H287" s="475">
        <v>713</v>
      </c>
      <c r="I287" s="474">
        <v>178</v>
      </c>
      <c r="J287" s="118">
        <f>(I287/F287)</f>
        <v>178</v>
      </c>
      <c r="K287" s="200">
        <f>H287/I287</f>
        <v>4.00561797752809</v>
      </c>
      <c r="L287" s="27">
        <f>15693+762+1031+1133+707+492+1323.5+1397+447+357+524+229+713</f>
        <v>24808.5</v>
      </c>
      <c r="M287" s="8">
        <f>1559+119+194+179+86+57+150+195+165+58+85+48+178</f>
        <v>3073</v>
      </c>
      <c r="N287" s="197">
        <f>L287/M287</f>
        <v>8.073055645948584</v>
      </c>
      <c r="O287" s="108">
        <v>278</v>
      </c>
    </row>
    <row r="288" spans="1:15" s="95" customFormat="1" ht="15">
      <c r="A288" s="96">
        <v>279</v>
      </c>
      <c r="B288" s="235" t="s">
        <v>93</v>
      </c>
      <c r="C288" s="34">
        <v>40536</v>
      </c>
      <c r="D288" s="268" t="s">
        <v>24</v>
      </c>
      <c r="E288" s="36">
        <v>112</v>
      </c>
      <c r="F288" s="36">
        <v>116</v>
      </c>
      <c r="G288" s="36">
        <v>2</v>
      </c>
      <c r="H288" s="490">
        <v>694227</v>
      </c>
      <c r="I288" s="487">
        <v>58647</v>
      </c>
      <c r="J288" s="44">
        <f aca="true" t="shared" si="45" ref="J288:J299">I288/F288</f>
        <v>505.57758620689657</v>
      </c>
      <c r="K288" s="244">
        <f aca="true" t="shared" si="46" ref="K288:K299">+H288/I288</f>
        <v>11.837382986342012</v>
      </c>
      <c r="L288" s="28">
        <v>1663782</v>
      </c>
      <c r="M288" s="45">
        <v>141056</v>
      </c>
      <c r="N288" s="234">
        <f aca="true" t="shared" si="47" ref="N288:N299">+L288/M288</f>
        <v>11.795187726860254</v>
      </c>
      <c r="O288" s="108">
        <v>279</v>
      </c>
    </row>
    <row r="289" spans="1:15" s="95" customFormat="1" ht="15">
      <c r="A289" s="96">
        <v>280</v>
      </c>
      <c r="B289" s="190" t="s">
        <v>93</v>
      </c>
      <c r="C289" s="34">
        <v>40536</v>
      </c>
      <c r="D289" s="268" t="s">
        <v>24</v>
      </c>
      <c r="E289" s="36">
        <v>112</v>
      </c>
      <c r="F289" s="36">
        <v>114</v>
      </c>
      <c r="G289" s="36">
        <v>3</v>
      </c>
      <c r="H289" s="486">
        <v>439081</v>
      </c>
      <c r="I289" s="487">
        <v>38093</v>
      </c>
      <c r="J289" s="44">
        <f t="shared" si="45"/>
        <v>334.14912280701753</v>
      </c>
      <c r="K289" s="233">
        <f t="shared" si="46"/>
        <v>11.526553435014307</v>
      </c>
      <c r="L289" s="41">
        <v>2102863</v>
      </c>
      <c r="M289" s="45">
        <v>179149</v>
      </c>
      <c r="N289" s="234">
        <f t="shared" si="47"/>
        <v>11.738067195462994</v>
      </c>
      <c r="O289" s="108">
        <v>280</v>
      </c>
    </row>
    <row r="290" spans="1:15" s="95" customFormat="1" ht="15">
      <c r="A290" s="96">
        <v>281</v>
      </c>
      <c r="B290" s="230" t="s">
        <v>93</v>
      </c>
      <c r="C290" s="34">
        <v>40536</v>
      </c>
      <c r="D290" s="199" t="s">
        <v>24</v>
      </c>
      <c r="E290" s="201">
        <v>112</v>
      </c>
      <c r="F290" s="201">
        <v>67</v>
      </c>
      <c r="G290" s="201">
        <v>7</v>
      </c>
      <c r="H290" s="486">
        <v>251883</v>
      </c>
      <c r="I290" s="487">
        <v>23368</v>
      </c>
      <c r="J290" s="44">
        <f t="shared" si="45"/>
        <v>348.7761194029851</v>
      </c>
      <c r="K290" s="233">
        <f t="shared" si="46"/>
        <v>10.778971242725094</v>
      </c>
      <c r="L290" s="41">
        <v>2567209</v>
      </c>
      <c r="M290" s="45">
        <v>225627</v>
      </c>
      <c r="N290" s="234">
        <f t="shared" si="47"/>
        <v>11.378110775749356</v>
      </c>
      <c r="O290" s="108">
        <v>281</v>
      </c>
    </row>
    <row r="291" spans="1:15" s="95" customFormat="1" ht="15">
      <c r="A291" s="96">
        <v>282</v>
      </c>
      <c r="B291" s="237" t="s">
        <v>93</v>
      </c>
      <c r="C291" s="269">
        <v>40536</v>
      </c>
      <c r="D291" s="270" t="s">
        <v>24</v>
      </c>
      <c r="E291" s="239">
        <v>112</v>
      </c>
      <c r="F291" s="239">
        <v>51</v>
      </c>
      <c r="G291" s="239">
        <v>4</v>
      </c>
      <c r="H291" s="488">
        <v>136869</v>
      </c>
      <c r="I291" s="489">
        <v>12796</v>
      </c>
      <c r="J291" s="240">
        <f t="shared" si="45"/>
        <v>250.90196078431373</v>
      </c>
      <c r="K291" s="241">
        <f t="shared" si="46"/>
        <v>10.696233197874335</v>
      </c>
      <c r="L291" s="242">
        <v>2239732</v>
      </c>
      <c r="M291" s="240">
        <v>191945</v>
      </c>
      <c r="N291" s="243">
        <f t="shared" si="47"/>
        <v>11.668613404881606</v>
      </c>
      <c r="O291" s="108">
        <v>282</v>
      </c>
    </row>
    <row r="292" spans="1:15" s="95" customFormat="1" ht="15">
      <c r="A292" s="96">
        <v>283</v>
      </c>
      <c r="B292" s="237" t="s">
        <v>93</v>
      </c>
      <c r="C292" s="269">
        <v>40536</v>
      </c>
      <c r="D292" s="270" t="s">
        <v>24</v>
      </c>
      <c r="E292" s="239">
        <v>112</v>
      </c>
      <c r="F292" s="239">
        <v>76</v>
      </c>
      <c r="G292" s="239">
        <v>8</v>
      </c>
      <c r="H292" s="488">
        <v>133175</v>
      </c>
      <c r="I292" s="489">
        <v>12385</v>
      </c>
      <c r="J292" s="240">
        <f t="shared" si="45"/>
        <v>162.96052631578948</v>
      </c>
      <c r="K292" s="241">
        <f t="shared" si="46"/>
        <v>10.752926927735164</v>
      </c>
      <c r="L292" s="242">
        <v>2700384</v>
      </c>
      <c r="M292" s="240">
        <v>238012</v>
      </c>
      <c r="N292" s="243">
        <f t="shared" si="47"/>
        <v>11.345579214493387</v>
      </c>
      <c r="O292" s="108">
        <v>283</v>
      </c>
    </row>
    <row r="293" spans="1:15" s="95" customFormat="1" ht="15">
      <c r="A293" s="96">
        <v>284</v>
      </c>
      <c r="B293" s="190" t="s">
        <v>93</v>
      </c>
      <c r="C293" s="34">
        <v>40536</v>
      </c>
      <c r="D293" s="299" t="s">
        <v>24</v>
      </c>
      <c r="E293" s="36">
        <v>112</v>
      </c>
      <c r="F293" s="36">
        <v>16</v>
      </c>
      <c r="G293" s="36">
        <v>6</v>
      </c>
      <c r="H293" s="486">
        <v>40300</v>
      </c>
      <c r="I293" s="487">
        <v>4735</v>
      </c>
      <c r="J293" s="44">
        <f t="shared" si="45"/>
        <v>295.9375</v>
      </c>
      <c r="K293" s="233">
        <f t="shared" si="46"/>
        <v>8.511087645195353</v>
      </c>
      <c r="L293" s="41">
        <v>2315326</v>
      </c>
      <c r="M293" s="45">
        <v>202259</v>
      </c>
      <c r="N293" s="220">
        <f t="shared" si="47"/>
        <v>11.447332380759324</v>
      </c>
      <c r="O293" s="108">
        <v>284</v>
      </c>
    </row>
    <row r="294" spans="1:15" s="95" customFormat="1" ht="15">
      <c r="A294" s="96">
        <v>285</v>
      </c>
      <c r="B294" s="235" t="s">
        <v>93</v>
      </c>
      <c r="C294" s="34">
        <v>40536</v>
      </c>
      <c r="D294" s="299" t="s">
        <v>24</v>
      </c>
      <c r="E294" s="36">
        <v>112</v>
      </c>
      <c r="F294" s="36">
        <v>26</v>
      </c>
      <c r="G294" s="36">
        <v>5</v>
      </c>
      <c r="H294" s="486">
        <v>35294</v>
      </c>
      <c r="I294" s="487">
        <v>5579</v>
      </c>
      <c r="J294" s="44">
        <f t="shared" si="45"/>
        <v>214.57692307692307</v>
      </c>
      <c r="K294" s="233">
        <f t="shared" si="46"/>
        <v>6.3262233375156836</v>
      </c>
      <c r="L294" s="41">
        <v>2275026</v>
      </c>
      <c r="M294" s="45">
        <v>197524</v>
      </c>
      <c r="N294" s="234">
        <f t="shared" si="47"/>
        <v>11.51771936574796</v>
      </c>
      <c r="O294" s="108">
        <v>285</v>
      </c>
    </row>
    <row r="295" spans="1:15" s="95" customFormat="1" ht="15">
      <c r="A295" s="96">
        <v>286</v>
      </c>
      <c r="B295" s="230" t="s">
        <v>93</v>
      </c>
      <c r="C295" s="202">
        <v>40536</v>
      </c>
      <c r="D295" s="199" t="s">
        <v>24</v>
      </c>
      <c r="E295" s="201">
        <v>112</v>
      </c>
      <c r="F295" s="201">
        <v>21</v>
      </c>
      <c r="G295" s="201">
        <v>9</v>
      </c>
      <c r="H295" s="486">
        <v>25605</v>
      </c>
      <c r="I295" s="487">
        <v>2458</v>
      </c>
      <c r="J295" s="44">
        <f t="shared" si="45"/>
        <v>117.04761904761905</v>
      </c>
      <c r="K295" s="233">
        <f t="shared" si="46"/>
        <v>10.417005695687552</v>
      </c>
      <c r="L295" s="41">
        <v>2725989</v>
      </c>
      <c r="M295" s="45">
        <v>240471</v>
      </c>
      <c r="N295" s="234">
        <f t="shared" si="47"/>
        <v>11.33604052047856</v>
      </c>
      <c r="O295" s="108">
        <v>286</v>
      </c>
    </row>
    <row r="296" spans="1:15" s="95" customFormat="1" ht="15">
      <c r="A296" s="96">
        <v>287</v>
      </c>
      <c r="B296" s="230" t="s">
        <v>93</v>
      </c>
      <c r="C296" s="202">
        <v>40536</v>
      </c>
      <c r="D296" s="199" t="s">
        <v>24</v>
      </c>
      <c r="E296" s="201">
        <v>112</v>
      </c>
      <c r="F296" s="201">
        <v>15</v>
      </c>
      <c r="G296" s="201">
        <v>10</v>
      </c>
      <c r="H296" s="490">
        <v>6766</v>
      </c>
      <c r="I296" s="503">
        <v>855</v>
      </c>
      <c r="J296" s="29">
        <f t="shared" si="45"/>
        <v>57</v>
      </c>
      <c r="K296" s="244">
        <f t="shared" si="46"/>
        <v>7.913450292397661</v>
      </c>
      <c r="L296" s="28">
        <v>2732755</v>
      </c>
      <c r="M296" s="30">
        <v>241326</v>
      </c>
      <c r="N296" s="234">
        <f t="shared" si="47"/>
        <v>11.323914538839578</v>
      </c>
      <c r="O296" s="108">
        <v>287</v>
      </c>
    </row>
    <row r="297" spans="1:15" s="95" customFormat="1" ht="15">
      <c r="A297" s="96">
        <v>288</v>
      </c>
      <c r="B297" s="190" t="s">
        <v>93</v>
      </c>
      <c r="C297" s="34">
        <v>40536</v>
      </c>
      <c r="D297" s="299" t="s">
        <v>24</v>
      </c>
      <c r="E297" s="36">
        <v>112</v>
      </c>
      <c r="F297" s="36">
        <v>3</v>
      </c>
      <c r="G297" s="36">
        <v>17</v>
      </c>
      <c r="H297" s="486">
        <v>5237</v>
      </c>
      <c r="I297" s="487">
        <v>1250</v>
      </c>
      <c r="J297" s="44">
        <f t="shared" si="45"/>
        <v>416.6666666666667</v>
      </c>
      <c r="K297" s="233">
        <f t="shared" si="46"/>
        <v>4.1896</v>
      </c>
      <c r="L297" s="41">
        <v>2754565</v>
      </c>
      <c r="M297" s="44">
        <v>246263</v>
      </c>
      <c r="N297" s="234">
        <f t="shared" si="47"/>
        <v>11.185460259965971</v>
      </c>
      <c r="O297" s="108">
        <v>288</v>
      </c>
    </row>
    <row r="298" spans="1:15" s="95" customFormat="1" ht="15">
      <c r="A298" s="96">
        <v>289</v>
      </c>
      <c r="B298" s="190" t="s">
        <v>93</v>
      </c>
      <c r="C298" s="34">
        <v>40536</v>
      </c>
      <c r="D298" s="299" t="s">
        <v>24</v>
      </c>
      <c r="E298" s="36">
        <v>112</v>
      </c>
      <c r="F298" s="36">
        <v>11</v>
      </c>
      <c r="G298" s="36">
        <v>11</v>
      </c>
      <c r="H298" s="486">
        <v>4094</v>
      </c>
      <c r="I298" s="487">
        <v>695</v>
      </c>
      <c r="J298" s="44">
        <f t="shared" si="45"/>
        <v>63.18181818181818</v>
      </c>
      <c r="K298" s="233">
        <f t="shared" si="46"/>
        <v>5.890647482014389</v>
      </c>
      <c r="L298" s="41">
        <v>2736849</v>
      </c>
      <c r="M298" s="45">
        <v>242021</v>
      </c>
      <c r="N298" s="234">
        <f t="shared" si="47"/>
        <v>11.30831208862041</v>
      </c>
      <c r="O298" s="108">
        <v>289</v>
      </c>
    </row>
    <row r="299" spans="1:15" s="95" customFormat="1" ht="15">
      <c r="A299" s="96">
        <v>290</v>
      </c>
      <c r="B299" s="304" t="s">
        <v>93</v>
      </c>
      <c r="C299" s="305">
        <v>40536</v>
      </c>
      <c r="D299" s="306" t="s">
        <v>24</v>
      </c>
      <c r="E299" s="307">
        <v>112</v>
      </c>
      <c r="F299" s="307">
        <v>7</v>
      </c>
      <c r="G299" s="307">
        <v>12</v>
      </c>
      <c r="H299" s="488">
        <v>3805</v>
      </c>
      <c r="I299" s="489">
        <v>818</v>
      </c>
      <c r="J299" s="308">
        <f t="shared" si="45"/>
        <v>116.85714285714286</v>
      </c>
      <c r="K299" s="309">
        <f t="shared" si="46"/>
        <v>4.65158924205379</v>
      </c>
      <c r="L299" s="310">
        <v>2740654</v>
      </c>
      <c r="M299" s="311">
        <v>242839</v>
      </c>
      <c r="N299" s="312">
        <f t="shared" si="47"/>
        <v>11.28588900464917</v>
      </c>
      <c r="O299" s="108">
        <v>290</v>
      </c>
    </row>
    <row r="300" spans="1:15" s="95" customFormat="1" ht="15">
      <c r="A300" s="96">
        <v>291</v>
      </c>
      <c r="B300" s="328" t="s">
        <v>93</v>
      </c>
      <c r="C300" s="329">
        <v>40536</v>
      </c>
      <c r="D300" s="330" t="s">
        <v>24</v>
      </c>
      <c r="E300" s="331">
        <v>112</v>
      </c>
      <c r="F300" s="331">
        <v>4</v>
      </c>
      <c r="G300" s="331">
        <v>16</v>
      </c>
      <c r="H300" s="507">
        <v>2799</v>
      </c>
      <c r="I300" s="508">
        <v>759</v>
      </c>
      <c r="J300" s="115">
        <v>189.75</v>
      </c>
      <c r="K300" s="208">
        <v>3.6877470355731226</v>
      </c>
      <c r="L300" s="332">
        <v>2749328</v>
      </c>
      <c r="M300" s="333">
        <v>245013</v>
      </c>
      <c r="N300" s="334">
        <v>11.221151530735105</v>
      </c>
      <c r="O300" s="108">
        <v>291</v>
      </c>
    </row>
    <row r="301" spans="1:15" s="95" customFormat="1" ht="15">
      <c r="A301" s="96">
        <v>292</v>
      </c>
      <c r="B301" s="190" t="s">
        <v>93</v>
      </c>
      <c r="C301" s="34">
        <v>40536</v>
      </c>
      <c r="D301" s="299" t="s">
        <v>24</v>
      </c>
      <c r="E301" s="36">
        <v>112</v>
      </c>
      <c r="F301" s="36">
        <v>4</v>
      </c>
      <c r="G301" s="36">
        <v>13</v>
      </c>
      <c r="H301" s="486">
        <v>2777</v>
      </c>
      <c r="I301" s="487">
        <v>596</v>
      </c>
      <c r="J301" s="44">
        <f aca="true" t="shared" si="48" ref="J301:J308">I301/F301</f>
        <v>149</v>
      </c>
      <c r="K301" s="233">
        <f>+H301/I301</f>
        <v>4.659395973154362</v>
      </c>
      <c r="L301" s="41">
        <v>2743431</v>
      </c>
      <c r="M301" s="45">
        <v>243435</v>
      </c>
      <c r="N301" s="234">
        <f aca="true" t="shared" si="49" ref="N301:N308">+L301/M301</f>
        <v>11.269665413765482</v>
      </c>
      <c r="O301" s="108">
        <v>292</v>
      </c>
    </row>
    <row r="302" spans="1:15" s="95" customFormat="1" ht="15">
      <c r="A302" s="96">
        <v>293</v>
      </c>
      <c r="B302" s="348" t="s">
        <v>93</v>
      </c>
      <c r="C302" s="99">
        <v>40536</v>
      </c>
      <c r="D302" s="100" t="s">
        <v>24</v>
      </c>
      <c r="E302" s="101">
        <v>112</v>
      </c>
      <c r="F302" s="101">
        <v>1</v>
      </c>
      <c r="G302" s="101">
        <v>23</v>
      </c>
      <c r="H302" s="490">
        <v>2151</v>
      </c>
      <c r="I302" s="503">
        <v>326</v>
      </c>
      <c r="J302" s="284">
        <f t="shared" si="48"/>
        <v>326</v>
      </c>
      <c r="K302" s="451">
        <f>H302/I302</f>
        <v>6.598159509202454</v>
      </c>
      <c r="L302" s="28">
        <v>2759090</v>
      </c>
      <c r="M302" s="30">
        <v>247200</v>
      </c>
      <c r="N302" s="452">
        <f t="shared" si="49"/>
        <v>11.161367313915857</v>
      </c>
      <c r="O302" s="108">
        <v>293</v>
      </c>
    </row>
    <row r="303" spans="1:15" s="95" customFormat="1" ht="15">
      <c r="A303" s="96">
        <v>294</v>
      </c>
      <c r="B303" s="230" t="s">
        <v>93</v>
      </c>
      <c r="C303" s="32">
        <v>40536</v>
      </c>
      <c r="D303" s="199" t="s">
        <v>24</v>
      </c>
      <c r="E303" s="201">
        <v>112</v>
      </c>
      <c r="F303" s="201">
        <v>3</v>
      </c>
      <c r="G303" s="201">
        <v>14</v>
      </c>
      <c r="H303" s="486">
        <v>1828</v>
      </c>
      <c r="I303" s="487">
        <v>458</v>
      </c>
      <c r="J303" s="44">
        <f t="shared" si="48"/>
        <v>152.66666666666666</v>
      </c>
      <c r="K303" s="335">
        <f>+H303/I303</f>
        <v>3.9912663755458517</v>
      </c>
      <c r="L303" s="41">
        <v>2745259</v>
      </c>
      <c r="M303" s="45">
        <v>243893</v>
      </c>
      <c r="N303" s="234">
        <f t="shared" si="49"/>
        <v>11.255997507103524</v>
      </c>
      <c r="O303" s="108">
        <v>294</v>
      </c>
    </row>
    <row r="304" spans="1:15" s="95" customFormat="1" ht="15">
      <c r="A304" s="96">
        <v>295</v>
      </c>
      <c r="B304" s="237" t="s">
        <v>93</v>
      </c>
      <c r="C304" s="269">
        <v>40536</v>
      </c>
      <c r="D304" s="270" t="s">
        <v>24</v>
      </c>
      <c r="E304" s="239">
        <v>112</v>
      </c>
      <c r="F304" s="239">
        <v>2</v>
      </c>
      <c r="G304" s="239">
        <v>15</v>
      </c>
      <c r="H304" s="488">
        <v>1270</v>
      </c>
      <c r="I304" s="489">
        <v>361</v>
      </c>
      <c r="J304" s="240">
        <f t="shared" si="48"/>
        <v>180.5</v>
      </c>
      <c r="K304" s="241">
        <f>+H304/I304</f>
        <v>3.518005540166205</v>
      </c>
      <c r="L304" s="242">
        <v>2746529</v>
      </c>
      <c r="M304" s="240">
        <v>244254</v>
      </c>
      <c r="N304" s="243">
        <f t="shared" si="49"/>
        <v>11.244560989789317</v>
      </c>
      <c r="O304" s="108">
        <v>295</v>
      </c>
    </row>
    <row r="305" spans="1:15" s="95" customFormat="1" ht="15">
      <c r="A305" s="96">
        <v>296</v>
      </c>
      <c r="B305" s="336" t="s">
        <v>93</v>
      </c>
      <c r="C305" s="34">
        <v>40536</v>
      </c>
      <c r="D305" s="299" t="s">
        <v>24</v>
      </c>
      <c r="E305" s="36">
        <v>112</v>
      </c>
      <c r="F305" s="36">
        <v>1</v>
      </c>
      <c r="G305" s="36">
        <v>18</v>
      </c>
      <c r="H305" s="486">
        <v>1205</v>
      </c>
      <c r="I305" s="487">
        <v>385</v>
      </c>
      <c r="J305" s="44">
        <f t="shared" si="48"/>
        <v>385</v>
      </c>
      <c r="K305" s="233">
        <f>+H305/I305</f>
        <v>3.1298701298701297</v>
      </c>
      <c r="L305" s="41">
        <v>2755770</v>
      </c>
      <c r="M305" s="45">
        <v>246648</v>
      </c>
      <c r="N305" s="234">
        <f t="shared" si="49"/>
        <v>11.172886056242094</v>
      </c>
      <c r="O305" s="108">
        <v>296</v>
      </c>
    </row>
    <row r="306" spans="1:15" s="95" customFormat="1" ht="15">
      <c r="A306" s="96">
        <v>297</v>
      </c>
      <c r="B306" s="348" t="s">
        <v>93</v>
      </c>
      <c r="C306" s="99">
        <v>40536</v>
      </c>
      <c r="D306" s="100" t="s">
        <v>24</v>
      </c>
      <c r="E306" s="101">
        <v>112</v>
      </c>
      <c r="F306" s="101">
        <v>1</v>
      </c>
      <c r="G306" s="101">
        <v>22</v>
      </c>
      <c r="H306" s="509">
        <v>974</v>
      </c>
      <c r="I306" s="510">
        <v>161</v>
      </c>
      <c r="J306" s="102">
        <f t="shared" si="48"/>
        <v>161</v>
      </c>
      <c r="K306" s="103">
        <f>H306/I306</f>
        <v>6.049689440993789</v>
      </c>
      <c r="L306" s="105">
        <v>2756939</v>
      </c>
      <c r="M306" s="106">
        <v>246874</v>
      </c>
      <c r="N306" s="107">
        <f t="shared" si="49"/>
        <v>11.167393083111223</v>
      </c>
      <c r="O306" s="108">
        <v>297</v>
      </c>
    </row>
    <row r="307" spans="1:15" s="95" customFormat="1" ht="15">
      <c r="A307" s="96">
        <v>298</v>
      </c>
      <c r="B307" s="348" t="s">
        <v>93</v>
      </c>
      <c r="C307" s="99">
        <v>40536</v>
      </c>
      <c r="D307" s="100" t="s">
        <v>24</v>
      </c>
      <c r="E307" s="101">
        <v>112</v>
      </c>
      <c r="F307" s="101">
        <v>1</v>
      </c>
      <c r="G307" s="101">
        <v>22</v>
      </c>
      <c r="H307" s="509">
        <v>974</v>
      </c>
      <c r="I307" s="510">
        <v>161</v>
      </c>
      <c r="J307" s="102">
        <f t="shared" si="48"/>
        <v>161</v>
      </c>
      <c r="K307" s="103">
        <f>H307/I307</f>
        <v>6.049689440993789</v>
      </c>
      <c r="L307" s="105">
        <v>2756939</v>
      </c>
      <c r="M307" s="106">
        <v>246874</v>
      </c>
      <c r="N307" s="107">
        <f t="shared" si="49"/>
        <v>11.167393083111223</v>
      </c>
      <c r="O307" s="108">
        <v>298</v>
      </c>
    </row>
    <row r="308" spans="1:15" s="95" customFormat="1" ht="15">
      <c r="A308" s="96">
        <v>299</v>
      </c>
      <c r="B308" s="348" t="s">
        <v>93</v>
      </c>
      <c r="C308" s="99">
        <v>40536</v>
      </c>
      <c r="D308" s="100" t="s">
        <v>24</v>
      </c>
      <c r="E308" s="125">
        <v>112</v>
      </c>
      <c r="F308" s="125">
        <v>1</v>
      </c>
      <c r="G308" s="573">
        <v>25</v>
      </c>
      <c r="H308" s="716">
        <v>777</v>
      </c>
      <c r="I308" s="720">
        <v>127</v>
      </c>
      <c r="J308" s="284">
        <f t="shared" si="48"/>
        <v>127</v>
      </c>
      <c r="K308" s="451">
        <f>H308/I308</f>
        <v>6.118110236220472</v>
      </c>
      <c r="L308" s="242">
        <v>2759867</v>
      </c>
      <c r="M308" s="240">
        <v>247327</v>
      </c>
      <c r="N308" s="107">
        <f t="shared" si="49"/>
        <v>11.15877765064065</v>
      </c>
      <c r="O308" s="108">
        <v>299</v>
      </c>
    </row>
    <row r="309" spans="1:15" s="95" customFormat="1" ht="15">
      <c r="A309" s="96">
        <v>300</v>
      </c>
      <c r="B309" s="217" t="s">
        <v>222</v>
      </c>
      <c r="C309" s="32">
        <v>40319</v>
      </c>
      <c r="D309" s="199" t="s">
        <v>160</v>
      </c>
      <c r="E309" s="201">
        <v>2</v>
      </c>
      <c r="F309" s="201">
        <v>1</v>
      </c>
      <c r="G309" s="201">
        <v>17</v>
      </c>
      <c r="H309" s="473">
        <v>2970</v>
      </c>
      <c r="I309" s="474">
        <v>2755</v>
      </c>
      <c r="J309" s="118">
        <f>(I309/F309)</f>
        <v>2755</v>
      </c>
      <c r="K309" s="218">
        <f>H309/I309</f>
        <v>1.0780399274047188</v>
      </c>
      <c r="L309" s="9">
        <f>4143+1077+726+775+2269+1451+561+189+370+613+538+181+79+246+238+1188+2970</f>
        <v>17614</v>
      </c>
      <c r="M309" s="8">
        <f>330+90+108+118+312+209+62+36+139+104+67+25+11+37+68+297+742</f>
        <v>2755</v>
      </c>
      <c r="N309" s="197">
        <f>L309/M309</f>
        <v>6.393466424682396</v>
      </c>
      <c r="O309" s="108">
        <v>300</v>
      </c>
    </row>
    <row r="310" spans="1:15" s="95" customFormat="1" ht="15">
      <c r="A310" s="96">
        <v>301</v>
      </c>
      <c r="B310" s="190" t="s">
        <v>222</v>
      </c>
      <c r="C310" s="34">
        <v>40319</v>
      </c>
      <c r="D310" s="31" t="s">
        <v>36</v>
      </c>
      <c r="E310" s="36">
        <v>2</v>
      </c>
      <c r="F310" s="36">
        <v>1</v>
      </c>
      <c r="G310" s="36">
        <v>16</v>
      </c>
      <c r="H310" s="473">
        <v>1188</v>
      </c>
      <c r="I310" s="474">
        <v>297</v>
      </c>
      <c r="J310" s="118">
        <f>(I310/F310)</f>
        <v>297</v>
      </c>
      <c r="K310" s="195">
        <f>H310/I310</f>
        <v>4</v>
      </c>
      <c r="L310" s="9">
        <f>4143+1077+726+775+2269+1451+561+189+370+613+538+181+79+246+238+1188</f>
        <v>14644</v>
      </c>
      <c r="M310" s="8">
        <f>330+90+108+118+312+209+62+36+139+104+67+25+11+37+68+297</f>
        <v>2013</v>
      </c>
      <c r="N310" s="197">
        <f>L310/M310</f>
        <v>7.27471435668157</v>
      </c>
      <c r="O310" s="108">
        <v>301</v>
      </c>
    </row>
    <row r="311" spans="1:15" s="95" customFormat="1" ht="15">
      <c r="A311" s="96">
        <v>302</v>
      </c>
      <c r="B311" s="198" t="s">
        <v>267</v>
      </c>
      <c r="C311" s="34">
        <v>40529</v>
      </c>
      <c r="D311" s="33" t="s">
        <v>32</v>
      </c>
      <c r="E311" s="36">
        <v>5</v>
      </c>
      <c r="F311" s="36">
        <v>3</v>
      </c>
      <c r="G311" s="36">
        <v>3</v>
      </c>
      <c r="H311" s="490">
        <v>2915</v>
      </c>
      <c r="I311" s="487">
        <v>305</v>
      </c>
      <c r="J311" s="102">
        <f>IF(H311&lt;&gt;0,I311/F311,"")</f>
        <v>101.66666666666667</v>
      </c>
      <c r="K311" s="229">
        <f>IF(H311&lt;&gt;0,H311/I311,"")</f>
        <v>9.557377049180328</v>
      </c>
      <c r="L311" s="28">
        <f>9892.5+4913+2915</f>
        <v>17720.5</v>
      </c>
      <c r="M311" s="44">
        <f>1037+523+305</f>
        <v>1865</v>
      </c>
      <c r="N311" s="228">
        <f>IF(L311&lt;&gt;0,L311/M311,"")</f>
        <v>9.501608579088472</v>
      </c>
      <c r="O311" s="108">
        <v>302</v>
      </c>
    </row>
    <row r="312" spans="1:15" s="95" customFormat="1" ht="15">
      <c r="A312" s="96">
        <v>303</v>
      </c>
      <c r="B312" s="198" t="s">
        <v>223</v>
      </c>
      <c r="C312" s="34">
        <v>40410</v>
      </c>
      <c r="D312" s="199" t="s">
        <v>36</v>
      </c>
      <c r="E312" s="36">
        <v>100</v>
      </c>
      <c r="F312" s="36">
        <v>1</v>
      </c>
      <c r="G312" s="36">
        <v>18</v>
      </c>
      <c r="H312" s="473">
        <v>1782</v>
      </c>
      <c r="I312" s="474">
        <v>445</v>
      </c>
      <c r="J312" s="118">
        <f aca="true" t="shared" si="50" ref="J312:J337">(I312/F312)</f>
        <v>445</v>
      </c>
      <c r="K312" s="195">
        <f aca="true" t="shared" si="51" ref="K312:K338">H312/I312</f>
        <v>4.004494382022472</v>
      </c>
      <c r="L312" s="9">
        <f>4793.5+233907+173006+95171+69286+22212.5+11921.5+10683+6473+5548+3621+5930+360+5346+2138.5+6058.5+4752+950.5+1782</f>
        <v>663940</v>
      </c>
      <c r="M312" s="8">
        <f>312+25267+17706+10642+10638+3791+2335+2134+1501+1673+635+1434+72+1336+534+1515+1188+238+445</f>
        <v>83396</v>
      </c>
      <c r="N312" s="197">
        <f aca="true" t="shared" si="52" ref="N312:N337">L312/M312</f>
        <v>7.9612931075830975</v>
      </c>
      <c r="O312" s="108">
        <v>303</v>
      </c>
    </row>
    <row r="313" spans="1:15" s="95" customFormat="1" ht="15">
      <c r="A313" s="96">
        <v>304</v>
      </c>
      <c r="B313" s="190" t="s">
        <v>223</v>
      </c>
      <c r="C313" s="34">
        <v>40410</v>
      </c>
      <c r="D313" s="199" t="s">
        <v>36</v>
      </c>
      <c r="E313" s="36">
        <v>100</v>
      </c>
      <c r="F313" s="36">
        <v>1</v>
      </c>
      <c r="G313" s="36">
        <v>17</v>
      </c>
      <c r="H313" s="473">
        <v>950.5</v>
      </c>
      <c r="I313" s="474">
        <v>238</v>
      </c>
      <c r="J313" s="118">
        <f t="shared" si="50"/>
        <v>238</v>
      </c>
      <c r="K313" s="195">
        <f t="shared" si="51"/>
        <v>3.9936974789915967</v>
      </c>
      <c r="L313" s="9">
        <f>4793.5+233907+173006+95171+69286+22212.5+11921.5+10683+6473+5548+3621+5930+360+5346+2138.5+6058.5+4752+950.5</f>
        <v>662158</v>
      </c>
      <c r="M313" s="8">
        <f>312+25267+17706+10642+10638+3791+2335+2134+1501+1673+635+1434+72+1336+534+1515+1188+238</f>
        <v>82951</v>
      </c>
      <c r="N313" s="197">
        <f t="shared" si="52"/>
        <v>7.9825198008462825</v>
      </c>
      <c r="O313" s="108">
        <v>304</v>
      </c>
    </row>
    <row r="314" spans="1:15" s="95" customFormat="1" ht="15">
      <c r="A314" s="96">
        <v>305</v>
      </c>
      <c r="B314" s="217" t="s">
        <v>224</v>
      </c>
      <c r="C314" s="202">
        <v>40039</v>
      </c>
      <c r="D314" s="199" t="s">
        <v>36</v>
      </c>
      <c r="E314" s="201">
        <v>8</v>
      </c>
      <c r="F314" s="201">
        <v>1</v>
      </c>
      <c r="G314" s="201">
        <v>11</v>
      </c>
      <c r="H314" s="473">
        <v>952</v>
      </c>
      <c r="I314" s="474">
        <v>238</v>
      </c>
      <c r="J314" s="118">
        <f t="shared" si="50"/>
        <v>238</v>
      </c>
      <c r="K314" s="195">
        <f t="shared" si="51"/>
        <v>4</v>
      </c>
      <c r="L314" s="9">
        <f>29121.25+9335.5+10783.5+6805.5+6780.5+3746+1541.5+84+273+1188+952</f>
        <v>70610.75</v>
      </c>
      <c r="M314" s="8">
        <f>2428+976+1509+1029+1087+466+273+24+62+297+238</f>
        <v>8389</v>
      </c>
      <c r="N314" s="197">
        <f t="shared" si="52"/>
        <v>8.417064012397187</v>
      </c>
      <c r="O314" s="108">
        <v>305</v>
      </c>
    </row>
    <row r="315" spans="1:15" s="95" customFormat="1" ht="15">
      <c r="A315" s="96">
        <v>306</v>
      </c>
      <c r="B315" s="337" t="s">
        <v>225</v>
      </c>
      <c r="C315" s="34">
        <v>40522</v>
      </c>
      <c r="D315" s="199" t="s">
        <v>36</v>
      </c>
      <c r="E315" s="36">
        <v>127</v>
      </c>
      <c r="F315" s="36">
        <v>65</v>
      </c>
      <c r="G315" s="36">
        <v>4</v>
      </c>
      <c r="H315" s="475">
        <v>70165.5</v>
      </c>
      <c r="I315" s="474">
        <v>8841</v>
      </c>
      <c r="J315" s="118">
        <f t="shared" si="50"/>
        <v>136.01538461538462</v>
      </c>
      <c r="K315" s="200">
        <f t="shared" si="51"/>
        <v>7.9363759755683745</v>
      </c>
      <c r="L315" s="27">
        <f>1048675+809166.5+457718.5+70165.5</f>
        <v>2385725.5</v>
      </c>
      <c r="M315" s="8">
        <f>92481+73795+43350+8841</f>
        <v>218467</v>
      </c>
      <c r="N315" s="197">
        <f t="shared" si="52"/>
        <v>10.92030146429438</v>
      </c>
      <c r="O315" s="108">
        <v>306</v>
      </c>
    </row>
    <row r="316" spans="1:15" s="95" customFormat="1" ht="15">
      <c r="A316" s="96">
        <v>307</v>
      </c>
      <c r="B316" s="313" t="s">
        <v>225</v>
      </c>
      <c r="C316" s="210">
        <v>40522</v>
      </c>
      <c r="D316" s="199" t="s">
        <v>36</v>
      </c>
      <c r="E316" s="211">
        <v>127</v>
      </c>
      <c r="F316" s="211">
        <v>11</v>
      </c>
      <c r="G316" s="211">
        <v>6</v>
      </c>
      <c r="H316" s="477">
        <v>12164</v>
      </c>
      <c r="I316" s="478">
        <v>2869</v>
      </c>
      <c r="J316" s="212">
        <f t="shared" si="50"/>
        <v>260.8181818181818</v>
      </c>
      <c r="K316" s="213">
        <f t="shared" si="51"/>
        <v>4.239804810038341</v>
      </c>
      <c r="L316" s="214">
        <f>1048675+809166.5+457718.5+70165.5+7102+12164</f>
        <v>2404991.5</v>
      </c>
      <c r="M316" s="215">
        <f>92481+73795+43350+8841+1153+2869</f>
        <v>222489</v>
      </c>
      <c r="N316" s="216">
        <f t="shared" si="52"/>
        <v>10.809484963301557</v>
      </c>
      <c r="O316" s="108">
        <v>307</v>
      </c>
    </row>
    <row r="317" spans="1:15" s="95" customFormat="1" ht="15">
      <c r="A317" s="96">
        <v>308</v>
      </c>
      <c r="B317" s="313" t="s">
        <v>225</v>
      </c>
      <c r="C317" s="34">
        <v>40522</v>
      </c>
      <c r="D317" s="199" t="s">
        <v>36</v>
      </c>
      <c r="E317" s="36">
        <v>127</v>
      </c>
      <c r="F317" s="36">
        <v>8</v>
      </c>
      <c r="G317" s="36">
        <v>8</v>
      </c>
      <c r="H317" s="473">
        <v>11777.5</v>
      </c>
      <c r="I317" s="474">
        <v>2831</v>
      </c>
      <c r="J317" s="118">
        <f t="shared" si="50"/>
        <v>353.875</v>
      </c>
      <c r="K317" s="195">
        <f t="shared" si="51"/>
        <v>4.160190745319675</v>
      </c>
      <c r="L317" s="9">
        <f>1048675+809166.5+457718.5+70165.5+7102+12164+8619.5+11777.5</f>
        <v>2425388.5</v>
      </c>
      <c r="M317" s="8">
        <f>92481+73795+43350+8841+1153+2869+1615+2831</f>
        <v>226935</v>
      </c>
      <c r="N317" s="197">
        <f t="shared" si="52"/>
        <v>10.68759116046445</v>
      </c>
      <c r="O317" s="108">
        <v>308</v>
      </c>
    </row>
    <row r="318" spans="1:15" s="95" customFormat="1" ht="15">
      <c r="A318" s="96">
        <v>309</v>
      </c>
      <c r="B318" s="217" t="s">
        <v>225</v>
      </c>
      <c r="C318" s="202">
        <v>40522</v>
      </c>
      <c r="D318" s="199" t="s">
        <v>36</v>
      </c>
      <c r="E318" s="201">
        <v>127</v>
      </c>
      <c r="F318" s="201">
        <v>10</v>
      </c>
      <c r="G318" s="201">
        <v>11</v>
      </c>
      <c r="H318" s="473">
        <v>10420.5</v>
      </c>
      <c r="I318" s="474">
        <v>2477</v>
      </c>
      <c r="J318" s="118">
        <f t="shared" si="50"/>
        <v>247.7</v>
      </c>
      <c r="K318" s="195">
        <f t="shared" si="51"/>
        <v>4.206903512313282</v>
      </c>
      <c r="L318" s="9">
        <f>1048675+809166.5+457718.5+70165.5+7102+12164+8619.5+11777.5+6559.5+3338.5+10420.5</f>
        <v>2445707</v>
      </c>
      <c r="M318" s="8">
        <f>92481+73795+43350+8841+1153+2869+1615+2831+1620+630+2477</f>
        <v>231662</v>
      </c>
      <c r="N318" s="197">
        <f t="shared" si="52"/>
        <v>10.557221296544103</v>
      </c>
      <c r="O318" s="108">
        <v>309</v>
      </c>
    </row>
    <row r="319" spans="1:15" s="95" customFormat="1" ht="15">
      <c r="A319" s="96">
        <v>310</v>
      </c>
      <c r="B319" s="337" t="s">
        <v>225</v>
      </c>
      <c r="C319" s="34">
        <v>40522</v>
      </c>
      <c r="D319" s="199" t="s">
        <v>36</v>
      </c>
      <c r="E319" s="36">
        <v>127</v>
      </c>
      <c r="F319" s="36">
        <v>10</v>
      </c>
      <c r="G319" s="36">
        <v>7</v>
      </c>
      <c r="H319" s="473">
        <v>8619.5</v>
      </c>
      <c r="I319" s="474">
        <v>1615</v>
      </c>
      <c r="J319" s="118">
        <f t="shared" si="50"/>
        <v>161.5</v>
      </c>
      <c r="K319" s="195">
        <f t="shared" si="51"/>
        <v>5.337151702786378</v>
      </c>
      <c r="L319" s="9">
        <f>1048675+809166.5+457718.5+70165.5+7102+12164+8619.5</f>
        <v>2413611</v>
      </c>
      <c r="M319" s="8">
        <f>92481+73795+43350+8841+1153+2869+1615</f>
        <v>224104</v>
      </c>
      <c r="N319" s="197">
        <f t="shared" si="52"/>
        <v>10.770048727376576</v>
      </c>
      <c r="O319" s="108">
        <v>310</v>
      </c>
    </row>
    <row r="320" spans="1:15" s="95" customFormat="1" ht="15">
      <c r="A320" s="96">
        <v>311</v>
      </c>
      <c r="B320" s="313" t="s">
        <v>225</v>
      </c>
      <c r="C320" s="34">
        <v>40522</v>
      </c>
      <c r="D320" s="199" t="s">
        <v>36</v>
      </c>
      <c r="E320" s="36">
        <v>127</v>
      </c>
      <c r="F320" s="36">
        <v>10</v>
      </c>
      <c r="G320" s="36">
        <v>5</v>
      </c>
      <c r="H320" s="473">
        <v>7102</v>
      </c>
      <c r="I320" s="474">
        <v>1153</v>
      </c>
      <c r="J320" s="118">
        <f t="shared" si="50"/>
        <v>115.3</v>
      </c>
      <c r="K320" s="195">
        <f t="shared" si="51"/>
        <v>6.159583694709454</v>
      </c>
      <c r="L320" s="9">
        <f>1048675+809166.5+457718.5+70165.5+7102</f>
        <v>2392827.5</v>
      </c>
      <c r="M320" s="8">
        <f>92481+73795+43350+8841+1153</f>
        <v>219620</v>
      </c>
      <c r="N320" s="197">
        <f t="shared" si="52"/>
        <v>10.8953078043894</v>
      </c>
      <c r="O320" s="108">
        <v>311</v>
      </c>
    </row>
    <row r="321" spans="1:15" s="95" customFormat="1" ht="15">
      <c r="A321" s="96">
        <v>312</v>
      </c>
      <c r="B321" s="217" t="s">
        <v>225</v>
      </c>
      <c r="C321" s="34">
        <v>40522</v>
      </c>
      <c r="D321" s="199" t="s">
        <v>36</v>
      </c>
      <c r="E321" s="201">
        <v>127</v>
      </c>
      <c r="F321" s="201">
        <v>5</v>
      </c>
      <c r="G321" s="201">
        <v>9</v>
      </c>
      <c r="H321" s="473">
        <v>6559.5</v>
      </c>
      <c r="I321" s="474">
        <v>1620</v>
      </c>
      <c r="J321" s="118">
        <f t="shared" si="50"/>
        <v>324</v>
      </c>
      <c r="K321" s="195">
        <f t="shared" si="51"/>
        <v>4.049074074074074</v>
      </c>
      <c r="L321" s="9">
        <f>1048675+809166.5+457718.5+70165.5+7102+12164+8619.5+11777.5+6559.5</f>
        <v>2431948</v>
      </c>
      <c r="M321" s="8">
        <f>92481+73795+43350+8841+1153+2869+1615+2831+1620</f>
        <v>228555</v>
      </c>
      <c r="N321" s="197">
        <f t="shared" si="52"/>
        <v>10.640537288617619</v>
      </c>
      <c r="O321" s="108">
        <v>312</v>
      </c>
    </row>
    <row r="322" spans="1:15" s="95" customFormat="1" ht="15">
      <c r="A322" s="96">
        <v>313</v>
      </c>
      <c r="B322" s="313" t="s">
        <v>225</v>
      </c>
      <c r="C322" s="34">
        <v>40522</v>
      </c>
      <c r="D322" s="31" t="s">
        <v>36</v>
      </c>
      <c r="E322" s="36">
        <v>127</v>
      </c>
      <c r="F322" s="36">
        <v>4</v>
      </c>
      <c r="G322" s="36">
        <v>19</v>
      </c>
      <c r="H322" s="473">
        <v>5455</v>
      </c>
      <c r="I322" s="474">
        <v>1359</v>
      </c>
      <c r="J322" s="118">
        <f t="shared" si="50"/>
        <v>339.75</v>
      </c>
      <c r="K322" s="195">
        <f t="shared" si="51"/>
        <v>4.013980868285504</v>
      </c>
      <c r="L322" s="9">
        <f>1048675+809166.5+457718.5+70165.5+7102+12164+8619.5+11777.5+6559.5+3338.5+10420.5+3303+3205+2076+1722.5+314+264+550+5455</f>
        <v>2462596.5</v>
      </c>
      <c r="M322" s="8">
        <f>92481+73795+43350+8841+1153+2869+1615+2831+1620+630+2477+726+513+481+318+38+33+104+1359</f>
        <v>235234</v>
      </c>
      <c r="N322" s="197">
        <f t="shared" si="52"/>
        <v>10.468709880374435</v>
      </c>
      <c r="O322" s="108">
        <v>313</v>
      </c>
    </row>
    <row r="323" spans="1:15" s="95" customFormat="1" ht="15">
      <c r="A323" s="96">
        <v>314</v>
      </c>
      <c r="B323" s="338" t="s">
        <v>225</v>
      </c>
      <c r="C323" s="210">
        <v>40522</v>
      </c>
      <c r="D323" s="199" t="s">
        <v>36</v>
      </c>
      <c r="E323" s="211">
        <v>127</v>
      </c>
      <c r="F323" s="211">
        <v>5</v>
      </c>
      <c r="G323" s="211">
        <v>10</v>
      </c>
      <c r="H323" s="477">
        <v>3338.5</v>
      </c>
      <c r="I323" s="478">
        <v>630</v>
      </c>
      <c r="J323" s="212">
        <f t="shared" si="50"/>
        <v>126</v>
      </c>
      <c r="K323" s="213">
        <f t="shared" si="51"/>
        <v>5.299206349206349</v>
      </c>
      <c r="L323" s="214">
        <f>1048675+809166.5+457718.5+70165.5+7102+12164+8619.5+11777.5+6559.5+3338.5</f>
        <v>2435286.5</v>
      </c>
      <c r="M323" s="215">
        <f>92481+73795+43350+8841+1153+2869+1615+2831+1620+630</f>
        <v>229185</v>
      </c>
      <c r="N323" s="216">
        <f t="shared" si="52"/>
        <v>10.625854658900016</v>
      </c>
      <c r="O323" s="108">
        <v>314</v>
      </c>
    </row>
    <row r="324" spans="1:15" s="95" customFormat="1" ht="15">
      <c r="A324" s="96">
        <v>315</v>
      </c>
      <c r="B324" s="217" t="s">
        <v>225</v>
      </c>
      <c r="C324" s="202">
        <v>40522</v>
      </c>
      <c r="D324" s="199" t="s">
        <v>36</v>
      </c>
      <c r="E324" s="201">
        <v>127</v>
      </c>
      <c r="F324" s="201">
        <v>6</v>
      </c>
      <c r="G324" s="201">
        <v>12</v>
      </c>
      <c r="H324" s="475">
        <v>3303</v>
      </c>
      <c r="I324" s="476">
        <v>726</v>
      </c>
      <c r="J324" s="203">
        <f t="shared" si="50"/>
        <v>121</v>
      </c>
      <c r="K324" s="200">
        <f t="shared" si="51"/>
        <v>4.549586776859504</v>
      </c>
      <c r="L324" s="27">
        <f>1048675+809166.5+457718.5+70165.5+7102+12164+8619.5+11777.5+6559.5+3338.5+10420.5+3303</f>
        <v>2449010</v>
      </c>
      <c r="M324" s="24">
        <f>92481+73795+43350+8841+1153+2869+1615+2831+1620+630+2477+726</f>
        <v>232388</v>
      </c>
      <c r="N324" s="197">
        <f t="shared" si="52"/>
        <v>10.538452932165171</v>
      </c>
      <c r="O324" s="108">
        <v>315</v>
      </c>
    </row>
    <row r="325" spans="1:15" s="95" customFormat="1" ht="15">
      <c r="A325" s="96">
        <v>316</v>
      </c>
      <c r="B325" s="313" t="s">
        <v>225</v>
      </c>
      <c r="C325" s="34">
        <v>40522</v>
      </c>
      <c r="D325" s="31" t="s">
        <v>36</v>
      </c>
      <c r="E325" s="36">
        <v>127</v>
      </c>
      <c r="F325" s="36">
        <v>5</v>
      </c>
      <c r="G325" s="36">
        <v>13</v>
      </c>
      <c r="H325" s="473">
        <v>3205</v>
      </c>
      <c r="I325" s="474">
        <v>513</v>
      </c>
      <c r="J325" s="118">
        <f t="shared" si="50"/>
        <v>102.6</v>
      </c>
      <c r="K325" s="195">
        <f t="shared" si="51"/>
        <v>6.247563352826511</v>
      </c>
      <c r="L325" s="9">
        <f>1048675+809166.5+457718.5+70165.5+7102+12164+8619.5+11777.5+6559.5+3338.5+10420.5+3303+3205</f>
        <v>2452215</v>
      </c>
      <c r="M325" s="8">
        <f>92481+73795+43350+8841+1153+2869+1615+2831+1620+630+2477+726+513</f>
        <v>232901</v>
      </c>
      <c r="N325" s="197">
        <f t="shared" si="52"/>
        <v>10.529001592951511</v>
      </c>
      <c r="O325" s="108">
        <v>316</v>
      </c>
    </row>
    <row r="326" spans="1:15" s="95" customFormat="1" ht="15">
      <c r="A326" s="96">
        <v>317</v>
      </c>
      <c r="B326" s="313" t="s">
        <v>225</v>
      </c>
      <c r="C326" s="34">
        <v>40522</v>
      </c>
      <c r="D326" s="31" t="s">
        <v>36</v>
      </c>
      <c r="E326" s="36">
        <v>127</v>
      </c>
      <c r="F326" s="36">
        <v>2</v>
      </c>
      <c r="G326" s="36">
        <v>14</v>
      </c>
      <c r="H326" s="473">
        <v>2076</v>
      </c>
      <c r="I326" s="474">
        <v>481</v>
      </c>
      <c r="J326" s="118">
        <f t="shared" si="50"/>
        <v>240.5</v>
      </c>
      <c r="K326" s="195">
        <f t="shared" si="51"/>
        <v>4.316008316008316</v>
      </c>
      <c r="L326" s="9">
        <f>1048675+809166.5+457718.5+70165.5+7102+12164+8619.5+11777.5+6559.5+3338.5+10420.5+3303+3205+2076</f>
        <v>2454291</v>
      </c>
      <c r="M326" s="8">
        <f>92481+73795+43350+8841+1153+2869+1615+2831+1620+630+2477+726+513+481</f>
        <v>233382</v>
      </c>
      <c r="N326" s="197">
        <f t="shared" si="52"/>
        <v>10.516196621847444</v>
      </c>
      <c r="O326" s="108">
        <v>317</v>
      </c>
    </row>
    <row r="327" spans="1:15" s="95" customFormat="1" ht="15">
      <c r="A327" s="96">
        <v>318</v>
      </c>
      <c r="B327" s="313" t="s">
        <v>225</v>
      </c>
      <c r="C327" s="34">
        <v>40522</v>
      </c>
      <c r="D327" s="31" t="s">
        <v>36</v>
      </c>
      <c r="E327" s="36">
        <v>127</v>
      </c>
      <c r="F327" s="36">
        <v>2</v>
      </c>
      <c r="G327" s="36">
        <v>15</v>
      </c>
      <c r="H327" s="473">
        <v>1722.5</v>
      </c>
      <c r="I327" s="474">
        <v>318</v>
      </c>
      <c r="J327" s="118">
        <f t="shared" si="50"/>
        <v>159</v>
      </c>
      <c r="K327" s="195">
        <f t="shared" si="51"/>
        <v>5.416666666666667</v>
      </c>
      <c r="L327" s="9">
        <f>1048675+809166.5+457718.5+70165.5+7102+12164+8619.5+11777.5+6559.5+3338.5+10420.5+3303+3205+2076+1722.5</f>
        <v>2456013.5</v>
      </c>
      <c r="M327" s="8">
        <f>92481+73795+43350+8841+1153+2869+1615+2831+1620+630+2477+726+513+481+318</f>
        <v>233700</v>
      </c>
      <c r="N327" s="197">
        <f t="shared" si="52"/>
        <v>10.509257595207531</v>
      </c>
      <c r="O327" s="108">
        <v>318</v>
      </c>
    </row>
    <row r="328" spans="1:15" s="95" customFormat="1" ht="15">
      <c r="A328" s="96">
        <v>319</v>
      </c>
      <c r="B328" s="313" t="s">
        <v>225</v>
      </c>
      <c r="C328" s="34">
        <v>40522</v>
      </c>
      <c r="D328" s="31" t="s">
        <v>36</v>
      </c>
      <c r="E328" s="36">
        <v>127</v>
      </c>
      <c r="F328" s="36">
        <v>1</v>
      </c>
      <c r="G328" s="36">
        <v>18</v>
      </c>
      <c r="H328" s="473">
        <v>550</v>
      </c>
      <c r="I328" s="474">
        <v>104</v>
      </c>
      <c r="J328" s="118">
        <f t="shared" si="50"/>
        <v>104</v>
      </c>
      <c r="K328" s="195">
        <f t="shared" si="51"/>
        <v>5.288461538461538</v>
      </c>
      <c r="L328" s="9">
        <f>1048675+809166.5+457718.5+70165.5+7102+12164+8619.5+11777.5+6559.5+3338.5+10420.5+3303+3205+2076+1722.5+314+264+550</f>
        <v>2457141.5</v>
      </c>
      <c r="M328" s="8">
        <f>92481+73795+43350+8841+1153+2869+1615+2831+1620+630+2477+726+513+481+318+38+33+104</f>
        <v>233875</v>
      </c>
      <c r="N328" s="197">
        <f t="shared" si="52"/>
        <v>10.506216996258685</v>
      </c>
      <c r="O328" s="108">
        <v>319</v>
      </c>
    </row>
    <row r="329" spans="1:15" s="95" customFormat="1" ht="15">
      <c r="A329" s="96">
        <v>320</v>
      </c>
      <c r="B329" s="217" t="s">
        <v>225</v>
      </c>
      <c r="C329" s="32">
        <v>40522</v>
      </c>
      <c r="D329" s="199" t="s">
        <v>160</v>
      </c>
      <c r="E329" s="201">
        <v>127</v>
      </c>
      <c r="F329" s="201">
        <v>1</v>
      </c>
      <c r="G329" s="201">
        <v>16</v>
      </c>
      <c r="H329" s="473">
        <v>314</v>
      </c>
      <c r="I329" s="474">
        <v>38</v>
      </c>
      <c r="J329" s="118">
        <f t="shared" si="50"/>
        <v>38</v>
      </c>
      <c r="K329" s="218">
        <f t="shared" si="51"/>
        <v>8.263157894736842</v>
      </c>
      <c r="L329" s="9">
        <f>1048675+809166.5+457718.5+70165.5+7102+12164+8619.5+11777.5+6559.5+3338.5+10420.5+3303+3205+2076+1722.5+314</f>
        <v>2456327.5</v>
      </c>
      <c r="M329" s="8">
        <f>92481+73795+43350+8841+1153+2869+1615+2831+1620+630+2477+726+513+481+318+38</f>
        <v>233738</v>
      </c>
      <c r="N329" s="197">
        <f t="shared" si="52"/>
        <v>10.508892435119664</v>
      </c>
      <c r="O329" s="108">
        <v>320</v>
      </c>
    </row>
    <row r="330" spans="1:15" s="95" customFormat="1" ht="15">
      <c r="A330" s="96">
        <v>321</v>
      </c>
      <c r="B330" s="338" t="s">
        <v>225</v>
      </c>
      <c r="C330" s="210">
        <v>40522</v>
      </c>
      <c r="D330" s="204" t="s">
        <v>36</v>
      </c>
      <c r="E330" s="211">
        <v>127</v>
      </c>
      <c r="F330" s="211">
        <v>1</v>
      </c>
      <c r="G330" s="211">
        <v>17</v>
      </c>
      <c r="H330" s="477">
        <v>264</v>
      </c>
      <c r="I330" s="478">
        <v>33</v>
      </c>
      <c r="J330" s="212">
        <f t="shared" si="50"/>
        <v>33</v>
      </c>
      <c r="K330" s="213">
        <f t="shared" si="51"/>
        <v>8</v>
      </c>
      <c r="L330" s="214">
        <f>1048675+809166.5+457718.5+70165.5+7102+12164+8619.5+11777.5+6559.5+3338.5+10420.5+3303+3205+2076+1722.5+314+264</f>
        <v>2456591.5</v>
      </c>
      <c r="M330" s="215">
        <f>92481+73795+43350+8841+1153+2869+1615+2831+1620+630+2477+726+513+481+318+38+33</f>
        <v>233771</v>
      </c>
      <c r="N330" s="216">
        <f t="shared" si="52"/>
        <v>10.5085382703586</v>
      </c>
      <c r="O330" s="108">
        <v>321</v>
      </c>
    </row>
    <row r="331" spans="1:15" s="95" customFormat="1" ht="15">
      <c r="A331" s="96">
        <v>322</v>
      </c>
      <c r="B331" s="190" t="s">
        <v>226</v>
      </c>
      <c r="C331" s="34">
        <v>40151</v>
      </c>
      <c r="D331" s="31" t="s">
        <v>36</v>
      </c>
      <c r="E331" s="36">
        <v>2</v>
      </c>
      <c r="F331" s="36">
        <v>1</v>
      </c>
      <c r="G331" s="36">
        <v>10</v>
      </c>
      <c r="H331" s="473">
        <v>2138.5</v>
      </c>
      <c r="I331" s="474">
        <v>534</v>
      </c>
      <c r="J331" s="118">
        <f t="shared" si="50"/>
        <v>534</v>
      </c>
      <c r="K331" s="195">
        <f t="shared" si="51"/>
        <v>4.004681647940075</v>
      </c>
      <c r="L331" s="9">
        <f>14952+6112+2196+2975+2853+674+1006+530+2139+2138.5</f>
        <v>35575.5</v>
      </c>
      <c r="M331" s="8">
        <f>1468+666+254+478+502+81+130+107+535+534</f>
        <v>4755</v>
      </c>
      <c r="N331" s="197">
        <f t="shared" si="52"/>
        <v>7.481703470031546</v>
      </c>
      <c r="O331" s="108">
        <v>322</v>
      </c>
    </row>
    <row r="332" spans="1:15" s="95" customFormat="1" ht="15">
      <c r="A332" s="96">
        <v>325</v>
      </c>
      <c r="B332" s="209" t="s">
        <v>227</v>
      </c>
      <c r="C332" s="34">
        <v>40529</v>
      </c>
      <c r="D332" s="199" t="s">
        <v>36</v>
      </c>
      <c r="E332" s="36">
        <v>27</v>
      </c>
      <c r="F332" s="36">
        <v>11</v>
      </c>
      <c r="G332" s="36">
        <v>3</v>
      </c>
      <c r="H332" s="475">
        <v>7073.5</v>
      </c>
      <c r="I332" s="474">
        <v>920</v>
      </c>
      <c r="J332" s="118">
        <f t="shared" si="50"/>
        <v>83.63636363636364</v>
      </c>
      <c r="K332" s="200">
        <f t="shared" si="51"/>
        <v>7.688586956521739</v>
      </c>
      <c r="L332" s="27">
        <f>68045+25663+7073.5</f>
        <v>100781.5</v>
      </c>
      <c r="M332" s="8">
        <f>5442+2277+920</f>
        <v>8639</v>
      </c>
      <c r="N332" s="197">
        <f t="shared" si="52"/>
        <v>11.665875680055562</v>
      </c>
      <c r="O332" s="108">
        <v>325</v>
      </c>
    </row>
    <row r="333" spans="1:15" s="95" customFormat="1" ht="15">
      <c r="A333" s="96">
        <v>326</v>
      </c>
      <c r="B333" s="209" t="s">
        <v>227</v>
      </c>
      <c r="C333" s="210">
        <v>40529</v>
      </c>
      <c r="D333" s="199" t="s">
        <v>36</v>
      </c>
      <c r="E333" s="211">
        <v>27</v>
      </c>
      <c r="F333" s="211">
        <v>4</v>
      </c>
      <c r="G333" s="211">
        <v>4</v>
      </c>
      <c r="H333" s="473">
        <v>5233</v>
      </c>
      <c r="I333" s="474">
        <v>1185</v>
      </c>
      <c r="J333" s="118">
        <f t="shared" si="50"/>
        <v>296.25</v>
      </c>
      <c r="K333" s="195">
        <f t="shared" si="51"/>
        <v>4.4160337552742615</v>
      </c>
      <c r="L333" s="9">
        <f>68045+25663+7073.5+5233</f>
        <v>106014.5</v>
      </c>
      <c r="M333" s="8">
        <f>5442+2277+920+1185</f>
        <v>9824</v>
      </c>
      <c r="N333" s="197">
        <f t="shared" si="52"/>
        <v>10.79137825732899</v>
      </c>
      <c r="O333" s="108">
        <v>326</v>
      </c>
    </row>
    <row r="334" spans="1:15" s="95" customFormat="1" ht="15">
      <c r="A334" s="96">
        <v>327</v>
      </c>
      <c r="B334" s="198" t="s">
        <v>227</v>
      </c>
      <c r="C334" s="34">
        <v>40529</v>
      </c>
      <c r="D334" s="199" t="s">
        <v>36</v>
      </c>
      <c r="E334" s="36">
        <v>27</v>
      </c>
      <c r="F334" s="36">
        <v>2</v>
      </c>
      <c r="G334" s="36">
        <v>5</v>
      </c>
      <c r="H334" s="473">
        <v>3859</v>
      </c>
      <c r="I334" s="474">
        <v>711</v>
      </c>
      <c r="J334" s="118">
        <f t="shared" si="50"/>
        <v>355.5</v>
      </c>
      <c r="K334" s="195">
        <f t="shared" si="51"/>
        <v>5.427566807313643</v>
      </c>
      <c r="L334" s="9">
        <f>68045+25663+7073.5+5233+3859</f>
        <v>109873.5</v>
      </c>
      <c r="M334" s="8">
        <f>5442+2277+920+1185+711</f>
        <v>10535</v>
      </c>
      <c r="N334" s="197">
        <f t="shared" si="52"/>
        <v>10.42937826293308</v>
      </c>
      <c r="O334" s="108">
        <v>327</v>
      </c>
    </row>
    <row r="335" spans="1:15" s="95" customFormat="1" ht="15">
      <c r="A335" s="96">
        <v>328</v>
      </c>
      <c r="B335" s="190" t="s">
        <v>227</v>
      </c>
      <c r="C335" s="34">
        <v>40529</v>
      </c>
      <c r="D335" s="31" t="s">
        <v>36</v>
      </c>
      <c r="E335" s="36">
        <v>27</v>
      </c>
      <c r="F335" s="36">
        <v>1</v>
      </c>
      <c r="G335" s="36">
        <v>8</v>
      </c>
      <c r="H335" s="473">
        <v>1497</v>
      </c>
      <c r="I335" s="474">
        <v>218</v>
      </c>
      <c r="J335" s="118">
        <f t="shared" si="50"/>
        <v>218</v>
      </c>
      <c r="K335" s="195">
        <f t="shared" si="51"/>
        <v>6.86697247706422</v>
      </c>
      <c r="L335" s="9">
        <f>68045+25663+7073.5+5233+3859+470+100+1497</f>
        <v>111940.5</v>
      </c>
      <c r="M335" s="8">
        <f>5442+2277+920+1185+711+78+13+218</f>
        <v>10844</v>
      </c>
      <c r="N335" s="197">
        <f t="shared" si="52"/>
        <v>10.322805237919587</v>
      </c>
      <c r="O335" s="108">
        <v>328</v>
      </c>
    </row>
    <row r="336" spans="1:15" s="95" customFormat="1" ht="15">
      <c r="A336" s="96">
        <v>329</v>
      </c>
      <c r="B336" s="209" t="s">
        <v>227</v>
      </c>
      <c r="C336" s="210">
        <v>40529</v>
      </c>
      <c r="D336" s="199" t="s">
        <v>36</v>
      </c>
      <c r="E336" s="211">
        <v>27</v>
      </c>
      <c r="F336" s="211">
        <v>1</v>
      </c>
      <c r="G336" s="211">
        <v>6</v>
      </c>
      <c r="H336" s="473">
        <v>470</v>
      </c>
      <c r="I336" s="474">
        <v>78</v>
      </c>
      <c r="J336" s="118">
        <f t="shared" si="50"/>
        <v>78</v>
      </c>
      <c r="K336" s="195">
        <f t="shared" si="51"/>
        <v>6.0256410256410255</v>
      </c>
      <c r="L336" s="9">
        <f>68045+25663+7073.5+5233+3859+470</f>
        <v>110343.5</v>
      </c>
      <c r="M336" s="8">
        <f>5442+2277+920+1185+711+78</f>
        <v>10613</v>
      </c>
      <c r="N336" s="197">
        <f t="shared" si="52"/>
        <v>10.397013097145011</v>
      </c>
      <c r="O336" s="108">
        <v>329</v>
      </c>
    </row>
    <row r="337" spans="1:15" s="95" customFormat="1" ht="15">
      <c r="A337" s="96">
        <v>330</v>
      </c>
      <c r="B337" s="217" t="s">
        <v>227</v>
      </c>
      <c r="C337" s="202">
        <v>40529</v>
      </c>
      <c r="D337" s="199" t="s">
        <v>36</v>
      </c>
      <c r="E337" s="201">
        <v>27</v>
      </c>
      <c r="F337" s="201">
        <v>1</v>
      </c>
      <c r="G337" s="201">
        <v>7</v>
      </c>
      <c r="H337" s="473">
        <v>100</v>
      </c>
      <c r="I337" s="474">
        <v>13</v>
      </c>
      <c r="J337" s="118">
        <f t="shared" si="50"/>
        <v>13</v>
      </c>
      <c r="K337" s="195">
        <f t="shared" si="51"/>
        <v>7.6923076923076925</v>
      </c>
      <c r="L337" s="9">
        <f>68045+25663+7073.5+5233+3859+470+100</f>
        <v>110443.5</v>
      </c>
      <c r="M337" s="8">
        <f>5442+2277+920+1185+711+78+13</f>
        <v>10626</v>
      </c>
      <c r="N337" s="197">
        <f t="shared" si="52"/>
        <v>10.393704121964992</v>
      </c>
      <c r="O337" s="108">
        <v>330</v>
      </c>
    </row>
    <row r="338" spans="1:15" s="95" customFormat="1" ht="15">
      <c r="A338" s="96">
        <v>331</v>
      </c>
      <c r="B338" s="223" t="s">
        <v>228</v>
      </c>
      <c r="C338" s="2">
        <v>40417</v>
      </c>
      <c r="D338" s="16" t="s">
        <v>10</v>
      </c>
      <c r="E338" s="4">
        <v>119</v>
      </c>
      <c r="F338" s="4">
        <v>1</v>
      </c>
      <c r="G338" s="4">
        <v>15</v>
      </c>
      <c r="H338" s="479">
        <v>941</v>
      </c>
      <c r="I338" s="480">
        <v>843</v>
      </c>
      <c r="J338" s="115">
        <f>I338/F338</f>
        <v>843</v>
      </c>
      <c r="K338" s="208">
        <f t="shared" si="51"/>
        <v>1.1162514827995256</v>
      </c>
      <c r="L338" s="42">
        <v>859853</v>
      </c>
      <c r="M338" s="47">
        <v>97516</v>
      </c>
      <c r="N338" s="220">
        <f aca="true" t="shared" si="53" ref="N338:N351">+L338/M338</f>
        <v>8.817558144304524</v>
      </c>
      <c r="O338" s="108">
        <v>331</v>
      </c>
    </row>
    <row r="339" spans="1:15" s="95" customFormat="1" ht="15">
      <c r="A339" s="96">
        <v>333</v>
      </c>
      <c r="B339" s="253" t="s">
        <v>45</v>
      </c>
      <c r="C339" s="2">
        <v>40480</v>
      </c>
      <c r="D339" s="26" t="s">
        <v>8</v>
      </c>
      <c r="E339" s="4">
        <v>21</v>
      </c>
      <c r="F339" s="4">
        <v>12</v>
      </c>
      <c r="G339" s="4">
        <v>10</v>
      </c>
      <c r="H339" s="501">
        <v>8985</v>
      </c>
      <c r="I339" s="500">
        <v>1356</v>
      </c>
      <c r="J339" s="102">
        <f>+I339/F339</f>
        <v>113</v>
      </c>
      <c r="K339" s="229">
        <f>+H339/I339</f>
        <v>6.626106194690266</v>
      </c>
      <c r="L339" s="21">
        <v>295457</v>
      </c>
      <c r="M339" s="7">
        <v>26551</v>
      </c>
      <c r="N339" s="228">
        <f t="shared" si="53"/>
        <v>11.127904787013671</v>
      </c>
      <c r="O339" s="108">
        <v>333</v>
      </c>
    </row>
    <row r="340" spans="1:15" s="95" customFormat="1" ht="15">
      <c r="A340" s="96">
        <v>334</v>
      </c>
      <c r="B340" s="223" t="s">
        <v>45</v>
      </c>
      <c r="C340" s="2">
        <v>40480</v>
      </c>
      <c r="D340" s="19" t="s">
        <v>8</v>
      </c>
      <c r="E340" s="4">
        <v>21</v>
      </c>
      <c r="F340" s="4">
        <v>9</v>
      </c>
      <c r="G340" s="4">
        <v>21</v>
      </c>
      <c r="H340" s="499">
        <v>6650</v>
      </c>
      <c r="I340" s="500">
        <v>974</v>
      </c>
      <c r="J340" s="115">
        <f>I340/F340</f>
        <v>108.22222222222223</v>
      </c>
      <c r="K340" s="208">
        <f>H340/I340</f>
        <v>6.827515400410678</v>
      </c>
      <c r="L340" s="6">
        <v>311586</v>
      </c>
      <c r="M340" s="7">
        <v>29016</v>
      </c>
      <c r="N340" s="228">
        <f t="shared" si="53"/>
        <v>10.73842018196857</v>
      </c>
      <c r="O340" s="108">
        <v>334</v>
      </c>
    </row>
    <row r="341" spans="1:15" s="95" customFormat="1" ht="15">
      <c r="A341" s="96">
        <v>335</v>
      </c>
      <c r="B341" s="223" t="s">
        <v>45</v>
      </c>
      <c r="C341" s="2">
        <v>40480</v>
      </c>
      <c r="D341" s="19" t="s">
        <v>8</v>
      </c>
      <c r="E341" s="4">
        <v>21</v>
      </c>
      <c r="F341" s="4">
        <v>2</v>
      </c>
      <c r="G341" s="4">
        <v>18</v>
      </c>
      <c r="H341" s="499">
        <v>3250</v>
      </c>
      <c r="I341" s="500">
        <v>468</v>
      </c>
      <c r="J341" s="102">
        <f>+I341/F341</f>
        <v>234</v>
      </c>
      <c r="K341" s="227">
        <f>+H341/I341</f>
        <v>6.944444444444445</v>
      </c>
      <c r="L341" s="6">
        <v>309476</v>
      </c>
      <c r="M341" s="7">
        <v>28704</v>
      </c>
      <c r="N341" s="228">
        <f t="shared" si="53"/>
        <v>10.781633221850614</v>
      </c>
      <c r="O341" s="108">
        <v>335</v>
      </c>
    </row>
    <row r="342" spans="1:15" s="95" customFormat="1" ht="15">
      <c r="A342" s="96">
        <v>336</v>
      </c>
      <c r="B342" s="223" t="s">
        <v>45</v>
      </c>
      <c r="C342" s="17">
        <v>40480</v>
      </c>
      <c r="D342" s="16" t="s">
        <v>8</v>
      </c>
      <c r="E342" s="4">
        <v>21</v>
      </c>
      <c r="F342" s="4">
        <v>3</v>
      </c>
      <c r="G342" s="4">
        <v>13</v>
      </c>
      <c r="H342" s="499">
        <v>2972</v>
      </c>
      <c r="I342" s="500">
        <v>535</v>
      </c>
      <c r="J342" s="102">
        <f>+I342/F342</f>
        <v>178.33333333333334</v>
      </c>
      <c r="K342" s="227">
        <f>+H342/I342</f>
        <v>5.555140186915888</v>
      </c>
      <c r="L342" s="6">
        <v>302074</v>
      </c>
      <c r="M342" s="7">
        <v>27572</v>
      </c>
      <c r="N342" s="228">
        <f t="shared" si="53"/>
        <v>10.95582474974612</v>
      </c>
      <c r="O342" s="108">
        <v>336</v>
      </c>
    </row>
    <row r="343" spans="1:15" s="95" customFormat="1" ht="15">
      <c r="A343" s="96">
        <v>337</v>
      </c>
      <c r="B343" s="223" t="s">
        <v>45</v>
      </c>
      <c r="C343" s="2">
        <v>40480</v>
      </c>
      <c r="D343" s="19" t="s">
        <v>8</v>
      </c>
      <c r="E343" s="4">
        <v>21</v>
      </c>
      <c r="F343" s="4">
        <v>2</v>
      </c>
      <c r="G343" s="4">
        <v>17</v>
      </c>
      <c r="H343" s="499">
        <v>2367</v>
      </c>
      <c r="I343" s="500">
        <v>314</v>
      </c>
      <c r="J343" s="102">
        <f>+I343/F343</f>
        <v>157</v>
      </c>
      <c r="K343" s="227">
        <f>+H343/I343</f>
        <v>7.538216560509555</v>
      </c>
      <c r="L343" s="6">
        <v>306226</v>
      </c>
      <c r="M343" s="7">
        <v>28236</v>
      </c>
      <c r="N343" s="228">
        <f t="shared" si="53"/>
        <v>10.84523303584077</v>
      </c>
      <c r="O343" s="108">
        <v>337</v>
      </c>
    </row>
    <row r="344" spans="1:15" s="95" customFormat="1" ht="15">
      <c r="A344" s="96">
        <v>338</v>
      </c>
      <c r="B344" s="346" t="s">
        <v>45</v>
      </c>
      <c r="C344" s="99">
        <v>40480</v>
      </c>
      <c r="D344" s="124" t="s">
        <v>8</v>
      </c>
      <c r="E344" s="125">
        <v>21</v>
      </c>
      <c r="F344" s="125">
        <v>3</v>
      </c>
      <c r="G344" s="125">
        <v>22</v>
      </c>
      <c r="H344" s="717">
        <v>2357</v>
      </c>
      <c r="I344" s="721">
        <v>335</v>
      </c>
      <c r="J344" s="102">
        <f>I344/F344</f>
        <v>111.66666666666667</v>
      </c>
      <c r="K344" s="103">
        <f>H344/I344</f>
        <v>7.035820895522388</v>
      </c>
      <c r="L344" s="40">
        <v>320593</v>
      </c>
      <c r="M344" s="43">
        <v>30325</v>
      </c>
      <c r="N344" s="107">
        <f t="shared" si="53"/>
        <v>10.571904369332234</v>
      </c>
      <c r="O344" s="108">
        <v>338</v>
      </c>
    </row>
    <row r="345" spans="1:17" s="95" customFormat="1" ht="15">
      <c r="A345" s="96">
        <v>339</v>
      </c>
      <c r="B345" s="223" t="s">
        <v>45</v>
      </c>
      <c r="C345" s="2">
        <v>40480</v>
      </c>
      <c r="D345" s="19" t="s">
        <v>8</v>
      </c>
      <c r="E345" s="4">
        <v>21</v>
      </c>
      <c r="F345" s="4">
        <v>1</v>
      </c>
      <c r="G345" s="4">
        <v>12</v>
      </c>
      <c r="H345" s="499">
        <v>1139</v>
      </c>
      <c r="I345" s="500">
        <v>203</v>
      </c>
      <c r="J345" s="102">
        <f aca="true" t="shared" si="54" ref="J345:J351">+I345/F345</f>
        <v>203</v>
      </c>
      <c r="K345" s="227">
        <f aca="true" t="shared" si="55" ref="K345:K351">+H345/I345</f>
        <v>5.610837438423645</v>
      </c>
      <c r="L345" s="6">
        <v>299102</v>
      </c>
      <c r="M345" s="7">
        <v>27037</v>
      </c>
      <c r="N345" s="228">
        <f t="shared" si="53"/>
        <v>11.062691866701186</v>
      </c>
      <c r="O345" s="108">
        <v>339</v>
      </c>
      <c r="Q345" s="155"/>
    </row>
    <row r="346" spans="1:15" s="95" customFormat="1" ht="15">
      <c r="A346" s="96">
        <v>340</v>
      </c>
      <c r="B346" s="223" t="s">
        <v>45</v>
      </c>
      <c r="C346" s="2">
        <v>40480</v>
      </c>
      <c r="D346" s="19" t="s">
        <v>8</v>
      </c>
      <c r="E346" s="4">
        <v>21</v>
      </c>
      <c r="F346" s="4">
        <v>2</v>
      </c>
      <c r="G346" s="4">
        <v>20</v>
      </c>
      <c r="H346" s="499">
        <v>1062</v>
      </c>
      <c r="I346" s="500">
        <v>160</v>
      </c>
      <c r="J346" s="102">
        <f t="shared" si="54"/>
        <v>80</v>
      </c>
      <c r="K346" s="227">
        <f t="shared" si="55"/>
        <v>6.6375</v>
      </c>
      <c r="L346" s="6">
        <v>311586</v>
      </c>
      <c r="M346" s="7">
        <v>29016</v>
      </c>
      <c r="N346" s="228">
        <f t="shared" si="53"/>
        <v>10.73842018196857</v>
      </c>
      <c r="O346" s="108">
        <v>340</v>
      </c>
    </row>
    <row r="347" spans="1:15" s="95" customFormat="1" ht="15">
      <c r="A347" s="96">
        <v>341</v>
      </c>
      <c r="B347" s="223" t="s">
        <v>45</v>
      </c>
      <c r="C347" s="2">
        <v>40480</v>
      </c>
      <c r="D347" s="19" t="s">
        <v>8</v>
      </c>
      <c r="E347" s="4">
        <v>21</v>
      </c>
      <c r="F347" s="4">
        <v>1</v>
      </c>
      <c r="G347" s="4">
        <v>19</v>
      </c>
      <c r="H347" s="499">
        <v>1048</v>
      </c>
      <c r="I347" s="500">
        <v>152</v>
      </c>
      <c r="J347" s="102">
        <f t="shared" si="54"/>
        <v>152</v>
      </c>
      <c r="K347" s="229">
        <f t="shared" si="55"/>
        <v>6.894736842105263</v>
      </c>
      <c r="L347" s="6">
        <v>310524</v>
      </c>
      <c r="M347" s="7">
        <v>28856</v>
      </c>
      <c r="N347" s="228">
        <f t="shared" si="53"/>
        <v>10.761158857776545</v>
      </c>
      <c r="O347" s="108">
        <v>341</v>
      </c>
    </row>
    <row r="348" spans="1:15" s="95" customFormat="1" ht="15">
      <c r="A348" s="96">
        <v>342</v>
      </c>
      <c r="B348" s="223" t="s">
        <v>45</v>
      </c>
      <c r="C348" s="17">
        <v>40480</v>
      </c>
      <c r="D348" s="16" t="s">
        <v>8</v>
      </c>
      <c r="E348" s="4">
        <v>21</v>
      </c>
      <c r="F348" s="4">
        <v>1</v>
      </c>
      <c r="G348" s="4">
        <v>14</v>
      </c>
      <c r="H348" s="501">
        <v>1028</v>
      </c>
      <c r="I348" s="502">
        <v>201</v>
      </c>
      <c r="J348" s="284">
        <f t="shared" si="54"/>
        <v>201</v>
      </c>
      <c r="K348" s="229">
        <f t="shared" si="55"/>
        <v>5.114427860696518</v>
      </c>
      <c r="L348" s="21">
        <v>303102</v>
      </c>
      <c r="M348" s="22">
        <v>27773</v>
      </c>
      <c r="N348" s="228">
        <f t="shared" si="53"/>
        <v>10.913549130450438</v>
      </c>
      <c r="O348" s="108">
        <v>342</v>
      </c>
    </row>
    <row r="349" spans="1:15" s="95" customFormat="1" ht="15">
      <c r="A349" s="96">
        <v>343</v>
      </c>
      <c r="B349" s="223" t="s">
        <v>45</v>
      </c>
      <c r="C349" s="2">
        <v>40480</v>
      </c>
      <c r="D349" s="19" t="s">
        <v>8</v>
      </c>
      <c r="E349" s="4">
        <v>21</v>
      </c>
      <c r="F349" s="4">
        <v>1</v>
      </c>
      <c r="G349" s="4">
        <v>15</v>
      </c>
      <c r="H349" s="499">
        <v>484</v>
      </c>
      <c r="I349" s="500">
        <v>96</v>
      </c>
      <c r="J349" s="102">
        <f t="shared" si="54"/>
        <v>96</v>
      </c>
      <c r="K349" s="227">
        <f t="shared" si="55"/>
        <v>5.041666666666667</v>
      </c>
      <c r="L349" s="6">
        <v>303586</v>
      </c>
      <c r="M349" s="7">
        <v>27869</v>
      </c>
      <c r="N349" s="228">
        <f t="shared" si="53"/>
        <v>10.89332232947002</v>
      </c>
      <c r="O349" s="108">
        <v>343</v>
      </c>
    </row>
    <row r="350" spans="1:15" s="95" customFormat="1" ht="15">
      <c r="A350" s="96">
        <v>344</v>
      </c>
      <c r="B350" s="223" t="s">
        <v>45</v>
      </c>
      <c r="C350" s="2">
        <v>40480</v>
      </c>
      <c r="D350" s="19" t="s">
        <v>8</v>
      </c>
      <c r="E350" s="4">
        <v>21</v>
      </c>
      <c r="F350" s="4">
        <v>1</v>
      </c>
      <c r="G350" s="4">
        <v>16</v>
      </c>
      <c r="H350" s="499">
        <v>273</v>
      </c>
      <c r="I350" s="500">
        <v>53</v>
      </c>
      <c r="J350" s="102">
        <f t="shared" si="54"/>
        <v>53</v>
      </c>
      <c r="K350" s="227">
        <f t="shared" si="55"/>
        <v>5.150943396226415</v>
      </c>
      <c r="L350" s="6">
        <v>303859</v>
      </c>
      <c r="M350" s="7">
        <v>27922</v>
      </c>
      <c r="N350" s="228">
        <f t="shared" si="53"/>
        <v>10.882422462574315</v>
      </c>
      <c r="O350" s="108">
        <v>344</v>
      </c>
    </row>
    <row r="351" spans="1:15" s="95" customFormat="1" ht="15">
      <c r="A351" s="96">
        <v>345</v>
      </c>
      <c r="B351" s="223" t="s">
        <v>229</v>
      </c>
      <c r="C351" s="2">
        <v>37193</v>
      </c>
      <c r="D351" s="16" t="s">
        <v>8</v>
      </c>
      <c r="E351" s="4">
        <v>21</v>
      </c>
      <c r="F351" s="4">
        <v>1</v>
      </c>
      <c r="G351" s="4">
        <v>11</v>
      </c>
      <c r="H351" s="499">
        <v>2506</v>
      </c>
      <c r="I351" s="500">
        <v>283</v>
      </c>
      <c r="J351" s="102">
        <f t="shared" si="54"/>
        <v>283</v>
      </c>
      <c r="K351" s="227">
        <f t="shared" si="55"/>
        <v>8.855123674911662</v>
      </c>
      <c r="L351" s="6">
        <v>297963</v>
      </c>
      <c r="M351" s="7">
        <v>26834</v>
      </c>
      <c r="N351" s="228">
        <f t="shared" si="53"/>
        <v>11.103935305955131</v>
      </c>
      <c r="O351" s="108">
        <v>345</v>
      </c>
    </row>
    <row r="352" spans="1:15" s="95" customFormat="1" ht="15">
      <c r="A352" s="96">
        <v>346</v>
      </c>
      <c r="B352" s="226" t="s">
        <v>230</v>
      </c>
      <c r="C352" s="191">
        <v>39920</v>
      </c>
      <c r="D352" s="236" t="s">
        <v>36</v>
      </c>
      <c r="E352" s="192">
        <v>133</v>
      </c>
      <c r="F352" s="192">
        <v>1</v>
      </c>
      <c r="G352" s="192">
        <v>24</v>
      </c>
      <c r="H352" s="473">
        <v>14</v>
      </c>
      <c r="I352" s="474">
        <v>7</v>
      </c>
      <c r="J352" s="118">
        <f>(I352/F352)</f>
        <v>7</v>
      </c>
      <c r="K352" s="195">
        <f>H352/I352</f>
        <v>2</v>
      </c>
      <c r="L352" s="9">
        <f>814797.5+158602+44526+7105.5+1443+731+330+3273+1356+388+2317+2290.5+138+112.5+37+1136+51+98+1424+1780+1780+2020+4040+14</f>
        <v>1049790</v>
      </c>
      <c r="M352" s="8">
        <f>100614+19257+6285+1176+234+205+67+783+301+48+521+500+23+18+9+170+23+30+356+445+445+505+1010+7</f>
        <v>133032</v>
      </c>
      <c r="N352" s="197">
        <f>L352/M352</f>
        <v>7.891259245895724</v>
      </c>
      <c r="O352" s="108">
        <v>346</v>
      </c>
    </row>
    <row r="353" spans="1:15" s="95" customFormat="1" ht="15">
      <c r="A353" s="96">
        <v>347</v>
      </c>
      <c r="B353" s="219" t="s">
        <v>231</v>
      </c>
      <c r="C353" s="2">
        <v>40473</v>
      </c>
      <c r="D353" s="18" t="s">
        <v>10</v>
      </c>
      <c r="E353" s="3">
        <v>74</v>
      </c>
      <c r="F353" s="3">
        <v>1</v>
      </c>
      <c r="G353" s="3">
        <v>9</v>
      </c>
      <c r="H353" s="479">
        <v>3572</v>
      </c>
      <c r="I353" s="480">
        <v>893</v>
      </c>
      <c r="J353" s="115">
        <f>I353/F353</f>
        <v>893</v>
      </c>
      <c r="K353" s="208">
        <f>H353/I353</f>
        <v>4</v>
      </c>
      <c r="L353" s="42">
        <v>981252</v>
      </c>
      <c r="M353" s="47">
        <v>84379</v>
      </c>
      <c r="N353" s="220">
        <f>+L353/M353</f>
        <v>11.62910202775572</v>
      </c>
      <c r="O353" s="108">
        <v>347</v>
      </c>
    </row>
    <row r="354" spans="1:15" s="95" customFormat="1" ht="15">
      <c r="A354" s="96">
        <v>348</v>
      </c>
      <c r="B354" s="219" t="s">
        <v>231</v>
      </c>
      <c r="C354" s="2">
        <v>40473</v>
      </c>
      <c r="D354" s="18" t="s">
        <v>10</v>
      </c>
      <c r="E354" s="3">
        <v>74</v>
      </c>
      <c r="F354" s="3">
        <v>1</v>
      </c>
      <c r="G354" s="3">
        <v>11</v>
      </c>
      <c r="H354" s="479">
        <v>1190</v>
      </c>
      <c r="I354" s="480">
        <v>238</v>
      </c>
      <c r="J354" s="115">
        <f>I354/F354</f>
        <v>238</v>
      </c>
      <c r="K354" s="208">
        <f>H354/I354</f>
        <v>5</v>
      </c>
      <c r="L354" s="42">
        <v>983217</v>
      </c>
      <c r="M354" s="47">
        <v>84696</v>
      </c>
      <c r="N354" s="220">
        <f>+L354/M354</f>
        <v>11.608777274015301</v>
      </c>
      <c r="O354" s="108">
        <v>348</v>
      </c>
    </row>
    <row r="355" spans="1:15" s="95" customFormat="1" ht="15">
      <c r="A355" s="96">
        <v>349</v>
      </c>
      <c r="B355" s="219" t="s">
        <v>231</v>
      </c>
      <c r="C355" s="2">
        <v>40473</v>
      </c>
      <c r="D355" s="18" t="s">
        <v>10</v>
      </c>
      <c r="E355" s="3">
        <v>74</v>
      </c>
      <c r="F355" s="3">
        <v>1</v>
      </c>
      <c r="G355" s="3">
        <v>10</v>
      </c>
      <c r="H355" s="479">
        <v>775</v>
      </c>
      <c r="I355" s="480">
        <v>79</v>
      </c>
      <c r="J355" s="115">
        <f>I355/F355</f>
        <v>79</v>
      </c>
      <c r="K355" s="208">
        <f>H355/I355</f>
        <v>9.810126582278482</v>
      </c>
      <c r="L355" s="42">
        <f>981252+775</f>
        <v>982027</v>
      </c>
      <c r="M355" s="47">
        <f>84379+79</f>
        <v>84458</v>
      </c>
      <c r="N355" s="220">
        <f>+L355/M355</f>
        <v>11.627400601482394</v>
      </c>
      <c r="O355" s="108">
        <v>349</v>
      </c>
    </row>
    <row r="356" spans="1:15" s="95" customFormat="1" ht="15">
      <c r="A356" s="96">
        <v>350</v>
      </c>
      <c r="B356" s="219" t="s">
        <v>231</v>
      </c>
      <c r="C356" s="2">
        <v>40473</v>
      </c>
      <c r="D356" s="18" t="s">
        <v>10</v>
      </c>
      <c r="E356" s="3">
        <v>74</v>
      </c>
      <c r="F356" s="3">
        <v>1</v>
      </c>
      <c r="G356" s="3">
        <v>12</v>
      </c>
      <c r="H356" s="479">
        <v>464</v>
      </c>
      <c r="I356" s="480">
        <v>380</v>
      </c>
      <c r="J356" s="115">
        <f>I356/F356</f>
        <v>380</v>
      </c>
      <c r="K356" s="208">
        <f>H356/I356</f>
        <v>1.2210526315789474</v>
      </c>
      <c r="L356" s="42">
        <v>983681</v>
      </c>
      <c r="M356" s="47">
        <v>85076</v>
      </c>
      <c r="N356" s="220">
        <f>+L356/M356</f>
        <v>11.562379519488458</v>
      </c>
      <c r="O356" s="108">
        <v>350</v>
      </c>
    </row>
    <row r="357" spans="1:15" s="95" customFormat="1" ht="15">
      <c r="A357" s="96">
        <v>351</v>
      </c>
      <c r="B357" s="219" t="s">
        <v>232</v>
      </c>
      <c r="C357" s="2">
        <v>40312</v>
      </c>
      <c r="D357" s="18" t="s">
        <v>22</v>
      </c>
      <c r="E357" s="3">
        <v>64</v>
      </c>
      <c r="F357" s="3">
        <v>1</v>
      </c>
      <c r="G357" s="3">
        <v>22</v>
      </c>
      <c r="H357" s="483">
        <v>2376</v>
      </c>
      <c r="I357" s="484">
        <v>475</v>
      </c>
      <c r="J357" s="102">
        <f>IF(H357&lt;&gt;0,I357/F357,"")</f>
        <v>475</v>
      </c>
      <c r="K357" s="227">
        <f>IF(H357&lt;&gt;0,H357/I357,"")</f>
        <v>5.002105263157895</v>
      </c>
      <c r="L357" s="40">
        <f>384993+315+150+24+2376</f>
        <v>387858</v>
      </c>
      <c r="M357" s="45">
        <f>43717+38+25+4+475</f>
        <v>44259</v>
      </c>
      <c r="N357" s="228">
        <f>IF(L357&lt;&gt;0,L357/M357,"")</f>
        <v>8.76337016200095</v>
      </c>
      <c r="O357" s="108">
        <v>351</v>
      </c>
    </row>
    <row r="358" spans="1:15" s="95" customFormat="1" ht="15">
      <c r="A358" s="96">
        <v>352</v>
      </c>
      <c r="B358" s="253" t="s">
        <v>233</v>
      </c>
      <c r="C358" s="2">
        <v>40522</v>
      </c>
      <c r="D358" s="26" t="s">
        <v>8</v>
      </c>
      <c r="E358" s="4">
        <v>110</v>
      </c>
      <c r="F358" s="4">
        <v>110</v>
      </c>
      <c r="G358" s="4">
        <v>4</v>
      </c>
      <c r="H358" s="501">
        <v>694041</v>
      </c>
      <c r="I358" s="500">
        <v>64977</v>
      </c>
      <c r="J358" s="102">
        <f>+I358/F358</f>
        <v>590.7</v>
      </c>
      <c r="K358" s="229">
        <f>+H358/I358</f>
        <v>10.681333394893578</v>
      </c>
      <c r="L358" s="21">
        <v>4602088</v>
      </c>
      <c r="M358" s="7">
        <v>434759</v>
      </c>
      <c r="N358" s="228">
        <f>+L358/M358</f>
        <v>10.5853771859812</v>
      </c>
      <c r="O358" s="108">
        <v>352</v>
      </c>
    </row>
    <row r="359" spans="1:15" s="95" customFormat="1" ht="15">
      <c r="A359" s="96">
        <v>353</v>
      </c>
      <c r="B359" s="223" t="s">
        <v>233</v>
      </c>
      <c r="C359" s="2">
        <v>40522</v>
      </c>
      <c r="D359" s="26" t="s">
        <v>8</v>
      </c>
      <c r="E359" s="4">
        <v>110</v>
      </c>
      <c r="F359" s="4">
        <v>71</v>
      </c>
      <c r="G359" s="4">
        <v>5</v>
      </c>
      <c r="H359" s="499">
        <v>224162</v>
      </c>
      <c r="I359" s="500">
        <v>19224</v>
      </c>
      <c r="J359" s="102">
        <f>+I359/F359</f>
        <v>270.76056338028167</v>
      </c>
      <c r="K359" s="227">
        <f>+H359/I359</f>
        <v>11.660528506034124</v>
      </c>
      <c r="L359" s="6">
        <v>4826250</v>
      </c>
      <c r="M359" s="7">
        <v>453983</v>
      </c>
      <c r="N359" s="228">
        <f>+L359/M359</f>
        <v>10.63090468145283</v>
      </c>
      <c r="O359" s="108">
        <v>353</v>
      </c>
    </row>
    <row r="360" spans="1:15" s="95" customFormat="1" ht="15">
      <c r="A360" s="96">
        <v>354</v>
      </c>
      <c r="B360" s="223" t="s">
        <v>233</v>
      </c>
      <c r="C360" s="2">
        <v>40522</v>
      </c>
      <c r="D360" s="16" t="s">
        <v>8</v>
      </c>
      <c r="E360" s="4">
        <v>110</v>
      </c>
      <c r="F360" s="4">
        <v>66</v>
      </c>
      <c r="G360" s="4">
        <v>6</v>
      </c>
      <c r="H360" s="499">
        <v>118638</v>
      </c>
      <c r="I360" s="500">
        <v>12477</v>
      </c>
      <c r="J360" s="102">
        <f>+I360/F360</f>
        <v>189.04545454545453</v>
      </c>
      <c r="K360" s="227">
        <f>+H360/I360</f>
        <v>9.508535705698485</v>
      </c>
      <c r="L360" s="6">
        <v>4944888</v>
      </c>
      <c r="M360" s="7">
        <v>466460</v>
      </c>
      <c r="N360" s="228">
        <f>+L360/M360</f>
        <v>10.600883248295673</v>
      </c>
      <c r="O360" s="108">
        <v>354</v>
      </c>
    </row>
    <row r="361" spans="1:15" s="95" customFormat="1" ht="15">
      <c r="A361" s="96">
        <v>355</v>
      </c>
      <c r="B361" s="253" t="s">
        <v>233</v>
      </c>
      <c r="C361" s="2">
        <v>40522</v>
      </c>
      <c r="D361" s="19" t="s">
        <v>8</v>
      </c>
      <c r="E361" s="4">
        <v>110</v>
      </c>
      <c r="F361" s="4">
        <v>32</v>
      </c>
      <c r="G361" s="4">
        <v>7</v>
      </c>
      <c r="H361" s="499">
        <v>51075</v>
      </c>
      <c r="I361" s="500">
        <v>6840</v>
      </c>
      <c r="J361" s="118">
        <f>(I361/F361)</f>
        <v>213.75</v>
      </c>
      <c r="K361" s="195">
        <f>H361/I361</f>
        <v>7.467105263157895</v>
      </c>
      <c r="L361" s="6">
        <v>4995963</v>
      </c>
      <c r="M361" s="7">
        <v>473300</v>
      </c>
      <c r="N361" s="197">
        <f>L361/M361</f>
        <v>10.55559476019438</v>
      </c>
      <c r="O361" s="108">
        <v>355</v>
      </c>
    </row>
    <row r="362" spans="1:15" s="95" customFormat="1" ht="15">
      <c r="A362" s="96">
        <v>356</v>
      </c>
      <c r="B362" s="223" t="s">
        <v>233</v>
      </c>
      <c r="C362" s="2">
        <v>40522</v>
      </c>
      <c r="D362" s="19" t="s">
        <v>8</v>
      </c>
      <c r="E362" s="4">
        <v>110</v>
      </c>
      <c r="F362" s="4">
        <v>6</v>
      </c>
      <c r="G362" s="4">
        <v>10</v>
      </c>
      <c r="H362" s="499">
        <v>4744</v>
      </c>
      <c r="I362" s="500">
        <v>1467</v>
      </c>
      <c r="J362" s="102">
        <f aca="true" t="shared" si="56" ref="J362:J367">+I362/F362</f>
        <v>244.5</v>
      </c>
      <c r="K362" s="227">
        <f aca="true" t="shared" si="57" ref="K362:K368">+H362/I362</f>
        <v>3.2338104976141784</v>
      </c>
      <c r="L362" s="6">
        <v>5008119</v>
      </c>
      <c r="M362" s="7">
        <v>476107</v>
      </c>
      <c r="N362" s="228">
        <f aca="true" t="shared" si="58" ref="N362:N378">+L362/M362</f>
        <v>10.518893862094025</v>
      </c>
      <c r="O362" s="108">
        <v>356</v>
      </c>
    </row>
    <row r="363" spans="1:15" s="95" customFormat="1" ht="15">
      <c r="A363" s="96">
        <v>357</v>
      </c>
      <c r="B363" s="223" t="s">
        <v>233</v>
      </c>
      <c r="C363" s="2">
        <v>40522</v>
      </c>
      <c r="D363" s="16" t="s">
        <v>8</v>
      </c>
      <c r="E363" s="4">
        <v>110</v>
      </c>
      <c r="F363" s="4">
        <v>6</v>
      </c>
      <c r="G363" s="4">
        <v>9</v>
      </c>
      <c r="H363" s="499">
        <v>4075</v>
      </c>
      <c r="I363" s="500">
        <v>848</v>
      </c>
      <c r="J363" s="102">
        <f t="shared" si="56"/>
        <v>141.33333333333334</v>
      </c>
      <c r="K363" s="227">
        <f t="shared" si="57"/>
        <v>4.805424528301887</v>
      </c>
      <c r="L363" s="6">
        <v>5003375</v>
      </c>
      <c r="M363" s="7">
        <v>474640</v>
      </c>
      <c r="N363" s="228">
        <f t="shared" si="58"/>
        <v>10.541410332041126</v>
      </c>
      <c r="O363" s="108">
        <v>357</v>
      </c>
    </row>
    <row r="364" spans="1:15" s="95" customFormat="1" ht="15">
      <c r="A364" s="96">
        <v>358</v>
      </c>
      <c r="B364" s="223" t="s">
        <v>233</v>
      </c>
      <c r="C364" s="17">
        <v>40522</v>
      </c>
      <c r="D364" s="16" t="s">
        <v>8</v>
      </c>
      <c r="E364" s="4">
        <v>110</v>
      </c>
      <c r="F364" s="4">
        <v>9</v>
      </c>
      <c r="G364" s="4">
        <v>11</v>
      </c>
      <c r="H364" s="499">
        <v>3734</v>
      </c>
      <c r="I364" s="500">
        <v>594</v>
      </c>
      <c r="J364" s="102">
        <f t="shared" si="56"/>
        <v>66</v>
      </c>
      <c r="K364" s="227">
        <f t="shared" si="57"/>
        <v>6.286195286195286</v>
      </c>
      <c r="L364" s="6">
        <v>5011853</v>
      </c>
      <c r="M364" s="7">
        <v>476701</v>
      </c>
      <c r="N364" s="228">
        <f t="shared" si="58"/>
        <v>10.513619648374977</v>
      </c>
      <c r="O364" s="108">
        <v>358</v>
      </c>
    </row>
    <row r="365" spans="1:15" s="95" customFormat="1" ht="15">
      <c r="A365" s="96">
        <v>359</v>
      </c>
      <c r="B365" s="223" t="s">
        <v>233</v>
      </c>
      <c r="C365" s="2">
        <v>40522</v>
      </c>
      <c r="D365" s="19" t="s">
        <v>8</v>
      </c>
      <c r="E365" s="4">
        <v>110</v>
      </c>
      <c r="F365" s="4">
        <v>7</v>
      </c>
      <c r="G365" s="4">
        <v>8</v>
      </c>
      <c r="H365" s="499">
        <v>3338</v>
      </c>
      <c r="I365" s="500">
        <v>492</v>
      </c>
      <c r="J365" s="102">
        <f t="shared" si="56"/>
        <v>70.28571428571429</v>
      </c>
      <c r="K365" s="227">
        <f t="shared" si="57"/>
        <v>6.784552845528455</v>
      </c>
      <c r="L365" s="6">
        <v>4999300</v>
      </c>
      <c r="M365" s="7">
        <v>473792</v>
      </c>
      <c r="N365" s="220">
        <f t="shared" si="58"/>
        <v>10.551676685127651</v>
      </c>
      <c r="O365" s="108">
        <v>359</v>
      </c>
    </row>
    <row r="366" spans="1:15" s="95" customFormat="1" ht="15">
      <c r="A366" s="96">
        <v>360</v>
      </c>
      <c r="B366" s="223" t="s">
        <v>233</v>
      </c>
      <c r="C366" s="2">
        <v>40522</v>
      </c>
      <c r="D366" s="19" t="s">
        <v>8</v>
      </c>
      <c r="E366" s="4">
        <v>110</v>
      </c>
      <c r="F366" s="4">
        <v>4</v>
      </c>
      <c r="G366" s="4">
        <v>13</v>
      </c>
      <c r="H366" s="499">
        <v>2400</v>
      </c>
      <c r="I366" s="500">
        <v>492</v>
      </c>
      <c r="J366" s="102">
        <f t="shared" si="56"/>
        <v>123</v>
      </c>
      <c r="K366" s="227">
        <f t="shared" si="57"/>
        <v>4.878048780487805</v>
      </c>
      <c r="L366" s="6">
        <v>5014749</v>
      </c>
      <c r="M366" s="7">
        <v>477268</v>
      </c>
      <c r="N366" s="228">
        <f t="shared" si="58"/>
        <v>10.507197214143835</v>
      </c>
      <c r="O366" s="108">
        <v>360</v>
      </c>
    </row>
    <row r="367" spans="1:15" s="95" customFormat="1" ht="15">
      <c r="A367" s="96">
        <v>361</v>
      </c>
      <c r="B367" s="223" t="s">
        <v>233</v>
      </c>
      <c r="C367" s="17">
        <v>40522</v>
      </c>
      <c r="D367" s="16" t="s">
        <v>8</v>
      </c>
      <c r="E367" s="4">
        <v>110</v>
      </c>
      <c r="F367" s="4">
        <v>2</v>
      </c>
      <c r="G367" s="4">
        <v>12</v>
      </c>
      <c r="H367" s="501">
        <v>496</v>
      </c>
      <c r="I367" s="502">
        <v>75</v>
      </c>
      <c r="J367" s="284">
        <f t="shared" si="56"/>
        <v>37.5</v>
      </c>
      <c r="K367" s="229">
        <f t="shared" si="57"/>
        <v>6.613333333333333</v>
      </c>
      <c r="L367" s="21">
        <v>5012349</v>
      </c>
      <c r="M367" s="22">
        <v>476776</v>
      </c>
      <c r="N367" s="228">
        <f t="shared" si="58"/>
        <v>10.513006107689984</v>
      </c>
      <c r="O367" s="108">
        <v>361</v>
      </c>
    </row>
    <row r="368" spans="1:15" s="95" customFormat="1" ht="15">
      <c r="A368" s="96">
        <v>362</v>
      </c>
      <c r="B368" s="221" t="s">
        <v>234</v>
      </c>
      <c r="C368" s="2">
        <v>40536</v>
      </c>
      <c r="D368" s="23" t="s">
        <v>10</v>
      </c>
      <c r="E368" s="3">
        <v>48</v>
      </c>
      <c r="F368" s="3">
        <v>48</v>
      </c>
      <c r="G368" s="3">
        <v>2</v>
      </c>
      <c r="H368" s="481">
        <v>281047</v>
      </c>
      <c r="I368" s="480">
        <v>23436</v>
      </c>
      <c r="J368" s="115">
        <f aca="true" t="shared" si="59" ref="J368:J378">I368/F368</f>
        <v>488.25</v>
      </c>
      <c r="K368" s="244">
        <f t="shared" si="57"/>
        <v>11.992106161461</v>
      </c>
      <c r="L368" s="39">
        <v>605758</v>
      </c>
      <c r="M368" s="47">
        <v>52142</v>
      </c>
      <c r="N368" s="220">
        <f t="shared" si="58"/>
        <v>11.61746768440029</v>
      </c>
      <c r="O368" s="108">
        <v>362</v>
      </c>
    </row>
    <row r="369" spans="1:15" s="95" customFormat="1" ht="15">
      <c r="A369" s="96">
        <v>363</v>
      </c>
      <c r="B369" s="219" t="s">
        <v>234</v>
      </c>
      <c r="C369" s="2">
        <v>40536</v>
      </c>
      <c r="D369" s="23" t="s">
        <v>10</v>
      </c>
      <c r="E369" s="3">
        <v>48</v>
      </c>
      <c r="F369" s="3">
        <v>36</v>
      </c>
      <c r="G369" s="3">
        <v>3</v>
      </c>
      <c r="H369" s="479">
        <v>66790</v>
      </c>
      <c r="I369" s="480">
        <v>5435</v>
      </c>
      <c r="J369" s="115">
        <f t="shared" si="59"/>
        <v>150.97222222222223</v>
      </c>
      <c r="K369" s="208">
        <f aca="true" t="shared" si="60" ref="K369:K378">H369/I369</f>
        <v>12.288868445262189</v>
      </c>
      <c r="L369" s="42">
        <v>672548</v>
      </c>
      <c r="M369" s="47">
        <v>57577</v>
      </c>
      <c r="N369" s="220">
        <f t="shared" si="58"/>
        <v>11.6808447817705</v>
      </c>
      <c r="O369" s="108">
        <v>363</v>
      </c>
    </row>
    <row r="370" spans="1:15" s="95" customFormat="1" ht="15">
      <c r="A370" s="96">
        <v>364</v>
      </c>
      <c r="B370" s="221" t="s">
        <v>234</v>
      </c>
      <c r="C370" s="2">
        <v>40536</v>
      </c>
      <c r="D370" s="18" t="s">
        <v>10</v>
      </c>
      <c r="E370" s="3">
        <v>48</v>
      </c>
      <c r="F370" s="3">
        <v>10</v>
      </c>
      <c r="G370" s="3">
        <v>5</v>
      </c>
      <c r="H370" s="479">
        <v>11003</v>
      </c>
      <c r="I370" s="480">
        <v>1816</v>
      </c>
      <c r="J370" s="115">
        <f t="shared" si="59"/>
        <v>181.6</v>
      </c>
      <c r="K370" s="208">
        <f t="shared" si="60"/>
        <v>6.058920704845815</v>
      </c>
      <c r="L370" s="42">
        <v>691927</v>
      </c>
      <c r="M370" s="47">
        <v>60452</v>
      </c>
      <c r="N370" s="220">
        <f t="shared" si="58"/>
        <v>11.445890954807119</v>
      </c>
      <c r="O370" s="108">
        <v>364</v>
      </c>
    </row>
    <row r="371" spans="1:15" s="95" customFormat="1" ht="15">
      <c r="A371" s="96">
        <v>365</v>
      </c>
      <c r="B371" s="223" t="s">
        <v>234</v>
      </c>
      <c r="C371" s="2">
        <v>40536</v>
      </c>
      <c r="D371" s="16" t="s">
        <v>10</v>
      </c>
      <c r="E371" s="4">
        <v>48</v>
      </c>
      <c r="F371" s="4">
        <v>7</v>
      </c>
      <c r="G371" s="4">
        <v>4</v>
      </c>
      <c r="H371" s="479">
        <v>8376</v>
      </c>
      <c r="I371" s="480">
        <v>1059</v>
      </c>
      <c r="J371" s="115">
        <f t="shared" si="59"/>
        <v>151.28571428571428</v>
      </c>
      <c r="K371" s="208">
        <f t="shared" si="60"/>
        <v>7.909348441926346</v>
      </c>
      <c r="L371" s="42">
        <v>680924</v>
      </c>
      <c r="M371" s="47">
        <v>58636</v>
      </c>
      <c r="N371" s="220">
        <f t="shared" si="58"/>
        <v>11.612729381267481</v>
      </c>
      <c r="O371" s="108">
        <v>365</v>
      </c>
    </row>
    <row r="372" spans="1:15" s="95" customFormat="1" ht="15">
      <c r="A372" s="96">
        <v>366</v>
      </c>
      <c r="B372" s="223" t="s">
        <v>234</v>
      </c>
      <c r="C372" s="17">
        <v>40536</v>
      </c>
      <c r="D372" s="16" t="s">
        <v>10</v>
      </c>
      <c r="E372" s="4">
        <v>48</v>
      </c>
      <c r="F372" s="4">
        <v>4</v>
      </c>
      <c r="G372" s="4">
        <v>9</v>
      </c>
      <c r="H372" s="479">
        <v>3417</v>
      </c>
      <c r="I372" s="480">
        <v>493</v>
      </c>
      <c r="J372" s="115">
        <f t="shared" si="59"/>
        <v>123.25</v>
      </c>
      <c r="K372" s="208">
        <f t="shared" si="60"/>
        <v>6.931034482758621</v>
      </c>
      <c r="L372" s="42">
        <v>702704</v>
      </c>
      <c r="M372" s="47">
        <v>62786</v>
      </c>
      <c r="N372" s="220">
        <f t="shared" si="58"/>
        <v>11.192049182938872</v>
      </c>
      <c r="O372" s="108">
        <v>366</v>
      </c>
    </row>
    <row r="373" spans="1:15" s="95" customFormat="1" ht="15">
      <c r="A373" s="96">
        <v>367</v>
      </c>
      <c r="B373" s="219" t="s">
        <v>234</v>
      </c>
      <c r="C373" s="2">
        <v>40536</v>
      </c>
      <c r="D373" s="18" t="s">
        <v>10</v>
      </c>
      <c r="E373" s="3">
        <v>48</v>
      </c>
      <c r="F373" s="3">
        <v>5</v>
      </c>
      <c r="G373" s="3">
        <v>8</v>
      </c>
      <c r="H373" s="479">
        <v>2592</v>
      </c>
      <c r="I373" s="480">
        <v>363</v>
      </c>
      <c r="J373" s="115">
        <f t="shared" si="59"/>
        <v>72.6</v>
      </c>
      <c r="K373" s="208">
        <f t="shared" si="60"/>
        <v>7.140495867768595</v>
      </c>
      <c r="L373" s="42">
        <v>699287</v>
      </c>
      <c r="M373" s="47">
        <v>62293</v>
      </c>
      <c r="N373" s="220">
        <f t="shared" si="58"/>
        <v>11.225771756056057</v>
      </c>
      <c r="O373" s="108">
        <v>367</v>
      </c>
    </row>
    <row r="374" spans="1:15" s="95" customFormat="1" ht="15">
      <c r="A374" s="96">
        <v>368</v>
      </c>
      <c r="B374" s="223" t="s">
        <v>234</v>
      </c>
      <c r="C374" s="2">
        <v>40536</v>
      </c>
      <c r="D374" s="16" t="s">
        <v>10</v>
      </c>
      <c r="E374" s="4">
        <v>48</v>
      </c>
      <c r="F374" s="4">
        <v>2</v>
      </c>
      <c r="G374" s="4">
        <v>7</v>
      </c>
      <c r="H374" s="479">
        <v>2498</v>
      </c>
      <c r="I374" s="480">
        <v>822</v>
      </c>
      <c r="J374" s="115">
        <f t="shared" si="59"/>
        <v>411</v>
      </c>
      <c r="K374" s="208">
        <f t="shared" si="60"/>
        <v>3.0389294403892944</v>
      </c>
      <c r="L374" s="42">
        <v>696695</v>
      </c>
      <c r="M374" s="47">
        <v>61930</v>
      </c>
      <c r="N374" s="220">
        <f t="shared" si="58"/>
        <v>11.249717422896818</v>
      </c>
      <c r="O374" s="108">
        <v>368</v>
      </c>
    </row>
    <row r="375" spans="1:15" s="95" customFormat="1" ht="15">
      <c r="A375" s="96">
        <v>369</v>
      </c>
      <c r="B375" s="219" t="s">
        <v>234</v>
      </c>
      <c r="C375" s="2">
        <v>40536</v>
      </c>
      <c r="D375" s="18" t="s">
        <v>10</v>
      </c>
      <c r="E375" s="3">
        <v>48</v>
      </c>
      <c r="F375" s="3">
        <v>3</v>
      </c>
      <c r="G375" s="3">
        <v>6</v>
      </c>
      <c r="H375" s="479">
        <v>2270</v>
      </c>
      <c r="I375" s="480">
        <v>656</v>
      </c>
      <c r="J375" s="115">
        <f t="shared" si="59"/>
        <v>218.66666666666666</v>
      </c>
      <c r="K375" s="208">
        <f t="shared" si="60"/>
        <v>3.4603658536585367</v>
      </c>
      <c r="L375" s="42">
        <v>694197</v>
      </c>
      <c r="M375" s="47">
        <v>61108</v>
      </c>
      <c r="N375" s="220">
        <f t="shared" si="58"/>
        <v>11.360165608430975</v>
      </c>
      <c r="O375" s="108">
        <v>369</v>
      </c>
    </row>
    <row r="376" spans="1:15" s="95" customFormat="1" ht="15">
      <c r="A376" s="96">
        <v>370</v>
      </c>
      <c r="B376" s="223" t="s">
        <v>234</v>
      </c>
      <c r="C376" s="20">
        <v>40536</v>
      </c>
      <c r="D376" s="16" t="s">
        <v>10</v>
      </c>
      <c r="E376" s="4">
        <v>48</v>
      </c>
      <c r="F376" s="4">
        <v>2</v>
      </c>
      <c r="G376" s="4">
        <v>11</v>
      </c>
      <c r="H376" s="479">
        <v>2258</v>
      </c>
      <c r="I376" s="480">
        <v>388</v>
      </c>
      <c r="J376" s="115">
        <f t="shared" si="59"/>
        <v>194</v>
      </c>
      <c r="K376" s="225">
        <f t="shared" si="60"/>
        <v>5.819587628865979</v>
      </c>
      <c r="L376" s="42">
        <v>706152</v>
      </c>
      <c r="M376" s="47">
        <v>63570</v>
      </c>
      <c r="N376" s="220">
        <f t="shared" si="58"/>
        <v>11.10825861255309</v>
      </c>
      <c r="O376" s="108">
        <v>370</v>
      </c>
    </row>
    <row r="377" spans="1:15" s="95" customFormat="1" ht="15">
      <c r="A377" s="96">
        <v>371</v>
      </c>
      <c r="B377" s="219" t="s">
        <v>234</v>
      </c>
      <c r="C377" s="2">
        <v>40536</v>
      </c>
      <c r="D377" s="18" t="s">
        <v>10</v>
      </c>
      <c r="E377" s="3">
        <v>48</v>
      </c>
      <c r="F377" s="3">
        <v>1</v>
      </c>
      <c r="G377" s="3">
        <v>10</v>
      </c>
      <c r="H377" s="479">
        <v>1190</v>
      </c>
      <c r="I377" s="480">
        <v>396</v>
      </c>
      <c r="J377" s="115">
        <f t="shared" si="59"/>
        <v>396</v>
      </c>
      <c r="K377" s="208">
        <f t="shared" si="60"/>
        <v>3.005050505050505</v>
      </c>
      <c r="L377" s="42">
        <v>703894</v>
      </c>
      <c r="M377" s="47">
        <v>63182</v>
      </c>
      <c r="N377" s="220">
        <f t="shared" si="58"/>
        <v>11.140736285650977</v>
      </c>
      <c r="O377" s="108">
        <v>371</v>
      </c>
    </row>
    <row r="378" spans="1:15" s="95" customFormat="1" ht="15">
      <c r="A378" s="96">
        <v>372</v>
      </c>
      <c r="B378" s="223" t="s">
        <v>235</v>
      </c>
      <c r="C378" s="17">
        <v>39577</v>
      </c>
      <c r="D378" s="16" t="s">
        <v>92</v>
      </c>
      <c r="E378" s="4">
        <v>26</v>
      </c>
      <c r="F378" s="4">
        <v>1</v>
      </c>
      <c r="G378" s="4">
        <v>16</v>
      </c>
      <c r="H378" s="501">
        <v>1188</v>
      </c>
      <c r="I378" s="502">
        <v>198</v>
      </c>
      <c r="J378" s="339">
        <f t="shared" si="59"/>
        <v>198</v>
      </c>
      <c r="K378" s="340">
        <f t="shared" si="60"/>
        <v>6</v>
      </c>
      <c r="L378" s="21">
        <v>117962.42</v>
      </c>
      <c r="M378" s="22">
        <v>13895</v>
      </c>
      <c r="N378" s="287">
        <f t="shared" si="58"/>
        <v>8.48955883411299</v>
      </c>
      <c r="O378" s="108">
        <v>372</v>
      </c>
    </row>
    <row r="379" spans="1:15" s="95" customFormat="1" ht="15">
      <c r="A379" s="96">
        <v>373</v>
      </c>
      <c r="B379" s="288" t="s">
        <v>236</v>
      </c>
      <c r="C379" s="289">
        <v>40137</v>
      </c>
      <c r="D379" s="236" t="s">
        <v>36</v>
      </c>
      <c r="E379" s="290">
        <v>147</v>
      </c>
      <c r="F379" s="290">
        <v>1</v>
      </c>
      <c r="G379" s="290">
        <v>31</v>
      </c>
      <c r="H379" s="473">
        <v>138</v>
      </c>
      <c r="I379" s="474">
        <v>23</v>
      </c>
      <c r="J379" s="118">
        <v>22</v>
      </c>
      <c r="K379" s="195">
        <v>10</v>
      </c>
      <c r="L379" s="9">
        <f>10813638+1782+94+1782+138</f>
        <v>10817434</v>
      </c>
      <c r="M379" s="8">
        <f>1242823+446+17+445+23</f>
        <v>1243754</v>
      </c>
      <c r="N379" s="197">
        <v>8.700867299687888</v>
      </c>
      <c r="O379" s="108">
        <v>373</v>
      </c>
    </row>
    <row r="380" spans="1:15" s="95" customFormat="1" ht="15">
      <c r="A380" s="96">
        <v>374</v>
      </c>
      <c r="B380" s="235" t="s">
        <v>268</v>
      </c>
      <c r="C380" s="191">
        <v>40508</v>
      </c>
      <c r="D380" s="199" t="s">
        <v>36</v>
      </c>
      <c r="E380" s="192">
        <v>44</v>
      </c>
      <c r="F380" s="192">
        <v>2</v>
      </c>
      <c r="G380" s="192">
        <v>6</v>
      </c>
      <c r="H380" s="475">
        <v>1171.5</v>
      </c>
      <c r="I380" s="474">
        <v>282</v>
      </c>
      <c r="J380" s="118">
        <f aca="true" t="shared" si="61" ref="J380:J388">(I380/F380)</f>
        <v>141</v>
      </c>
      <c r="K380" s="200">
        <f aca="true" t="shared" si="62" ref="K380:K401">H380/I380</f>
        <v>4.154255319148936</v>
      </c>
      <c r="L380" s="27">
        <f>49086+11854+1926+2212.5+1180+1171.5</f>
        <v>67430</v>
      </c>
      <c r="M380" s="8">
        <f>5689+1635+274+420+165+282</f>
        <v>8465</v>
      </c>
      <c r="N380" s="197">
        <f aca="true" t="shared" si="63" ref="N380:N388">L380/M380</f>
        <v>7.96574128765505</v>
      </c>
      <c r="O380" s="108">
        <v>374</v>
      </c>
    </row>
    <row r="381" spans="1:15" s="95" customFormat="1" ht="15">
      <c r="A381" s="96">
        <v>375</v>
      </c>
      <c r="B381" s="271" t="s">
        <v>237</v>
      </c>
      <c r="C381" s="272">
        <v>40473</v>
      </c>
      <c r="D381" s="199" t="s">
        <v>36</v>
      </c>
      <c r="E381" s="273">
        <v>2</v>
      </c>
      <c r="F381" s="273">
        <v>1</v>
      </c>
      <c r="G381" s="273">
        <v>8</v>
      </c>
      <c r="H381" s="475">
        <v>2138.5</v>
      </c>
      <c r="I381" s="476">
        <v>534</v>
      </c>
      <c r="J381" s="203">
        <f t="shared" si="61"/>
        <v>534</v>
      </c>
      <c r="K381" s="200">
        <f t="shared" si="62"/>
        <v>4.004681647940075</v>
      </c>
      <c r="L381" s="27">
        <f>6832+2665+3612+1330+1973+129+396+2138.5</f>
        <v>19075.5</v>
      </c>
      <c r="M381" s="24">
        <f>659+312+817+151+365+14+89+534</f>
        <v>2941</v>
      </c>
      <c r="N381" s="197">
        <f t="shared" si="63"/>
        <v>6.486059163549813</v>
      </c>
      <c r="O381" s="108">
        <v>375</v>
      </c>
    </row>
    <row r="382" spans="1:15" s="95" customFormat="1" ht="15">
      <c r="A382" s="96">
        <v>376</v>
      </c>
      <c r="B382" s="277" t="s">
        <v>237</v>
      </c>
      <c r="C382" s="35">
        <v>40473</v>
      </c>
      <c r="D382" s="236" t="s">
        <v>36</v>
      </c>
      <c r="E382" s="37">
        <v>2</v>
      </c>
      <c r="F382" s="37">
        <v>1</v>
      </c>
      <c r="G382" s="37">
        <v>9</v>
      </c>
      <c r="H382" s="473">
        <v>1307</v>
      </c>
      <c r="I382" s="474">
        <v>327</v>
      </c>
      <c r="J382" s="118">
        <f t="shared" si="61"/>
        <v>327</v>
      </c>
      <c r="K382" s="195">
        <f t="shared" si="62"/>
        <v>3.996941896024465</v>
      </c>
      <c r="L382" s="9">
        <f>6832+2665+3612+1330+1973+129+396+2138.5+1307</f>
        <v>20382.5</v>
      </c>
      <c r="M382" s="8">
        <f>659+312+817+151+365+14+89+534+327</f>
        <v>3268</v>
      </c>
      <c r="N382" s="197">
        <f t="shared" si="63"/>
        <v>6.236995104039168</v>
      </c>
      <c r="O382" s="108">
        <v>376</v>
      </c>
    </row>
    <row r="383" spans="1:15" s="95" customFormat="1" ht="15">
      <c r="A383" s="96">
        <v>377</v>
      </c>
      <c r="B383" s="277" t="s">
        <v>237</v>
      </c>
      <c r="C383" s="35">
        <v>40473</v>
      </c>
      <c r="D383" s="199" t="s">
        <v>36</v>
      </c>
      <c r="E383" s="37">
        <v>2</v>
      </c>
      <c r="F383" s="37">
        <v>1</v>
      </c>
      <c r="G383" s="37">
        <v>7</v>
      </c>
      <c r="H383" s="473">
        <v>396</v>
      </c>
      <c r="I383" s="474">
        <v>89</v>
      </c>
      <c r="J383" s="118">
        <f t="shared" si="61"/>
        <v>89</v>
      </c>
      <c r="K383" s="195">
        <f t="shared" si="62"/>
        <v>4.449438202247191</v>
      </c>
      <c r="L383" s="9">
        <f>6832+2665+3612+1330+1973+129+396</f>
        <v>16937</v>
      </c>
      <c r="M383" s="8">
        <f>659+312+817+151+365+14+89</f>
        <v>2407</v>
      </c>
      <c r="N383" s="197">
        <f t="shared" si="63"/>
        <v>7.036560033236394</v>
      </c>
      <c r="O383" s="108">
        <v>377</v>
      </c>
    </row>
    <row r="384" spans="1:15" s="95" customFormat="1" ht="15">
      <c r="A384" s="96">
        <v>378</v>
      </c>
      <c r="B384" s="278" t="s">
        <v>237</v>
      </c>
      <c r="C384" s="35">
        <v>40473</v>
      </c>
      <c r="D384" s="199" t="s">
        <v>36</v>
      </c>
      <c r="E384" s="37">
        <v>2</v>
      </c>
      <c r="F384" s="37">
        <v>1</v>
      </c>
      <c r="G384" s="37">
        <v>6</v>
      </c>
      <c r="H384" s="475">
        <v>129</v>
      </c>
      <c r="I384" s="474">
        <v>14</v>
      </c>
      <c r="J384" s="118">
        <f t="shared" si="61"/>
        <v>14</v>
      </c>
      <c r="K384" s="200">
        <f t="shared" si="62"/>
        <v>9.214285714285714</v>
      </c>
      <c r="L384" s="27">
        <f>6832+2665+3612+1330+1973+129</f>
        <v>16541</v>
      </c>
      <c r="M384" s="8">
        <f>659+312+817+151+365+14</f>
        <v>2318</v>
      </c>
      <c r="N384" s="197">
        <f t="shared" si="63"/>
        <v>7.135893011216566</v>
      </c>
      <c r="O384" s="108">
        <v>378</v>
      </c>
    </row>
    <row r="385" spans="1:15" s="95" customFormat="1" ht="15">
      <c r="A385" s="96">
        <v>379</v>
      </c>
      <c r="B385" s="235" t="s">
        <v>145</v>
      </c>
      <c r="C385" s="191">
        <v>40494</v>
      </c>
      <c r="D385" s="199" t="s">
        <v>36</v>
      </c>
      <c r="E385" s="192">
        <v>80</v>
      </c>
      <c r="F385" s="192">
        <v>13</v>
      </c>
      <c r="G385" s="192">
        <v>8</v>
      </c>
      <c r="H385" s="475">
        <v>11751.5</v>
      </c>
      <c r="I385" s="474">
        <v>2055</v>
      </c>
      <c r="J385" s="118">
        <f t="shared" si="61"/>
        <v>158.07692307692307</v>
      </c>
      <c r="K385" s="200">
        <f t="shared" si="62"/>
        <v>5.718491484184915</v>
      </c>
      <c r="L385" s="27">
        <f>400584.5+260220.5+91588.5+26738.5+6598.5+10112.5+8832+11751.5</f>
        <v>816426.5</v>
      </c>
      <c r="M385" s="8">
        <f>34427+24318+9929+5066+1310+1866+1322+2055</f>
        <v>80293</v>
      </c>
      <c r="N385" s="197">
        <f t="shared" si="63"/>
        <v>10.168090618111167</v>
      </c>
      <c r="O385" s="108">
        <v>379</v>
      </c>
    </row>
    <row r="386" spans="1:15" s="95" customFormat="1" ht="15">
      <c r="A386" s="96">
        <v>380</v>
      </c>
      <c r="B386" s="235" t="s">
        <v>145</v>
      </c>
      <c r="C386" s="191">
        <v>40494</v>
      </c>
      <c r="D386" s="199" t="s">
        <v>36</v>
      </c>
      <c r="E386" s="192">
        <v>80</v>
      </c>
      <c r="F386" s="192">
        <v>1</v>
      </c>
      <c r="G386" s="192">
        <v>11</v>
      </c>
      <c r="H386" s="473">
        <v>3564</v>
      </c>
      <c r="I386" s="474">
        <v>891</v>
      </c>
      <c r="J386" s="118">
        <f t="shared" si="61"/>
        <v>891</v>
      </c>
      <c r="K386" s="195">
        <f t="shared" si="62"/>
        <v>4</v>
      </c>
      <c r="L386" s="9">
        <f>400584.5+260220.5+91588.5+26738.5+6598.5+10112.5+8832+11751.5+1782+1570.5+3564</f>
        <v>823343</v>
      </c>
      <c r="M386" s="8">
        <f>34427+24318+9929+5066+1310+1866+1322+2055+445+470+891</f>
        <v>82099</v>
      </c>
      <c r="N386" s="197">
        <f t="shared" si="63"/>
        <v>10.02866051961656</v>
      </c>
      <c r="O386" s="108">
        <v>380</v>
      </c>
    </row>
    <row r="387" spans="1:15" s="95" customFormat="1" ht="15">
      <c r="A387" s="96">
        <v>381</v>
      </c>
      <c r="B387" s="190" t="s">
        <v>145</v>
      </c>
      <c r="C387" s="191">
        <v>40494</v>
      </c>
      <c r="D387" s="199" t="s">
        <v>36</v>
      </c>
      <c r="E387" s="192">
        <v>80</v>
      </c>
      <c r="F387" s="192">
        <v>1</v>
      </c>
      <c r="G387" s="192">
        <v>9</v>
      </c>
      <c r="H387" s="473">
        <v>1782</v>
      </c>
      <c r="I387" s="474">
        <v>445</v>
      </c>
      <c r="J387" s="118">
        <f t="shared" si="61"/>
        <v>445</v>
      </c>
      <c r="K387" s="195">
        <f t="shared" si="62"/>
        <v>4.004494382022472</v>
      </c>
      <c r="L387" s="9">
        <f>400584.5+260220.5+91588.5+26738.5+6598.5+10112.5+8832+11751.5+1782</f>
        <v>818208.5</v>
      </c>
      <c r="M387" s="8">
        <f>34427+24318+9929+5066+1310+1866+1322+2055+445</f>
        <v>80738</v>
      </c>
      <c r="N387" s="197">
        <f t="shared" si="63"/>
        <v>10.134119002204661</v>
      </c>
      <c r="O387" s="108">
        <v>381</v>
      </c>
    </row>
    <row r="388" spans="1:15" s="95" customFormat="1" ht="15">
      <c r="A388" s="96">
        <v>382</v>
      </c>
      <c r="B388" s="209" t="s">
        <v>145</v>
      </c>
      <c r="C388" s="210">
        <v>40494</v>
      </c>
      <c r="D388" s="199" t="s">
        <v>36</v>
      </c>
      <c r="E388" s="211">
        <v>80</v>
      </c>
      <c r="F388" s="211">
        <v>2</v>
      </c>
      <c r="G388" s="211">
        <v>10</v>
      </c>
      <c r="H388" s="477">
        <v>1570.5</v>
      </c>
      <c r="I388" s="478">
        <v>470</v>
      </c>
      <c r="J388" s="212">
        <f t="shared" si="61"/>
        <v>235</v>
      </c>
      <c r="K388" s="213">
        <f t="shared" si="62"/>
        <v>3.3414893617021275</v>
      </c>
      <c r="L388" s="214">
        <f>400584.5+260220.5+91588.5+26738.5+6598.5+10112.5+8832+11751.5+1782+1570.5</f>
        <v>819779</v>
      </c>
      <c r="M388" s="215">
        <f>34427+24318+9929+5066+1310+1866+1322+2055+445+470</f>
        <v>81208</v>
      </c>
      <c r="N388" s="216">
        <f t="shared" si="63"/>
        <v>10.094805930450201</v>
      </c>
      <c r="O388" s="108">
        <v>382</v>
      </c>
    </row>
    <row r="389" spans="1:15" s="95" customFormat="1" ht="15">
      <c r="A389" s="96">
        <v>383</v>
      </c>
      <c r="B389" s="348" t="s">
        <v>145</v>
      </c>
      <c r="C389" s="99">
        <v>40494</v>
      </c>
      <c r="D389" s="100" t="s">
        <v>36</v>
      </c>
      <c r="E389" s="101">
        <v>80</v>
      </c>
      <c r="F389" s="101">
        <v>1</v>
      </c>
      <c r="G389" s="101">
        <v>12</v>
      </c>
      <c r="H389" s="504">
        <v>90</v>
      </c>
      <c r="I389" s="505">
        <v>15</v>
      </c>
      <c r="J389" s="102">
        <f>I389/F389</f>
        <v>15</v>
      </c>
      <c r="K389" s="103">
        <f t="shared" si="62"/>
        <v>6</v>
      </c>
      <c r="L389" s="117">
        <f>400584.5+260220.5+91588.5+26738.5+6598.5+10112.5+8832+11751.5+1782+1570.5+3564+90</f>
        <v>823433</v>
      </c>
      <c r="M389" s="118">
        <f>34427+24318+9929+5066+1310+1866+1322+2055+445+470+891+15</f>
        <v>82114</v>
      </c>
      <c r="N389" s="107">
        <f>+L389/M389</f>
        <v>10.0279245926395</v>
      </c>
      <c r="O389" s="108">
        <v>383</v>
      </c>
    </row>
    <row r="390" spans="1:15" s="95" customFormat="1" ht="15">
      <c r="A390" s="96">
        <v>384</v>
      </c>
      <c r="B390" s="348" t="s">
        <v>145</v>
      </c>
      <c r="C390" s="99">
        <v>40494</v>
      </c>
      <c r="D390" s="100" t="s">
        <v>36</v>
      </c>
      <c r="E390" s="101">
        <v>80</v>
      </c>
      <c r="F390" s="101">
        <v>1</v>
      </c>
      <c r="G390" s="101">
        <v>12</v>
      </c>
      <c r="H390" s="504">
        <v>90</v>
      </c>
      <c r="I390" s="505">
        <v>15</v>
      </c>
      <c r="J390" s="102">
        <f>I390/F390</f>
        <v>15</v>
      </c>
      <c r="K390" s="103">
        <f t="shared" si="62"/>
        <v>6</v>
      </c>
      <c r="L390" s="117">
        <f>400584.5+260220.5+91588.5+26738.5+6598.5+10112.5+8832+11751.5+1782+1570.5+3564+90</f>
        <v>823433</v>
      </c>
      <c r="M390" s="118">
        <f>34427+24318+9929+5066+1310+1866+1322+2055+445+470+891+15</f>
        <v>82114</v>
      </c>
      <c r="N390" s="107">
        <f>+L390/M390</f>
        <v>10.0279245926395</v>
      </c>
      <c r="O390" s="108">
        <v>384</v>
      </c>
    </row>
    <row r="391" spans="1:15" s="95" customFormat="1" ht="15">
      <c r="A391" s="96">
        <v>385</v>
      </c>
      <c r="B391" s="190" t="s">
        <v>269</v>
      </c>
      <c r="C391" s="191">
        <v>40445</v>
      </c>
      <c r="D391" s="199" t="s">
        <v>36</v>
      </c>
      <c r="E391" s="192">
        <v>99</v>
      </c>
      <c r="F391" s="192">
        <v>1</v>
      </c>
      <c r="G391" s="192">
        <v>13</v>
      </c>
      <c r="H391" s="473">
        <v>966</v>
      </c>
      <c r="I391" s="474">
        <v>317</v>
      </c>
      <c r="J391" s="118">
        <f aca="true" t="shared" si="64" ref="J391:J401">(I391/F391)</f>
        <v>317</v>
      </c>
      <c r="K391" s="195">
        <f t="shared" si="62"/>
        <v>3.047318611987382</v>
      </c>
      <c r="L391" s="9">
        <f>321502+248658+168337.5+120626.5+93787.5+82596.5+8900+14133+4789+1421+2440+594+966</f>
        <v>1068751</v>
      </c>
      <c r="M391" s="8">
        <f>37510+29635+22309+17930+15012+11746+1292+2243+804+260+600+115+317</f>
        <v>139773</v>
      </c>
      <c r="N391" s="197">
        <f aca="true" t="shared" si="65" ref="N391:N401">L391/M391</f>
        <v>7.64633369821067</v>
      </c>
      <c r="O391" s="108">
        <v>385</v>
      </c>
    </row>
    <row r="392" spans="1:15" s="95" customFormat="1" ht="15">
      <c r="A392" s="96">
        <v>386</v>
      </c>
      <c r="B392" s="217" t="s">
        <v>269</v>
      </c>
      <c r="C392" s="202">
        <v>40445</v>
      </c>
      <c r="D392" s="199" t="s">
        <v>36</v>
      </c>
      <c r="E392" s="201">
        <v>99</v>
      </c>
      <c r="F392" s="201">
        <v>1</v>
      </c>
      <c r="G392" s="201">
        <v>14</v>
      </c>
      <c r="H392" s="473">
        <v>678</v>
      </c>
      <c r="I392" s="474">
        <v>102</v>
      </c>
      <c r="J392" s="118">
        <f t="shared" si="64"/>
        <v>102</v>
      </c>
      <c r="K392" s="195">
        <f t="shared" si="62"/>
        <v>6.647058823529412</v>
      </c>
      <c r="L392" s="9">
        <f>321502+248658+168337.5+120626.5+93787.5+82596.5+8900+14133+4789+1421+2440+594+966+678</f>
        <v>1069429</v>
      </c>
      <c r="M392" s="8">
        <f>37510+29635+22309+17930+15012+11746+1292+2243+804+260+600+115+317+102</f>
        <v>139875</v>
      </c>
      <c r="N392" s="197">
        <f t="shared" si="65"/>
        <v>7.645605004468275</v>
      </c>
      <c r="O392" s="108">
        <v>386</v>
      </c>
    </row>
    <row r="393" spans="1:15" s="95" customFormat="1" ht="15">
      <c r="A393" s="96">
        <v>387</v>
      </c>
      <c r="B393" s="190" t="s">
        <v>269</v>
      </c>
      <c r="C393" s="34">
        <v>40445</v>
      </c>
      <c r="D393" s="199" t="s">
        <v>36</v>
      </c>
      <c r="E393" s="36">
        <v>99</v>
      </c>
      <c r="F393" s="36">
        <v>1</v>
      </c>
      <c r="G393" s="36">
        <v>12</v>
      </c>
      <c r="H393" s="473">
        <v>594</v>
      </c>
      <c r="I393" s="474">
        <v>115</v>
      </c>
      <c r="J393" s="118">
        <f t="shared" si="64"/>
        <v>115</v>
      </c>
      <c r="K393" s="195">
        <f t="shared" si="62"/>
        <v>5.165217391304348</v>
      </c>
      <c r="L393" s="9">
        <f>321502+248658+168337.5+120626.5+93787.5+82596.5+8900+14133+4789+1421+2440+594</f>
        <v>1067785</v>
      </c>
      <c r="M393" s="8">
        <f>37510+29635+22309+17930+15012+11746+1292+2243+804+260+600+115</f>
        <v>139456</v>
      </c>
      <c r="N393" s="197">
        <f t="shared" si="65"/>
        <v>7.65678780403855</v>
      </c>
      <c r="O393" s="108">
        <v>387</v>
      </c>
    </row>
    <row r="394" spans="1:15" s="95" customFormat="1" ht="15">
      <c r="A394" s="96">
        <v>388</v>
      </c>
      <c r="B394" s="198" t="s">
        <v>238</v>
      </c>
      <c r="C394" s="34">
        <v>40508</v>
      </c>
      <c r="D394" s="199" t="s">
        <v>36</v>
      </c>
      <c r="E394" s="36">
        <v>34</v>
      </c>
      <c r="F394" s="36">
        <v>17</v>
      </c>
      <c r="G394" s="36">
        <v>6</v>
      </c>
      <c r="H394" s="475">
        <v>14630.5</v>
      </c>
      <c r="I394" s="474">
        <v>2283</v>
      </c>
      <c r="J394" s="118">
        <f t="shared" si="64"/>
        <v>134.2941176470588</v>
      </c>
      <c r="K394" s="200">
        <f t="shared" si="62"/>
        <v>6.408453788874288</v>
      </c>
      <c r="L394" s="27">
        <f>122173+87330+23120+25637+29159.5+14630.5</f>
        <v>302050</v>
      </c>
      <c r="M394" s="8">
        <f>10588+8153+2702+3877+4807+2283</f>
        <v>32410</v>
      </c>
      <c r="N394" s="197">
        <f t="shared" si="65"/>
        <v>9.319654427645789</v>
      </c>
      <c r="O394" s="108">
        <v>388</v>
      </c>
    </row>
    <row r="395" spans="1:15" s="95" customFormat="1" ht="15">
      <c r="A395" s="96">
        <v>389</v>
      </c>
      <c r="B395" s="190" t="s">
        <v>238</v>
      </c>
      <c r="C395" s="34">
        <v>40508</v>
      </c>
      <c r="D395" s="31" t="s">
        <v>36</v>
      </c>
      <c r="E395" s="36">
        <v>34</v>
      </c>
      <c r="F395" s="36">
        <v>1</v>
      </c>
      <c r="G395" s="36">
        <v>11</v>
      </c>
      <c r="H395" s="473">
        <v>1632.5</v>
      </c>
      <c r="I395" s="474">
        <v>203</v>
      </c>
      <c r="J395" s="118">
        <f t="shared" si="64"/>
        <v>203</v>
      </c>
      <c r="K395" s="195">
        <f t="shared" si="62"/>
        <v>8.041871921182265</v>
      </c>
      <c r="L395" s="9">
        <f>122173+87330+23120+25637+29159.5+14630.5+403+1246+229+767+1632.5</f>
        <v>306327.5</v>
      </c>
      <c r="M395" s="8">
        <f>10588+8153+2702+3877+4807+2283+58+199+33+115+203</f>
        <v>33018</v>
      </c>
      <c r="N395" s="197">
        <f t="shared" si="65"/>
        <v>9.277591010963716</v>
      </c>
      <c r="O395" s="108">
        <v>389</v>
      </c>
    </row>
    <row r="396" spans="1:15" s="95" customFormat="1" ht="15">
      <c r="A396" s="96">
        <v>390</v>
      </c>
      <c r="B396" s="198" t="s">
        <v>238</v>
      </c>
      <c r="C396" s="34">
        <v>40508</v>
      </c>
      <c r="D396" s="199" t="s">
        <v>36</v>
      </c>
      <c r="E396" s="36">
        <v>34</v>
      </c>
      <c r="F396" s="36">
        <v>2</v>
      </c>
      <c r="G396" s="36">
        <v>8</v>
      </c>
      <c r="H396" s="473">
        <v>1246</v>
      </c>
      <c r="I396" s="474">
        <v>199</v>
      </c>
      <c r="J396" s="118">
        <f t="shared" si="64"/>
        <v>99.5</v>
      </c>
      <c r="K396" s="195">
        <f t="shared" si="62"/>
        <v>6.261306532663316</v>
      </c>
      <c r="L396" s="9">
        <f>122173+87330+23120+25637+29159.5+14630.5+403+1246</f>
        <v>303699</v>
      </c>
      <c r="M396" s="8">
        <f>10588+8153+2702+3877+4807+2283+58+199</f>
        <v>32667</v>
      </c>
      <c r="N396" s="197">
        <f t="shared" si="65"/>
        <v>9.296813297823492</v>
      </c>
      <c r="O396" s="108">
        <v>390</v>
      </c>
    </row>
    <row r="397" spans="1:15" s="95" customFormat="1" ht="15">
      <c r="A397" s="96">
        <v>391</v>
      </c>
      <c r="B397" s="190" t="s">
        <v>238</v>
      </c>
      <c r="C397" s="34">
        <v>40508</v>
      </c>
      <c r="D397" s="31" t="s">
        <v>36</v>
      </c>
      <c r="E397" s="36">
        <v>34</v>
      </c>
      <c r="F397" s="36">
        <v>1</v>
      </c>
      <c r="G397" s="36">
        <v>10</v>
      </c>
      <c r="H397" s="473">
        <v>767</v>
      </c>
      <c r="I397" s="474">
        <v>115</v>
      </c>
      <c r="J397" s="118">
        <f t="shared" si="64"/>
        <v>115</v>
      </c>
      <c r="K397" s="195">
        <f t="shared" si="62"/>
        <v>6.6695652173913045</v>
      </c>
      <c r="L397" s="9">
        <f>122173+87330+23120+25637+29159.5+14630.5+403+1246+229+767</f>
        <v>304695</v>
      </c>
      <c r="M397" s="8">
        <f>10588+8153+2702+3877+4807+2283+58+199+33+115</f>
        <v>32815</v>
      </c>
      <c r="N397" s="197">
        <f t="shared" si="65"/>
        <v>9.28523541063538</v>
      </c>
      <c r="O397" s="108">
        <v>391</v>
      </c>
    </row>
    <row r="398" spans="1:15" s="95" customFormat="1" ht="15">
      <c r="A398" s="96">
        <v>392</v>
      </c>
      <c r="B398" s="209" t="s">
        <v>238</v>
      </c>
      <c r="C398" s="210">
        <v>40508</v>
      </c>
      <c r="D398" s="204" t="s">
        <v>36</v>
      </c>
      <c r="E398" s="211">
        <v>34</v>
      </c>
      <c r="F398" s="211">
        <v>1</v>
      </c>
      <c r="G398" s="211">
        <v>13</v>
      </c>
      <c r="H398" s="473">
        <v>462</v>
      </c>
      <c r="I398" s="474">
        <v>77</v>
      </c>
      <c r="J398" s="118">
        <f t="shared" si="64"/>
        <v>77</v>
      </c>
      <c r="K398" s="195">
        <f t="shared" si="62"/>
        <v>6</v>
      </c>
      <c r="L398" s="9">
        <f>122173+87330+23120+25637+29159.5+14630.5+403+1246+229+767+1632.5+402+462</f>
        <v>307191.5</v>
      </c>
      <c r="M398" s="8">
        <f>10588+8153+2702+3877+4807+2283+58+199+33+115+203+67+77</f>
        <v>33162</v>
      </c>
      <c r="N398" s="197">
        <f t="shared" si="65"/>
        <v>9.263358663530546</v>
      </c>
      <c r="O398" s="108">
        <v>392</v>
      </c>
    </row>
    <row r="399" spans="1:15" s="95" customFormat="1" ht="15">
      <c r="A399" s="96">
        <v>393</v>
      </c>
      <c r="B399" s="190" t="s">
        <v>238</v>
      </c>
      <c r="C399" s="34">
        <v>40508</v>
      </c>
      <c r="D399" s="199" t="s">
        <v>36</v>
      </c>
      <c r="E399" s="36">
        <v>34</v>
      </c>
      <c r="F399" s="36">
        <v>1</v>
      </c>
      <c r="G399" s="36">
        <v>7</v>
      </c>
      <c r="H399" s="473">
        <v>403</v>
      </c>
      <c r="I399" s="474">
        <v>58</v>
      </c>
      <c r="J399" s="118">
        <f t="shared" si="64"/>
        <v>58</v>
      </c>
      <c r="K399" s="195">
        <f t="shared" si="62"/>
        <v>6.948275862068965</v>
      </c>
      <c r="L399" s="9">
        <f>122173+87330+23120+25637+29159.5+14630.5+403</f>
        <v>302453</v>
      </c>
      <c r="M399" s="8">
        <f>10588+8153+2702+3877+4807+2283+58</f>
        <v>32468</v>
      </c>
      <c r="N399" s="197">
        <f t="shared" si="65"/>
        <v>9.315418257977084</v>
      </c>
      <c r="O399" s="108">
        <v>393</v>
      </c>
    </row>
    <row r="400" spans="1:15" s="95" customFormat="1" ht="15">
      <c r="A400" s="96">
        <v>394</v>
      </c>
      <c r="B400" s="217" t="s">
        <v>238</v>
      </c>
      <c r="C400" s="32">
        <v>40508</v>
      </c>
      <c r="D400" s="199" t="s">
        <v>160</v>
      </c>
      <c r="E400" s="201">
        <v>34</v>
      </c>
      <c r="F400" s="201">
        <v>1</v>
      </c>
      <c r="G400" s="201">
        <v>12</v>
      </c>
      <c r="H400" s="473">
        <v>402</v>
      </c>
      <c r="I400" s="474">
        <v>67</v>
      </c>
      <c r="J400" s="118">
        <f t="shared" si="64"/>
        <v>67</v>
      </c>
      <c r="K400" s="218">
        <f t="shared" si="62"/>
        <v>6</v>
      </c>
      <c r="L400" s="9">
        <f>122173+87330+23120+25637+29159.5+14630.5+403+1246+229+767+1632.5+402</f>
        <v>306729.5</v>
      </c>
      <c r="M400" s="8">
        <f>10588+8153+2702+3877+4807+2283+58+199+33+115+203+67</f>
        <v>33085</v>
      </c>
      <c r="N400" s="197">
        <f t="shared" si="65"/>
        <v>9.270953604352426</v>
      </c>
      <c r="O400" s="108">
        <v>394</v>
      </c>
    </row>
    <row r="401" spans="1:15" s="95" customFormat="1" ht="15">
      <c r="A401" s="96">
        <v>395</v>
      </c>
      <c r="B401" s="217" t="s">
        <v>238</v>
      </c>
      <c r="C401" s="202">
        <v>40508</v>
      </c>
      <c r="D401" s="199" t="s">
        <v>36</v>
      </c>
      <c r="E401" s="201">
        <v>34</v>
      </c>
      <c r="F401" s="201">
        <v>1</v>
      </c>
      <c r="G401" s="201">
        <v>9</v>
      </c>
      <c r="H401" s="475">
        <v>229</v>
      </c>
      <c r="I401" s="476">
        <v>33</v>
      </c>
      <c r="J401" s="203">
        <f t="shared" si="64"/>
        <v>33</v>
      </c>
      <c r="K401" s="200">
        <f t="shared" si="62"/>
        <v>6.9393939393939394</v>
      </c>
      <c r="L401" s="27">
        <f>122173+87330+23120+25637+29159.5+14630.5+403+1246+229</f>
        <v>303928</v>
      </c>
      <c r="M401" s="24">
        <f>10588+8153+2702+3877+4807+2283+58+199+33</f>
        <v>32700</v>
      </c>
      <c r="N401" s="197">
        <f t="shared" si="65"/>
        <v>9.294434250764526</v>
      </c>
      <c r="O401" s="108">
        <v>395</v>
      </c>
    </row>
    <row r="402" spans="1:15" s="95" customFormat="1" ht="15">
      <c r="A402" s="96">
        <v>396</v>
      </c>
      <c r="B402" s="217" t="s">
        <v>239</v>
      </c>
      <c r="C402" s="191">
        <v>40487</v>
      </c>
      <c r="D402" s="199" t="s">
        <v>32</v>
      </c>
      <c r="E402" s="201">
        <v>162</v>
      </c>
      <c r="F402" s="201">
        <v>2</v>
      </c>
      <c r="G402" s="201">
        <v>10</v>
      </c>
      <c r="H402" s="486">
        <v>1340</v>
      </c>
      <c r="I402" s="487">
        <v>198</v>
      </c>
      <c r="J402" s="102">
        <f>IF(H402&lt;&gt;0,I402/F402,"")</f>
        <v>99</v>
      </c>
      <c r="K402" s="227">
        <f>IF(H402&lt;&gt;0,H402/I402,"")</f>
        <v>6.767676767676767</v>
      </c>
      <c r="L402" s="41">
        <f>525983.5+915356-20+520720.5+229861+37809.5+41066.5+9062.5+5020+8527+1340</f>
        <v>2294726.5</v>
      </c>
      <c r="M402" s="44">
        <f>56225+93965-2+58841+28041+5233+5910+1474+785+1182+198</f>
        <v>251852</v>
      </c>
      <c r="N402" s="228">
        <f>IF(L402&lt;&gt;0,L402/M402,"")</f>
        <v>9.111408684465479</v>
      </c>
      <c r="O402" s="108">
        <v>396</v>
      </c>
    </row>
    <row r="403" spans="1:15" s="95" customFormat="1" ht="15">
      <c r="A403" s="96">
        <v>397</v>
      </c>
      <c r="B403" s="235" t="s">
        <v>270</v>
      </c>
      <c r="C403" s="191">
        <v>40487</v>
      </c>
      <c r="D403" s="33" t="s">
        <v>32</v>
      </c>
      <c r="E403" s="192">
        <v>162</v>
      </c>
      <c r="F403" s="192">
        <v>8</v>
      </c>
      <c r="G403" s="192">
        <v>9</v>
      </c>
      <c r="H403" s="490">
        <v>8527</v>
      </c>
      <c r="I403" s="487">
        <v>1182</v>
      </c>
      <c r="J403" s="102">
        <f>IF(H403&lt;&gt;0,I403/F403,"")</f>
        <v>147.75</v>
      </c>
      <c r="K403" s="229">
        <f>IF(H403&lt;&gt;0,H403/I403,"")</f>
        <v>7.214043993231811</v>
      </c>
      <c r="L403" s="28">
        <f>525983.5+915356-20+520720.5+229861+37809.5+41066.5+9062.5+5020+8527</f>
        <v>2293386.5</v>
      </c>
      <c r="M403" s="44">
        <f>56225+93965-2+58841+28041+5233+5910+1474+785+1182</f>
        <v>251654</v>
      </c>
      <c r="N403" s="228">
        <f>IF(L403&lt;&gt;0,L403/M403,"")</f>
        <v>9.11325272000445</v>
      </c>
      <c r="O403" s="108">
        <v>397</v>
      </c>
    </row>
    <row r="404" spans="1:15" s="95" customFormat="1" ht="15">
      <c r="A404" s="96">
        <v>398</v>
      </c>
      <c r="B404" s="190" t="s">
        <v>270</v>
      </c>
      <c r="C404" s="191">
        <v>40487</v>
      </c>
      <c r="D404" s="236" t="s">
        <v>32</v>
      </c>
      <c r="E404" s="192">
        <v>162</v>
      </c>
      <c r="F404" s="192">
        <v>1</v>
      </c>
      <c r="G404" s="192">
        <v>12</v>
      </c>
      <c r="H404" s="486">
        <v>1941</v>
      </c>
      <c r="I404" s="487">
        <v>388</v>
      </c>
      <c r="J404" s="45">
        <f>I404/F404</f>
        <v>388</v>
      </c>
      <c r="K404" s="233">
        <f>+H404/I404</f>
        <v>5.002577319587629</v>
      </c>
      <c r="L404" s="41">
        <f>525983.5+915356-20+520720.5+229861+37809.5+41066.5+9062.5+5020+8527+1340+1644+1941</f>
        <v>2298311.5</v>
      </c>
      <c r="M404" s="44">
        <f>56225+93965-2+58841+28041+5233+5910+1474+785+1182+198+319+388</f>
        <v>252559</v>
      </c>
      <c r="N404" s="220">
        <f>+L404/M404</f>
        <v>9.100097402983065</v>
      </c>
      <c r="O404" s="108">
        <v>398</v>
      </c>
    </row>
    <row r="405" spans="1:15" s="95" customFormat="1" ht="15">
      <c r="A405" s="96">
        <v>399</v>
      </c>
      <c r="B405" s="235" t="s">
        <v>270</v>
      </c>
      <c r="C405" s="191">
        <v>40487</v>
      </c>
      <c r="D405" s="236" t="s">
        <v>32</v>
      </c>
      <c r="E405" s="192">
        <v>162</v>
      </c>
      <c r="F405" s="192">
        <v>3</v>
      </c>
      <c r="G405" s="192">
        <v>11</v>
      </c>
      <c r="H405" s="486">
        <v>1644</v>
      </c>
      <c r="I405" s="487">
        <v>319</v>
      </c>
      <c r="J405" s="118">
        <f>(I405/F405)</f>
        <v>106.33333333333333</v>
      </c>
      <c r="K405" s="195">
        <f>H405/I405</f>
        <v>5.153605015673981</v>
      </c>
      <c r="L405" s="41">
        <f>525983.5+915356-20+520720.5+229861+37809.5+41066.5+9062.5+5020+8527+1340+1644</f>
        <v>2296370.5</v>
      </c>
      <c r="M405" s="44">
        <f>56225+93965-2+58841+28041+5233+5910+1474+785+1182+198+319</f>
        <v>252171</v>
      </c>
      <c r="N405" s="197">
        <f>L405/M405</f>
        <v>9.106402004988679</v>
      </c>
      <c r="O405" s="108">
        <v>399</v>
      </c>
    </row>
    <row r="406" spans="1:15" s="95" customFormat="1" ht="15">
      <c r="A406" s="96">
        <v>400</v>
      </c>
      <c r="B406" s="190" t="s">
        <v>270</v>
      </c>
      <c r="C406" s="191">
        <v>40487</v>
      </c>
      <c r="D406" s="236" t="s">
        <v>32</v>
      </c>
      <c r="E406" s="192">
        <v>162</v>
      </c>
      <c r="F406" s="192">
        <v>1</v>
      </c>
      <c r="G406" s="192">
        <v>16</v>
      </c>
      <c r="H406" s="486">
        <v>1503</v>
      </c>
      <c r="I406" s="487">
        <v>288</v>
      </c>
      <c r="J406" s="106">
        <v>19.8181818181821</v>
      </c>
      <c r="K406" s="249">
        <v>6.92102754237288</v>
      </c>
      <c r="L406" s="41">
        <f>525983.5+915356-20+520720.5+229861+37809.5+41066.5+9062.5+5020+8527+1340+1644+1941+1056+313+102+1503</f>
        <v>2301285.5</v>
      </c>
      <c r="M406" s="45">
        <f>56225+93965-2+58841+28041+5233+5910+1474+785+1182+198+319+388+171+52+17+288</f>
        <v>253087</v>
      </c>
      <c r="N406" s="252">
        <v>2.1488509451776</v>
      </c>
      <c r="O406" s="108">
        <v>400</v>
      </c>
    </row>
    <row r="407" spans="1:15" s="95" customFormat="1" ht="15">
      <c r="A407" s="96">
        <v>401</v>
      </c>
      <c r="B407" s="237" t="s">
        <v>270</v>
      </c>
      <c r="C407" s="238">
        <v>40487</v>
      </c>
      <c r="D407" s="470" t="s">
        <v>32</v>
      </c>
      <c r="E407" s="239">
        <v>162</v>
      </c>
      <c r="F407" s="239">
        <v>1</v>
      </c>
      <c r="G407" s="239">
        <v>13</v>
      </c>
      <c r="H407" s="718">
        <v>1056</v>
      </c>
      <c r="I407" s="489">
        <v>171</v>
      </c>
      <c r="J407" s="298">
        <f>I407/F407</f>
        <v>171</v>
      </c>
      <c r="K407" s="341">
        <f>H407/I407</f>
        <v>6.175438596491228</v>
      </c>
      <c r="L407" s="425">
        <f>525983.5+915356-20+520720.5+229861+37809.5+41066.5+9062.5+5020+8527+1340+1644+1941+1056</f>
        <v>2299367.5</v>
      </c>
      <c r="M407" s="240">
        <f>56225+93965-2+58841+28041+5233+5910+1474+785+1182+198+319+388+171</f>
        <v>252730</v>
      </c>
      <c r="N407" s="342">
        <f>L407/M407</f>
        <v>9.098118545483322</v>
      </c>
      <c r="O407" s="108">
        <v>401</v>
      </c>
    </row>
    <row r="408" spans="1:15" s="95" customFormat="1" ht="15">
      <c r="A408" s="96">
        <v>402</v>
      </c>
      <c r="B408" s="217" t="s">
        <v>270</v>
      </c>
      <c r="C408" s="202">
        <v>40487</v>
      </c>
      <c r="D408" s="199" t="s">
        <v>32</v>
      </c>
      <c r="E408" s="201">
        <v>162</v>
      </c>
      <c r="F408" s="201">
        <v>1</v>
      </c>
      <c r="G408" s="201">
        <v>14</v>
      </c>
      <c r="H408" s="486">
        <v>313</v>
      </c>
      <c r="I408" s="487">
        <v>52</v>
      </c>
      <c r="J408" s="102">
        <f>+I408/F408</f>
        <v>52</v>
      </c>
      <c r="K408" s="227">
        <f>+H408/I408</f>
        <v>6.019230769230769</v>
      </c>
      <c r="L408" s="41">
        <f>525983.5+915356-20+520720.5+229861+37809.5+41066.5+9062.5+5020+8527+1340+1644+1941+1056+313</f>
        <v>2299680.5</v>
      </c>
      <c r="M408" s="44">
        <f>56225+93965-2+58841+28041+5233+5910+1474+785+1182+198+319+388+171+52</f>
        <v>252782</v>
      </c>
      <c r="N408" s="228">
        <f>+L408/M408</f>
        <v>9.097485184862846</v>
      </c>
      <c r="O408" s="108">
        <v>402</v>
      </c>
    </row>
    <row r="409" spans="1:15" s="95" customFormat="1" ht="15">
      <c r="A409" s="96">
        <v>403</v>
      </c>
      <c r="B409" s="217" t="s">
        <v>270</v>
      </c>
      <c r="C409" s="202">
        <v>40487</v>
      </c>
      <c r="D409" s="199" t="s">
        <v>32</v>
      </c>
      <c r="E409" s="201">
        <v>162</v>
      </c>
      <c r="F409" s="201">
        <v>1</v>
      </c>
      <c r="G409" s="201">
        <v>15</v>
      </c>
      <c r="H409" s="490">
        <v>102</v>
      </c>
      <c r="I409" s="503">
        <v>17</v>
      </c>
      <c r="J409" s="284">
        <f>+I409/F409</f>
        <v>17</v>
      </c>
      <c r="K409" s="229">
        <f>+H409/I409</f>
        <v>6</v>
      </c>
      <c r="L409" s="245">
        <f>525983.5+915356-20+520720.5+229861+37809.5+41066.5+9062.5+5020+8527+1340+1644+1941+1056+313+102</f>
        <v>2299782.5</v>
      </c>
      <c r="M409" s="30">
        <f>56225+93965-2+58841+28041+5233+5910+1474+785+1182+198+319+388+171+52+17</f>
        <v>252799</v>
      </c>
      <c r="N409" s="228">
        <f>+L409/M409</f>
        <v>9.097276887962373</v>
      </c>
      <c r="O409" s="108">
        <v>403</v>
      </c>
    </row>
    <row r="410" spans="1:15" s="95" customFormat="1" ht="15">
      <c r="A410" s="96">
        <v>404</v>
      </c>
      <c r="B410" s="190" t="s">
        <v>271</v>
      </c>
      <c r="C410" s="191">
        <v>40235</v>
      </c>
      <c r="D410" s="199" t="s">
        <v>36</v>
      </c>
      <c r="E410" s="192">
        <v>227</v>
      </c>
      <c r="F410" s="192">
        <v>1</v>
      </c>
      <c r="G410" s="192">
        <v>30</v>
      </c>
      <c r="H410" s="473">
        <v>950.5</v>
      </c>
      <c r="I410" s="474">
        <v>238</v>
      </c>
      <c r="J410" s="118">
        <f aca="true" t="shared" si="66" ref="J410:J418">(I410/F410)</f>
        <v>238</v>
      </c>
      <c r="K410" s="195">
        <f aca="true" t="shared" si="67" ref="K410:K418">H410/I410</f>
        <v>3.9936974789915967</v>
      </c>
      <c r="L410" s="9">
        <f>8240207.5+202+255+7892+2376+1782+1782+2376+950.5</f>
        <v>8257823</v>
      </c>
      <c r="M410" s="8">
        <f>1023896+40+51+1967+594+445+445+594+238</f>
        <v>1028270</v>
      </c>
      <c r="N410" s="197">
        <f aca="true" t="shared" si="68" ref="N410:N418">L410/M410</f>
        <v>8.030792496134284</v>
      </c>
      <c r="O410" s="108">
        <v>404</v>
      </c>
    </row>
    <row r="411" spans="1:15" s="95" customFormat="1" ht="15">
      <c r="A411" s="96">
        <v>405</v>
      </c>
      <c r="B411" s="209" t="s">
        <v>240</v>
      </c>
      <c r="C411" s="210">
        <v>40480</v>
      </c>
      <c r="D411" s="199" t="s">
        <v>36</v>
      </c>
      <c r="E411" s="211">
        <v>100</v>
      </c>
      <c r="F411" s="211">
        <v>4</v>
      </c>
      <c r="G411" s="211">
        <v>15</v>
      </c>
      <c r="H411" s="477">
        <v>8910</v>
      </c>
      <c r="I411" s="478">
        <v>2228</v>
      </c>
      <c r="J411" s="212">
        <f t="shared" si="66"/>
        <v>557</v>
      </c>
      <c r="K411" s="213">
        <f t="shared" si="67"/>
        <v>3.9991023339317775</v>
      </c>
      <c r="L411" s="214">
        <f>1221166+429124.5+378100+240009.5+108018.5+26890.5+15319+16968+7345.5+4160+1262+1510+3920.5+2732.5+8910</f>
        <v>2465436.5</v>
      </c>
      <c r="M411" s="215">
        <f>114702+40612+35598+23284+12543+4168+3055+2661+1161+850+210+377+981+684+2228</f>
        <v>243114</v>
      </c>
      <c r="N411" s="216">
        <f t="shared" si="68"/>
        <v>10.141071678307297</v>
      </c>
      <c r="O411" s="108">
        <v>405</v>
      </c>
    </row>
    <row r="412" spans="1:15" s="95" customFormat="1" ht="15">
      <c r="A412" s="96">
        <v>406</v>
      </c>
      <c r="B412" s="198" t="s">
        <v>240</v>
      </c>
      <c r="C412" s="34">
        <v>40480</v>
      </c>
      <c r="D412" s="199" t="s">
        <v>36</v>
      </c>
      <c r="E412" s="36">
        <v>100</v>
      </c>
      <c r="F412" s="36">
        <v>11</v>
      </c>
      <c r="G412" s="36">
        <v>10</v>
      </c>
      <c r="H412" s="475">
        <v>4160</v>
      </c>
      <c r="I412" s="474">
        <v>850</v>
      </c>
      <c r="J412" s="118">
        <f t="shared" si="66"/>
        <v>77.27272727272727</v>
      </c>
      <c r="K412" s="200">
        <f t="shared" si="67"/>
        <v>4.894117647058824</v>
      </c>
      <c r="L412" s="27">
        <f>1221166+429124.5+378100+240009.5+108018.5+26890.5+15319+16968+7345.5+4160</f>
        <v>2447101.5</v>
      </c>
      <c r="M412" s="8">
        <f>114702+40612+35598+23284+12543+4168+3055+2661+1161+850</f>
        <v>238634</v>
      </c>
      <c r="N412" s="197">
        <f t="shared" si="68"/>
        <v>10.254622141019302</v>
      </c>
      <c r="O412" s="108">
        <v>406</v>
      </c>
    </row>
    <row r="413" spans="1:15" s="95" customFormat="1" ht="15">
      <c r="A413" s="96">
        <v>407</v>
      </c>
      <c r="B413" s="727" t="s">
        <v>240</v>
      </c>
      <c r="C413" s="712">
        <v>40480</v>
      </c>
      <c r="D413" s="714" t="s">
        <v>36</v>
      </c>
      <c r="E413" s="715">
        <v>100</v>
      </c>
      <c r="F413" s="715">
        <v>2</v>
      </c>
      <c r="G413" s="715">
        <v>13</v>
      </c>
      <c r="H413" s="719">
        <v>3920.5</v>
      </c>
      <c r="I413" s="722">
        <v>982</v>
      </c>
      <c r="J413" s="723">
        <f t="shared" si="66"/>
        <v>491</v>
      </c>
      <c r="K413" s="725">
        <f t="shared" si="67"/>
        <v>3.9923625254582484</v>
      </c>
      <c r="L413" s="705">
        <f>1221166+429124.5+378100+240009.5+108018.5+26890.5+15319+16968+7345.5+4160+1262+1510+3920.5</f>
        <v>2453794</v>
      </c>
      <c r="M413" s="706">
        <f>114702+40612+35598+23284+12543+4168+3055+2661+1161+850+210+377+982</f>
        <v>240203</v>
      </c>
      <c r="N413" s="726">
        <f t="shared" si="68"/>
        <v>10.215501055357343</v>
      </c>
      <c r="O413" s="108">
        <v>407</v>
      </c>
    </row>
    <row r="414" spans="1:15" s="95" customFormat="1" ht="15">
      <c r="A414" s="96">
        <v>408</v>
      </c>
      <c r="B414" s="217" t="s">
        <v>240</v>
      </c>
      <c r="C414" s="191">
        <v>40480</v>
      </c>
      <c r="D414" s="199" t="s">
        <v>36</v>
      </c>
      <c r="E414" s="201">
        <v>100</v>
      </c>
      <c r="F414" s="201">
        <v>2</v>
      </c>
      <c r="G414" s="201">
        <v>14</v>
      </c>
      <c r="H414" s="473">
        <v>2732.5</v>
      </c>
      <c r="I414" s="474">
        <v>684</v>
      </c>
      <c r="J414" s="118">
        <f t="shared" si="66"/>
        <v>342</v>
      </c>
      <c r="K414" s="195">
        <f t="shared" si="67"/>
        <v>3.9948830409356724</v>
      </c>
      <c r="L414" s="9">
        <f>1221166+429124.5+378100+240009.5+108018.5+26890.5+15319+16968+7345.5+4160+1262+1510+3920.5+2732.5</f>
        <v>2456526.5</v>
      </c>
      <c r="M414" s="8">
        <f>114702+40612+35598+23284+12543+4168+3055+2661+1161+850+210+377+981+684</f>
        <v>240886</v>
      </c>
      <c r="N414" s="197">
        <f t="shared" si="68"/>
        <v>10.197879909998921</v>
      </c>
      <c r="O414" s="108">
        <v>408</v>
      </c>
    </row>
    <row r="415" spans="1:15" s="95" customFormat="1" ht="15">
      <c r="A415" s="96">
        <v>409</v>
      </c>
      <c r="B415" s="209" t="s">
        <v>240</v>
      </c>
      <c r="C415" s="210">
        <v>40480</v>
      </c>
      <c r="D415" s="199" t="s">
        <v>36</v>
      </c>
      <c r="E415" s="211">
        <v>100</v>
      </c>
      <c r="F415" s="211">
        <v>1</v>
      </c>
      <c r="G415" s="211">
        <v>12</v>
      </c>
      <c r="H415" s="477">
        <v>1510</v>
      </c>
      <c r="I415" s="478">
        <v>377</v>
      </c>
      <c r="J415" s="212">
        <f t="shared" si="66"/>
        <v>377</v>
      </c>
      <c r="K415" s="213">
        <f t="shared" si="67"/>
        <v>4.005305039787799</v>
      </c>
      <c r="L415" s="214">
        <f>1221166+429124.5+378100+240009.5+108018.5+26890.5+15319+16968+7345.5+4160+1262+1510</f>
        <v>2449873.5</v>
      </c>
      <c r="M415" s="215">
        <f>114702+40612+35598+23284+12543+4168+3055+2661+1161+850+210+377</f>
        <v>239221</v>
      </c>
      <c r="N415" s="216">
        <f t="shared" si="68"/>
        <v>10.24104698166131</v>
      </c>
      <c r="O415" s="108">
        <v>409</v>
      </c>
    </row>
    <row r="416" spans="1:15" s="95" customFormat="1" ht="15">
      <c r="A416" s="96">
        <v>410</v>
      </c>
      <c r="B416" s="190" t="s">
        <v>240</v>
      </c>
      <c r="C416" s="34">
        <v>40480</v>
      </c>
      <c r="D416" s="199" t="s">
        <v>36</v>
      </c>
      <c r="E416" s="36">
        <v>100</v>
      </c>
      <c r="F416" s="36">
        <v>2</v>
      </c>
      <c r="G416" s="36">
        <v>11</v>
      </c>
      <c r="H416" s="473">
        <v>1262</v>
      </c>
      <c r="I416" s="474">
        <v>210</v>
      </c>
      <c r="J416" s="118">
        <f t="shared" si="66"/>
        <v>105</v>
      </c>
      <c r="K416" s="195">
        <f t="shared" si="67"/>
        <v>6.0095238095238095</v>
      </c>
      <c r="L416" s="9">
        <f>1221166+429124.5+378100+240009.5+108018.5+26890.5+15319+16968+7345.5+4160+1262</f>
        <v>2448363.5</v>
      </c>
      <c r="M416" s="8">
        <f>114702+40612+35598+23284+12543+4168+3055+2661+1161+850+210</f>
        <v>238844</v>
      </c>
      <c r="N416" s="197">
        <f t="shared" si="68"/>
        <v>10.250889702064946</v>
      </c>
      <c r="O416" s="108">
        <v>410</v>
      </c>
    </row>
    <row r="417" spans="1:15" s="95" customFormat="1" ht="15">
      <c r="A417" s="96">
        <v>411</v>
      </c>
      <c r="B417" s="190" t="s">
        <v>240</v>
      </c>
      <c r="C417" s="34">
        <v>40480</v>
      </c>
      <c r="D417" s="31" t="s">
        <v>36</v>
      </c>
      <c r="E417" s="36">
        <v>100</v>
      </c>
      <c r="F417" s="36">
        <v>1</v>
      </c>
      <c r="G417" s="36">
        <v>17</v>
      </c>
      <c r="H417" s="473">
        <v>670</v>
      </c>
      <c r="I417" s="474">
        <v>109</v>
      </c>
      <c r="J417" s="118">
        <f t="shared" si="66"/>
        <v>109</v>
      </c>
      <c r="K417" s="195">
        <f t="shared" si="67"/>
        <v>6.146788990825688</v>
      </c>
      <c r="L417" s="9">
        <f>1221166+429124.5+378100+240009.5+108018.5+26890.5+15319+16968+7345.5+4160+1262+1510+3920.5+2732.5+8910+571+670</f>
        <v>2466677.5</v>
      </c>
      <c r="M417" s="8">
        <f>114702+40612+35598+23284+12543+4168+3055+2661+1161+850+210+377+981+684+2228+92+109</f>
        <v>243315</v>
      </c>
      <c r="N417" s="197">
        <f t="shared" si="68"/>
        <v>10.13779462836241</v>
      </c>
      <c r="O417" s="108">
        <v>411</v>
      </c>
    </row>
    <row r="418" spans="1:15" s="95" customFormat="1" ht="15">
      <c r="A418" s="96">
        <v>412</v>
      </c>
      <c r="B418" s="190" t="s">
        <v>240</v>
      </c>
      <c r="C418" s="34">
        <v>40480</v>
      </c>
      <c r="D418" s="31" t="s">
        <v>36</v>
      </c>
      <c r="E418" s="36">
        <v>100</v>
      </c>
      <c r="F418" s="36">
        <v>1</v>
      </c>
      <c r="G418" s="36">
        <v>16</v>
      </c>
      <c r="H418" s="473">
        <v>571</v>
      </c>
      <c r="I418" s="474">
        <v>92</v>
      </c>
      <c r="J418" s="118">
        <f t="shared" si="66"/>
        <v>92</v>
      </c>
      <c r="K418" s="195">
        <f t="shared" si="67"/>
        <v>6.206521739130435</v>
      </c>
      <c r="L418" s="9">
        <f>1221166+429124.5+378100+240009.5+108018.5+26890.5+15319+16968+7345.5+4160+1262+1510+3920.5+2732.5+8910+571</f>
        <v>2466007.5</v>
      </c>
      <c r="M418" s="8">
        <f>114702+40612+35598+23284+12543+4168+3055+2661+1161+850+210+377+981+684+2228+92</f>
        <v>243206</v>
      </c>
      <c r="N418" s="197">
        <f t="shared" si="68"/>
        <v>10.139583316201081</v>
      </c>
      <c r="O418" s="108">
        <v>412</v>
      </c>
    </row>
    <row r="419" spans="1:15" s="95" customFormat="1" ht="15">
      <c r="A419" s="96">
        <v>413</v>
      </c>
      <c r="B419" s="235" t="s">
        <v>241</v>
      </c>
      <c r="C419" s="34">
        <v>40508</v>
      </c>
      <c r="D419" s="268" t="s">
        <v>24</v>
      </c>
      <c r="E419" s="36">
        <v>11</v>
      </c>
      <c r="F419" s="36">
        <v>3</v>
      </c>
      <c r="G419" s="36">
        <v>6</v>
      </c>
      <c r="H419" s="490">
        <v>3343</v>
      </c>
      <c r="I419" s="487">
        <v>754</v>
      </c>
      <c r="J419" s="45">
        <f>I419/F419</f>
        <v>251.33333333333334</v>
      </c>
      <c r="K419" s="244">
        <f>+H419/I419</f>
        <v>4.43368700265252</v>
      </c>
      <c r="L419" s="245">
        <v>107677</v>
      </c>
      <c r="M419" s="46">
        <v>8838</v>
      </c>
      <c r="N419" s="234">
        <f>+L419/M419</f>
        <v>12.183412536773025</v>
      </c>
      <c r="O419" s="108">
        <v>413</v>
      </c>
    </row>
    <row r="420" spans="1:15" s="95" customFormat="1" ht="15">
      <c r="A420" s="96">
        <v>414</v>
      </c>
      <c r="B420" s="237" t="s">
        <v>241</v>
      </c>
      <c r="C420" s="269">
        <v>40508</v>
      </c>
      <c r="D420" s="270" t="s">
        <v>24</v>
      </c>
      <c r="E420" s="239">
        <v>11</v>
      </c>
      <c r="F420" s="239">
        <v>1</v>
      </c>
      <c r="G420" s="239">
        <v>9</v>
      </c>
      <c r="H420" s="488">
        <v>1240</v>
      </c>
      <c r="I420" s="489">
        <v>164</v>
      </c>
      <c r="J420" s="240">
        <f>I420/F420</f>
        <v>164</v>
      </c>
      <c r="K420" s="241">
        <f>+H420/I420</f>
        <v>7.560975609756097</v>
      </c>
      <c r="L420" s="242">
        <v>108917</v>
      </c>
      <c r="M420" s="298">
        <v>9002</v>
      </c>
      <c r="N420" s="243">
        <f>+L420/M420</f>
        <v>12.09920017773828</v>
      </c>
      <c r="O420" s="108">
        <v>414</v>
      </c>
    </row>
    <row r="421" spans="1:15" s="95" customFormat="1" ht="15.75" thickBot="1">
      <c r="A421" s="96">
        <v>415</v>
      </c>
      <c r="B421" s="366" t="s">
        <v>242</v>
      </c>
      <c r="C421" s="5">
        <v>40284</v>
      </c>
      <c r="D421" s="354" t="s">
        <v>8</v>
      </c>
      <c r="E421" s="356">
        <v>1</v>
      </c>
      <c r="F421" s="356">
        <v>1</v>
      </c>
      <c r="G421" s="356">
        <v>22</v>
      </c>
      <c r="H421" s="511">
        <v>336</v>
      </c>
      <c r="I421" s="512">
        <v>48</v>
      </c>
      <c r="J421" s="139">
        <f>+I421/F421</f>
        <v>48</v>
      </c>
      <c r="K421" s="343">
        <f>+H421/I421</f>
        <v>7</v>
      </c>
      <c r="L421" s="10">
        <v>47577</v>
      </c>
      <c r="M421" s="11">
        <v>4083</v>
      </c>
      <c r="N421" s="358">
        <f>+L421/M421</f>
        <v>11.652461425422484</v>
      </c>
      <c r="O421" s="108">
        <v>415</v>
      </c>
    </row>
    <row r="422" spans="1:14" s="95" customFormat="1" ht="15.75" thickBot="1">
      <c r="A422" s="145"/>
      <c r="C422" s="147"/>
      <c r="E422" s="146"/>
      <c r="F422" s="146"/>
      <c r="G422" s="146"/>
      <c r="H422" s="154"/>
      <c r="I422" s="154"/>
      <c r="J422" s="155"/>
      <c r="K422" s="156"/>
      <c r="L422" s="148"/>
      <c r="M422" s="157"/>
      <c r="N422" s="152"/>
    </row>
    <row r="423" spans="1:15" s="158" customFormat="1" ht="12.75">
      <c r="A423" s="822" t="s">
        <v>98</v>
      </c>
      <c r="B423" s="823"/>
      <c r="C423" s="823"/>
      <c r="D423" s="823"/>
      <c r="E423" s="823"/>
      <c r="F423" s="823"/>
      <c r="G423" s="823"/>
      <c r="H423" s="823"/>
      <c r="I423" s="823"/>
      <c r="J423" s="823"/>
      <c r="K423" s="823"/>
      <c r="L423" s="823"/>
      <c r="M423" s="823"/>
      <c r="N423" s="823"/>
      <c r="O423" s="824"/>
    </row>
    <row r="424" spans="1:15" s="158" customFormat="1" ht="12.75">
      <c r="A424" s="825"/>
      <c r="B424" s="826"/>
      <c r="C424" s="826"/>
      <c r="D424" s="826"/>
      <c r="E424" s="826"/>
      <c r="F424" s="826"/>
      <c r="G424" s="826"/>
      <c r="H424" s="826"/>
      <c r="I424" s="826"/>
      <c r="J424" s="826"/>
      <c r="K424" s="826"/>
      <c r="L424" s="826"/>
      <c r="M424" s="826"/>
      <c r="N424" s="826"/>
      <c r="O424" s="827"/>
    </row>
    <row r="425" spans="1:15" s="158" customFormat="1" ht="12.75">
      <c r="A425" s="825"/>
      <c r="B425" s="826"/>
      <c r="C425" s="826"/>
      <c r="D425" s="826"/>
      <c r="E425" s="826"/>
      <c r="F425" s="826"/>
      <c r="G425" s="826"/>
      <c r="H425" s="826"/>
      <c r="I425" s="826"/>
      <c r="J425" s="826"/>
      <c r="K425" s="826"/>
      <c r="L425" s="826"/>
      <c r="M425" s="826"/>
      <c r="N425" s="826"/>
      <c r="O425" s="827"/>
    </row>
    <row r="426" spans="1:15" s="158" customFormat="1" ht="12.75">
      <c r="A426" s="825"/>
      <c r="B426" s="826"/>
      <c r="C426" s="826"/>
      <c r="D426" s="826"/>
      <c r="E426" s="826"/>
      <c r="F426" s="826"/>
      <c r="G426" s="826"/>
      <c r="H426" s="826"/>
      <c r="I426" s="826"/>
      <c r="J426" s="826"/>
      <c r="K426" s="826"/>
      <c r="L426" s="826"/>
      <c r="M426" s="826"/>
      <c r="N426" s="826"/>
      <c r="O426" s="827"/>
    </row>
    <row r="427" spans="1:15" s="158" customFormat="1" ht="12.75">
      <c r="A427" s="825"/>
      <c r="B427" s="826"/>
      <c r="C427" s="826"/>
      <c r="D427" s="826"/>
      <c r="E427" s="826"/>
      <c r="F427" s="826"/>
      <c r="G427" s="826"/>
      <c r="H427" s="826"/>
      <c r="I427" s="826"/>
      <c r="J427" s="826"/>
      <c r="K427" s="826"/>
      <c r="L427" s="826"/>
      <c r="M427" s="826"/>
      <c r="N427" s="826"/>
      <c r="O427" s="827"/>
    </row>
    <row r="428" spans="1:15" s="158" customFormat="1" ht="13.5" thickBot="1">
      <c r="A428" s="828"/>
      <c r="B428" s="829"/>
      <c r="C428" s="829"/>
      <c r="D428" s="829"/>
      <c r="E428" s="829"/>
      <c r="F428" s="829"/>
      <c r="G428" s="829"/>
      <c r="H428" s="829"/>
      <c r="I428" s="829"/>
      <c r="J428" s="829"/>
      <c r="K428" s="829"/>
      <c r="L428" s="829"/>
      <c r="M428" s="829"/>
      <c r="N428" s="829"/>
      <c r="O428" s="830"/>
    </row>
  </sheetData>
  <sheetProtection/>
  <mergeCells count="19">
    <mergeCell ref="J9:K9"/>
    <mergeCell ref="A423:O428"/>
    <mergeCell ref="H1:J1"/>
    <mergeCell ref="K1:O1"/>
    <mergeCell ref="H4:J4"/>
    <mergeCell ref="H5:O5"/>
    <mergeCell ref="A1:G1"/>
    <mergeCell ref="A2:G2"/>
    <mergeCell ref="A3:G3"/>
    <mergeCell ref="A4:C4"/>
    <mergeCell ref="J6:K6"/>
    <mergeCell ref="L6:O6"/>
    <mergeCell ref="H7:I7"/>
    <mergeCell ref="J7:K7"/>
    <mergeCell ref="L7:M7"/>
    <mergeCell ref="A5:C5"/>
    <mergeCell ref="B6:E6"/>
    <mergeCell ref="F6:G6"/>
    <mergeCell ref="H6:I6"/>
  </mergeCells>
  <hyperlinks>
    <hyperlink ref="A3" r:id="rId1" display="http://www.antraktsinema.com"/>
  </hyperlinks>
  <printOptions/>
  <pageMargins left="0.75" right="0.75" top="1" bottom="1" header="0.5" footer="0.5"/>
  <pageSetup orientation="portrait" paperSize="9"/>
  <ignoredErrors>
    <ignoredError sqref="L12:M30 L46:M61" unlockedFormula="1"/>
  </ignoredErrors>
  <drawing r:id="rId2"/>
</worksheet>
</file>

<file path=xl/worksheets/sheet4.xml><?xml version="1.0" encoding="utf-8"?>
<worksheet xmlns="http://schemas.openxmlformats.org/spreadsheetml/2006/main" xmlns:r="http://schemas.openxmlformats.org/officeDocument/2006/relationships">
  <dimension ref="A1:AG37"/>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59" bestFit="1" customWidth="1"/>
    <col min="2" max="2" width="4.28125" style="160" hidden="1" customWidth="1"/>
    <col min="3" max="3" width="6.421875" style="161" hidden="1" customWidth="1"/>
    <col min="4" max="4" width="50.57421875" style="162" bestFit="1" customWidth="1"/>
    <col min="5" max="5" width="7.8515625" style="163" hidden="1" customWidth="1"/>
    <col min="6" max="6" width="24.421875" style="163" bestFit="1" customWidth="1"/>
    <col min="7" max="7" width="6.57421875" style="163" hidden="1" customWidth="1"/>
    <col min="8" max="8" width="8.7109375" style="164" customWidth="1"/>
    <col min="9" max="9" width="8.7109375" style="165" customWidth="1"/>
    <col min="10" max="10" width="9.8515625" style="164" hidden="1" customWidth="1"/>
    <col min="11" max="11" width="6.421875" style="165" hidden="1" customWidth="1"/>
    <col min="12" max="12" width="11.28125" style="164" hidden="1" customWidth="1"/>
    <col min="13" max="13" width="6.421875" style="165" hidden="1" customWidth="1"/>
    <col min="14" max="14" width="9.8515625" style="166" hidden="1" customWidth="1"/>
    <col min="15" max="15" width="6.421875" style="167" hidden="1" customWidth="1"/>
    <col min="16" max="16" width="11.28125" style="168" hidden="1" customWidth="1"/>
    <col min="17" max="17" width="7.421875" style="169" hidden="1" customWidth="1"/>
    <col min="18" max="18" width="10.421875" style="170" hidden="1" customWidth="1"/>
    <col min="19" max="19" width="7.57421875" style="171" hidden="1" customWidth="1"/>
    <col min="20" max="20" width="9.8515625" style="170" hidden="1" customWidth="1"/>
    <col min="21" max="21" width="7.28125" style="168" hidden="1" customWidth="1"/>
    <col min="22" max="22" width="11.28125" style="169" hidden="1" customWidth="1"/>
    <col min="23" max="23" width="7.421875" style="172" hidden="1" customWidth="1"/>
    <col min="24" max="24" width="12.421875" style="173" bestFit="1" customWidth="1"/>
    <col min="25" max="25" width="9.57421875" style="173" customWidth="1"/>
    <col min="26" max="27" width="7.8515625" style="162" customWidth="1"/>
    <col min="28" max="28" width="9.8515625" style="174" customWidth="1"/>
    <col min="29" max="29" width="9.8515625" style="175" customWidth="1"/>
    <col min="30" max="30" width="12.28125" style="162" bestFit="1" customWidth="1"/>
    <col min="31" max="31" width="7.421875" style="162" bestFit="1" customWidth="1"/>
    <col min="32" max="32" width="9.140625" style="162" bestFit="1" customWidth="1"/>
    <col min="33" max="33" width="3.28125" style="162" bestFit="1" customWidth="1"/>
    <col min="34" max="16384" width="4.421875" style="162" customWidth="1"/>
  </cols>
  <sheetData>
    <row r="1" spans="1:33" s="56" customFormat="1" ht="35.25" thickBot="1">
      <c r="A1" s="866" t="s">
        <v>359</v>
      </c>
      <c r="B1" s="867"/>
      <c r="C1" s="867"/>
      <c r="D1" s="867"/>
      <c r="E1" s="867"/>
      <c r="F1" s="867"/>
      <c r="G1" s="867"/>
      <c r="H1" s="867"/>
      <c r="I1" s="867"/>
      <c r="J1" s="55"/>
      <c r="K1" s="55"/>
      <c r="L1" s="55"/>
      <c r="M1" s="55"/>
      <c r="N1" s="55"/>
      <c r="O1" s="55"/>
      <c r="P1" s="55"/>
      <c r="Q1" s="55"/>
      <c r="R1" s="55"/>
      <c r="S1" s="55"/>
      <c r="T1" s="55"/>
      <c r="U1" s="55"/>
      <c r="V1" s="55"/>
      <c r="W1" s="55"/>
      <c r="X1" s="862"/>
      <c r="Y1" s="862"/>
      <c r="Z1" s="862"/>
      <c r="AA1" s="862"/>
      <c r="AB1" s="862"/>
      <c r="AC1" s="876" t="s">
        <v>277</v>
      </c>
      <c r="AD1" s="876"/>
      <c r="AE1" s="876"/>
      <c r="AF1" s="876"/>
      <c r="AG1" s="876"/>
    </row>
    <row r="2" spans="1:33" s="56" customFormat="1" ht="24" customHeight="1">
      <c r="A2" s="873" t="s">
        <v>273</v>
      </c>
      <c r="B2" s="860"/>
      <c r="C2" s="860"/>
      <c r="D2" s="860"/>
      <c r="E2" s="860"/>
      <c r="F2" s="860"/>
      <c r="G2" s="860"/>
      <c r="H2" s="860"/>
      <c r="I2" s="860"/>
      <c r="J2" s="57"/>
      <c r="K2" s="57"/>
      <c r="L2" s="57"/>
      <c r="M2" s="57"/>
      <c r="N2" s="57"/>
      <c r="O2" s="57"/>
      <c r="P2" s="57"/>
      <c r="Q2" s="57"/>
      <c r="R2" s="57"/>
      <c r="S2" s="57"/>
      <c r="T2" s="57"/>
      <c r="U2" s="57"/>
      <c r="V2" s="57"/>
      <c r="W2" s="57"/>
      <c r="X2" s="177"/>
      <c r="Y2" s="177"/>
      <c r="Z2" s="177"/>
      <c r="AA2" s="177"/>
      <c r="AB2" s="177"/>
      <c r="AC2" s="177"/>
      <c r="AD2" s="177"/>
      <c r="AE2" s="177"/>
      <c r="AF2" s="177"/>
      <c r="AG2" s="177"/>
    </row>
    <row r="3" spans="1:33" s="56" customFormat="1" ht="22.5" customHeight="1" thickBot="1">
      <c r="A3" s="845" t="s">
        <v>154</v>
      </c>
      <c r="B3" s="846"/>
      <c r="C3" s="846"/>
      <c r="D3" s="846"/>
      <c r="E3" s="846"/>
      <c r="F3" s="846"/>
      <c r="G3" s="846"/>
      <c r="H3" s="846"/>
      <c r="I3" s="846"/>
      <c r="J3" s="59"/>
      <c r="K3" s="59"/>
      <c r="L3" s="59"/>
      <c r="M3" s="59"/>
      <c r="N3" s="59"/>
      <c r="O3" s="59"/>
      <c r="P3" s="59"/>
      <c r="Q3" s="59"/>
      <c r="R3" s="59"/>
      <c r="S3" s="59"/>
      <c r="T3" s="59"/>
      <c r="U3" s="59"/>
      <c r="V3" s="59"/>
      <c r="W3" s="59"/>
      <c r="X3" s="178"/>
      <c r="Y3" s="179"/>
      <c r="Z3" s="180"/>
      <c r="AA3" s="181"/>
      <c r="AB3" s="182"/>
      <c r="AC3" s="178"/>
      <c r="AD3" s="179"/>
      <c r="AE3" s="180"/>
      <c r="AF3" s="181"/>
      <c r="AG3" s="182"/>
    </row>
    <row r="4" spans="1:33" s="56" customFormat="1" ht="32.25">
      <c r="A4" s="874" t="s">
        <v>344</v>
      </c>
      <c r="B4" s="875"/>
      <c r="C4" s="875"/>
      <c r="D4" s="875"/>
      <c r="E4" s="875"/>
      <c r="F4" s="60"/>
      <c r="G4" s="60"/>
      <c r="H4" s="60"/>
      <c r="I4" s="60"/>
      <c r="J4" s="60"/>
      <c r="K4" s="60"/>
      <c r="L4" s="60"/>
      <c r="M4" s="60"/>
      <c r="N4" s="60"/>
      <c r="O4" s="60"/>
      <c r="P4" s="60"/>
      <c r="Q4" s="60"/>
      <c r="R4" s="60"/>
      <c r="S4" s="60"/>
      <c r="T4" s="60"/>
      <c r="U4" s="60"/>
      <c r="V4" s="60"/>
      <c r="W4" s="60"/>
      <c r="X4" s="183"/>
      <c r="Y4" s="184"/>
      <c r="Z4" s="184"/>
      <c r="AA4" s="184"/>
      <c r="AB4" s="184"/>
      <c r="AC4" s="185"/>
      <c r="AD4" s="185"/>
      <c r="AE4" s="186"/>
      <c r="AF4" s="185"/>
      <c r="AG4" s="185"/>
    </row>
    <row r="5" spans="1:33" s="56" customFormat="1" ht="33" thickBot="1">
      <c r="A5" s="871" t="s">
        <v>345</v>
      </c>
      <c r="B5" s="872"/>
      <c r="C5" s="872"/>
      <c r="D5" s="872"/>
      <c r="E5" s="872"/>
      <c r="F5" s="62"/>
      <c r="G5" s="62"/>
      <c r="H5" s="62"/>
      <c r="I5" s="62"/>
      <c r="J5" s="62"/>
      <c r="K5" s="62"/>
      <c r="L5" s="62"/>
      <c r="M5" s="62"/>
      <c r="N5" s="62"/>
      <c r="O5" s="62"/>
      <c r="P5" s="62"/>
      <c r="Q5" s="62"/>
      <c r="R5" s="62"/>
      <c r="S5" s="62"/>
      <c r="T5" s="62"/>
      <c r="U5" s="62"/>
      <c r="V5" s="62"/>
      <c r="W5" s="62"/>
      <c r="X5" s="865"/>
      <c r="Y5" s="855"/>
      <c r="Z5" s="855"/>
      <c r="AA5" s="855"/>
      <c r="AB5" s="855"/>
      <c r="AC5" s="855"/>
      <c r="AD5" s="855"/>
      <c r="AE5" s="855"/>
      <c r="AF5" s="855"/>
      <c r="AG5" s="855"/>
    </row>
    <row r="6" spans="1:33" s="65" customFormat="1" ht="15.75" thickBot="1">
      <c r="A6" s="63"/>
      <c r="B6" s="64"/>
      <c r="C6" s="64"/>
      <c r="D6" s="818" t="s">
        <v>130</v>
      </c>
      <c r="E6" s="818"/>
      <c r="F6" s="818"/>
      <c r="G6" s="818"/>
      <c r="H6" s="818" t="s">
        <v>129</v>
      </c>
      <c r="I6" s="818"/>
      <c r="J6" s="818" t="s">
        <v>126</v>
      </c>
      <c r="K6" s="818"/>
      <c r="L6" s="818"/>
      <c r="M6" s="818"/>
      <c r="N6" s="818"/>
      <c r="O6" s="818"/>
      <c r="P6" s="818"/>
      <c r="Q6" s="818"/>
      <c r="R6" s="818"/>
      <c r="S6" s="818"/>
      <c r="T6" s="818"/>
      <c r="U6" s="818"/>
      <c r="V6" s="818" t="s">
        <v>127</v>
      </c>
      <c r="W6" s="818"/>
      <c r="X6" s="818" t="s">
        <v>132</v>
      </c>
      <c r="Y6" s="818"/>
      <c r="Z6" s="818" t="s">
        <v>131</v>
      </c>
      <c r="AA6" s="818"/>
      <c r="AB6" s="818" t="s">
        <v>136</v>
      </c>
      <c r="AC6" s="818"/>
      <c r="AD6" s="818" t="s">
        <v>128</v>
      </c>
      <c r="AE6" s="818"/>
      <c r="AF6" s="818"/>
      <c r="AG6" s="818"/>
    </row>
    <row r="7" spans="1:33" s="69" customFormat="1" ht="12.75">
      <c r="A7" s="66"/>
      <c r="B7" s="67"/>
      <c r="C7" s="67"/>
      <c r="D7" s="1"/>
      <c r="E7" s="68" t="s">
        <v>99</v>
      </c>
      <c r="F7" s="1"/>
      <c r="G7" s="1" t="s">
        <v>102</v>
      </c>
      <c r="H7" s="1" t="s">
        <v>102</v>
      </c>
      <c r="I7" s="1" t="s">
        <v>104</v>
      </c>
      <c r="J7" s="831" t="s">
        <v>2</v>
      </c>
      <c r="K7" s="832"/>
      <c r="L7" s="831" t="s">
        <v>3</v>
      </c>
      <c r="M7" s="832"/>
      <c r="N7" s="831" t="s">
        <v>4</v>
      </c>
      <c r="O7" s="832"/>
      <c r="P7" s="816" t="s">
        <v>11</v>
      </c>
      <c r="Q7" s="816"/>
      <c r="R7" s="816" t="s">
        <v>114</v>
      </c>
      <c r="S7" s="816"/>
      <c r="T7" s="816" t="s">
        <v>0</v>
      </c>
      <c r="U7" s="816"/>
      <c r="V7" s="816"/>
      <c r="W7" s="816"/>
      <c r="X7" s="819"/>
      <c r="Y7" s="819"/>
      <c r="Z7" s="816" t="s">
        <v>125</v>
      </c>
      <c r="AA7" s="816"/>
      <c r="AB7" s="816" t="s">
        <v>137</v>
      </c>
      <c r="AC7" s="816"/>
      <c r="AD7" s="816"/>
      <c r="AE7" s="816"/>
      <c r="AF7" s="67" t="s">
        <v>114</v>
      </c>
      <c r="AG7" s="67"/>
    </row>
    <row r="8" spans="1:33" s="69" customFormat="1" ht="13.5" thickBot="1">
      <c r="A8" s="70"/>
      <c r="B8" s="71"/>
      <c r="C8" s="71"/>
      <c r="D8" s="72" t="s">
        <v>9</v>
      </c>
      <c r="E8" s="73" t="s">
        <v>100</v>
      </c>
      <c r="F8" s="74" t="s">
        <v>1</v>
      </c>
      <c r="G8" s="74" t="s">
        <v>101</v>
      </c>
      <c r="H8" s="74" t="s">
        <v>103</v>
      </c>
      <c r="I8" s="74" t="s">
        <v>99</v>
      </c>
      <c r="J8" s="71" t="s">
        <v>7</v>
      </c>
      <c r="K8" s="71" t="s">
        <v>6</v>
      </c>
      <c r="L8" s="71" t="s">
        <v>7</v>
      </c>
      <c r="M8" s="71" t="s">
        <v>6</v>
      </c>
      <c r="N8" s="71" t="s">
        <v>7</v>
      </c>
      <c r="O8" s="71" t="s">
        <v>6</v>
      </c>
      <c r="P8" s="71" t="s">
        <v>7</v>
      </c>
      <c r="Q8" s="71" t="s">
        <v>6</v>
      </c>
      <c r="R8" s="71" t="s">
        <v>133</v>
      </c>
      <c r="S8" s="71" t="s">
        <v>115</v>
      </c>
      <c r="T8" s="71" t="s">
        <v>7</v>
      </c>
      <c r="U8" s="71" t="s">
        <v>5</v>
      </c>
      <c r="V8" s="71" t="s">
        <v>7</v>
      </c>
      <c r="W8" s="71" t="s">
        <v>6</v>
      </c>
      <c r="X8" s="75" t="s">
        <v>7</v>
      </c>
      <c r="Y8" s="75" t="s">
        <v>6</v>
      </c>
      <c r="Z8" s="71" t="s">
        <v>6</v>
      </c>
      <c r="AA8" s="71" t="s">
        <v>6</v>
      </c>
      <c r="AB8" s="76" t="s">
        <v>6</v>
      </c>
      <c r="AC8" s="77" t="s">
        <v>115</v>
      </c>
      <c r="AD8" s="71" t="s">
        <v>7</v>
      </c>
      <c r="AE8" s="71" t="s">
        <v>6</v>
      </c>
      <c r="AF8" s="71" t="s">
        <v>115</v>
      </c>
      <c r="AG8" s="71"/>
    </row>
    <row r="9" spans="1:33" s="83" customFormat="1" ht="12.75">
      <c r="A9" s="78"/>
      <c r="B9" s="78"/>
      <c r="C9" s="78"/>
      <c r="D9" s="78"/>
      <c r="E9" s="79" t="s">
        <v>106</v>
      </c>
      <c r="F9" s="78"/>
      <c r="G9" s="78" t="s">
        <v>109</v>
      </c>
      <c r="H9" s="78" t="s">
        <v>111</v>
      </c>
      <c r="I9" s="78" t="s">
        <v>112</v>
      </c>
      <c r="J9" s="820" t="s">
        <v>116</v>
      </c>
      <c r="K9" s="821"/>
      <c r="L9" s="820" t="s">
        <v>117</v>
      </c>
      <c r="M9" s="821"/>
      <c r="N9" s="820" t="s">
        <v>118</v>
      </c>
      <c r="O9" s="821"/>
      <c r="P9" s="817" t="s">
        <v>134</v>
      </c>
      <c r="Q9" s="817"/>
      <c r="R9" s="817" t="s">
        <v>120</v>
      </c>
      <c r="S9" s="817"/>
      <c r="T9" s="817" t="s">
        <v>135</v>
      </c>
      <c r="U9" s="817"/>
      <c r="V9" s="78"/>
      <c r="W9" s="78"/>
      <c r="X9" s="81"/>
      <c r="Y9" s="81"/>
      <c r="Z9" s="817" t="s">
        <v>124</v>
      </c>
      <c r="AA9" s="817"/>
      <c r="AB9" s="817" t="s">
        <v>138</v>
      </c>
      <c r="AC9" s="817"/>
      <c r="AD9" s="82"/>
      <c r="AE9" s="82"/>
      <c r="AF9" s="80" t="s">
        <v>120</v>
      </c>
      <c r="AG9" s="80"/>
    </row>
    <row r="10" spans="1:33" s="83" customFormat="1" ht="13.5" thickBot="1">
      <c r="A10" s="84"/>
      <c r="B10" s="85"/>
      <c r="C10" s="84"/>
      <c r="D10" s="85" t="s">
        <v>105</v>
      </c>
      <c r="E10" s="86" t="s">
        <v>107</v>
      </c>
      <c r="F10" s="84" t="s">
        <v>108</v>
      </c>
      <c r="G10" s="84" t="s">
        <v>110</v>
      </c>
      <c r="H10" s="84" t="s">
        <v>110</v>
      </c>
      <c r="I10" s="84" t="s">
        <v>113</v>
      </c>
      <c r="J10" s="87" t="s">
        <v>122</v>
      </c>
      <c r="K10" s="87" t="s">
        <v>119</v>
      </c>
      <c r="L10" s="87" t="s">
        <v>122</v>
      </c>
      <c r="M10" s="87" t="s">
        <v>119</v>
      </c>
      <c r="N10" s="87" t="s">
        <v>122</v>
      </c>
      <c r="O10" s="87" t="s">
        <v>119</v>
      </c>
      <c r="P10" s="87" t="s">
        <v>122</v>
      </c>
      <c r="Q10" s="87" t="s">
        <v>119</v>
      </c>
      <c r="R10" s="87" t="s">
        <v>119</v>
      </c>
      <c r="S10" s="87" t="s">
        <v>121</v>
      </c>
      <c r="T10" s="87" t="s">
        <v>122</v>
      </c>
      <c r="U10" s="87" t="s">
        <v>123</v>
      </c>
      <c r="V10" s="87" t="s">
        <v>122</v>
      </c>
      <c r="W10" s="87" t="s">
        <v>119</v>
      </c>
      <c r="X10" s="88" t="s">
        <v>122</v>
      </c>
      <c r="Y10" s="88" t="s">
        <v>119</v>
      </c>
      <c r="Z10" s="87" t="s">
        <v>119</v>
      </c>
      <c r="AA10" s="87" t="s">
        <v>119</v>
      </c>
      <c r="AB10" s="89" t="s">
        <v>119</v>
      </c>
      <c r="AC10" s="90" t="s">
        <v>121</v>
      </c>
      <c r="AD10" s="87" t="s">
        <v>119</v>
      </c>
      <c r="AE10" s="87" t="s">
        <v>121</v>
      </c>
      <c r="AF10" s="87" t="s">
        <v>121</v>
      </c>
      <c r="AG10" s="84"/>
    </row>
    <row r="11" spans="1:33" s="95" customFormat="1" ht="14.25" customHeight="1">
      <c r="A11" s="91">
        <v>1</v>
      </c>
      <c r="B11" s="92" t="s">
        <v>97</v>
      </c>
      <c r="C11" s="93"/>
      <c r="D11" s="513" t="s">
        <v>74</v>
      </c>
      <c r="E11" s="428">
        <v>40682</v>
      </c>
      <c r="F11" s="429" t="s">
        <v>24</v>
      </c>
      <c r="G11" s="541">
        <v>115</v>
      </c>
      <c r="H11" s="541">
        <v>428</v>
      </c>
      <c r="I11" s="542">
        <v>3</v>
      </c>
      <c r="J11" s="543">
        <v>246066</v>
      </c>
      <c r="K11" s="544">
        <v>20670</v>
      </c>
      <c r="L11" s="543">
        <v>462327</v>
      </c>
      <c r="M11" s="544">
        <v>36595</v>
      </c>
      <c r="N11" s="543">
        <v>380006</v>
      </c>
      <c r="O11" s="544">
        <v>31324</v>
      </c>
      <c r="P11" s="545">
        <f>SUM(J11+L11+N11)</f>
        <v>1088399</v>
      </c>
      <c r="Q11" s="546">
        <f>SUM(K11+M11+O11)</f>
        <v>88589</v>
      </c>
      <c r="R11" s="547">
        <f aca="true" t="shared" si="0" ref="R11:R25">IF(P11&lt;&gt;0,Q11/H11,"")</f>
        <v>206.9836448598131</v>
      </c>
      <c r="S11" s="548">
        <f>+P11/Q11</f>
        <v>12.285938434794387</v>
      </c>
      <c r="T11" s="549">
        <v>1906377</v>
      </c>
      <c r="U11" s="550">
        <f aca="true" t="shared" si="1" ref="U11:U25">IF(T11&lt;&gt;0,-(T11-P11)/T11,"")</f>
        <v>-0.4290746268969884</v>
      </c>
      <c r="V11" s="450">
        <f aca="true" t="shared" si="2" ref="V11:V30">X11-P11</f>
        <v>639008</v>
      </c>
      <c r="W11" s="449">
        <f aca="true" t="shared" si="3" ref="W11:W30">Y11-Q11</f>
        <v>63718</v>
      </c>
      <c r="X11" s="728">
        <v>1727407</v>
      </c>
      <c r="Y11" s="729">
        <v>152307</v>
      </c>
      <c r="Z11" s="461">
        <f aca="true" t="shared" si="4" ref="Z11:Z30">Q11*1/Y11</f>
        <v>0.5816475933476465</v>
      </c>
      <c r="AA11" s="461">
        <f aca="true" t="shared" si="5" ref="AA11:AA30">W11*1/Y11</f>
        <v>0.41835240665235346</v>
      </c>
      <c r="AB11" s="449">
        <f aca="true" t="shared" si="6" ref="AB11:AB30">Y11/H11</f>
        <v>355.85747663551405</v>
      </c>
      <c r="AC11" s="450">
        <f aca="true" t="shared" si="7" ref="AC11:AC30">X11/Y11</f>
        <v>11.341612663895948</v>
      </c>
      <c r="AD11" s="551">
        <v>10032693</v>
      </c>
      <c r="AE11" s="552">
        <v>858362</v>
      </c>
      <c r="AF11" s="553">
        <f>+AD11/AE11</f>
        <v>11.688184006281732</v>
      </c>
      <c r="AG11" s="94">
        <v>1</v>
      </c>
    </row>
    <row r="12" spans="1:33" s="95" customFormat="1" ht="14.25" customHeight="1">
      <c r="A12" s="96">
        <v>2</v>
      </c>
      <c r="B12" s="97"/>
      <c r="C12" s="98"/>
      <c r="D12" s="515" t="s">
        <v>346</v>
      </c>
      <c r="E12" s="556">
        <v>40697</v>
      </c>
      <c r="F12" s="432" t="s">
        <v>10</v>
      </c>
      <c r="G12" s="434">
        <v>101</v>
      </c>
      <c r="H12" s="434">
        <v>144</v>
      </c>
      <c r="I12" s="4">
        <v>1</v>
      </c>
      <c r="J12" s="557">
        <v>205722</v>
      </c>
      <c r="K12" s="558">
        <v>17085</v>
      </c>
      <c r="L12" s="557">
        <v>251541</v>
      </c>
      <c r="M12" s="558">
        <v>20594</v>
      </c>
      <c r="N12" s="557">
        <v>220244</v>
      </c>
      <c r="O12" s="558">
        <v>17739</v>
      </c>
      <c r="P12" s="559">
        <f>+J12+L12+N12</f>
        <v>677507</v>
      </c>
      <c r="Q12" s="560">
        <f>+K12+M12+O12</f>
        <v>55418</v>
      </c>
      <c r="R12" s="561">
        <f t="shared" si="0"/>
        <v>384.84722222222223</v>
      </c>
      <c r="S12" s="562">
        <f>IF(P12&lt;&gt;0,P12/Q12,"")</f>
        <v>12.225396080695802</v>
      </c>
      <c r="T12" s="563"/>
      <c r="U12" s="564">
        <f t="shared" si="1"/>
      </c>
      <c r="V12" s="451">
        <f t="shared" si="2"/>
        <v>445068</v>
      </c>
      <c r="W12" s="284">
        <f t="shared" si="3"/>
        <v>47492</v>
      </c>
      <c r="X12" s="671">
        <v>1122575</v>
      </c>
      <c r="Y12" s="672">
        <v>102910</v>
      </c>
      <c r="Z12" s="462">
        <f t="shared" si="4"/>
        <v>0.5385093771256437</v>
      </c>
      <c r="AA12" s="462">
        <f t="shared" si="5"/>
        <v>0.4614906228743562</v>
      </c>
      <c r="AB12" s="284">
        <f t="shared" si="6"/>
        <v>714.6527777777778</v>
      </c>
      <c r="AC12" s="451">
        <f t="shared" si="7"/>
        <v>10.90831794772131</v>
      </c>
      <c r="AD12" s="42">
        <v>1126764</v>
      </c>
      <c r="AE12" s="47">
        <v>103130</v>
      </c>
      <c r="AF12" s="110">
        <f>AD12/AE12</f>
        <v>10.925666634345001</v>
      </c>
      <c r="AG12" s="108">
        <v>2</v>
      </c>
    </row>
    <row r="13" spans="1:33" s="95" customFormat="1" ht="14.25" customHeight="1">
      <c r="A13" s="96">
        <v>3</v>
      </c>
      <c r="B13" s="109"/>
      <c r="C13" s="98"/>
      <c r="D13" s="730" t="s">
        <v>347</v>
      </c>
      <c r="E13" s="556">
        <v>40697</v>
      </c>
      <c r="F13" s="432" t="s">
        <v>36</v>
      </c>
      <c r="G13" s="566">
        <v>111</v>
      </c>
      <c r="H13" s="567">
        <v>167</v>
      </c>
      <c r="I13" s="568">
        <v>1</v>
      </c>
      <c r="J13" s="569">
        <v>128719.5</v>
      </c>
      <c r="K13" s="570">
        <v>11527</v>
      </c>
      <c r="L13" s="569">
        <v>200187.5</v>
      </c>
      <c r="M13" s="570">
        <v>17576</v>
      </c>
      <c r="N13" s="569">
        <v>175465.5</v>
      </c>
      <c r="O13" s="570">
        <v>15521</v>
      </c>
      <c r="P13" s="559">
        <f aca="true" t="shared" si="8" ref="P13:Q15">SUM(J13+L13+N13)</f>
        <v>504372.5</v>
      </c>
      <c r="Q13" s="560">
        <f t="shared" si="8"/>
        <v>44624</v>
      </c>
      <c r="R13" s="561">
        <f t="shared" si="0"/>
        <v>267.20958083832335</v>
      </c>
      <c r="S13" s="562">
        <f>+P13/Q13</f>
        <v>11.302718268196486</v>
      </c>
      <c r="T13" s="563"/>
      <c r="U13" s="564">
        <f t="shared" si="1"/>
      </c>
      <c r="V13" s="451">
        <f t="shared" si="2"/>
        <v>308416.5</v>
      </c>
      <c r="W13" s="284">
        <f t="shared" si="3"/>
        <v>34647</v>
      </c>
      <c r="X13" s="673">
        <v>812789</v>
      </c>
      <c r="Y13" s="674">
        <v>79271</v>
      </c>
      <c r="Z13" s="462">
        <f t="shared" si="4"/>
        <v>0.562929696862661</v>
      </c>
      <c r="AA13" s="462">
        <f t="shared" si="5"/>
        <v>0.437070303137339</v>
      </c>
      <c r="AB13" s="284">
        <f t="shared" si="6"/>
        <v>474.67664670658684</v>
      </c>
      <c r="AC13" s="451">
        <f t="shared" si="7"/>
        <v>10.253295656671419</v>
      </c>
      <c r="AD13" s="9">
        <f>1292+812789</f>
        <v>814081</v>
      </c>
      <c r="AE13" s="8">
        <f>124+79271</f>
        <v>79395</v>
      </c>
      <c r="AF13" s="107">
        <f>+AD13/AE13</f>
        <v>10.25355500976132</v>
      </c>
      <c r="AG13" s="108">
        <v>3</v>
      </c>
    </row>
    <row r="14" spans="1:33" s="95" customFormat="1" ht="14.25" customHeight="1">
      <c r="A14" s="96">
        <v>4</v>
      </c>
      <c r="B14" s="111" t="s">
        <v>97</v>
      </c>
      <c r="C14" s="112" t="s">
        <v>96</v>
      </c>
      <c r="D14" s="730" t="s">
        <v>348</v>
      </c>
      <c r="E14" s="556">
        <v>40697</v>
      </c>
      <c r="F14" s="432" t="s">
        <v>36</v>
      </c>
      <c r="G14" s="566">
        <v>71</v>
      </c>
      <c r="H14" s="567">
        <v>107</v>
      </c>
      <c r="I14" s="568">
        <v>1</v>
      </c>
      <c r="J14" s="569">
        <v>19887.5</v>
      </c>
      <c r="K14" s="570">
        <v>2084</v>
      </c>
      <c r="L14" s="569">
        <v>63576</v>
      </c>
      <c r="M14" s="570">
        <v>5881</v>
      </c>
      <c r="N14" s="569">
        <v>55927</v>
      </c>
      <c r="O14" s="570">
        <v>5198</v>
      </c>
      <c r="P14" s="559">
        <f t="shared" si="8"/>
        <v>139390.5</v>
      </c>
      <c r="Q14" s="560">
        <f t="shared" si="8"/>
        <v>13163</v>
      </c>
      <c r="R14" s="561">
        <f t="shared" si="0"/>
        <v>123.01869158878505</v>
      </c>
      <c r="S14" s="571">
        <f>P14/Q14</f>
        <v>10.589569247132113</v>
      </c>
      <c r="T14" s="563"/>
      <c r="U14" s="564">
        <f t="shared" si="1"/>
      </c>
      <c r="V14" s="451">
        <f t="shared" si="2"/>
        <v>64628</v>
      </c>
      <c r="W14" s="284">
        <f t="shared" si="3"/>
        <v>7752</v>
      </c>
      <c r="X14" s="673">
        <v>204018.5</v>
      </c>
      <c r="Y14" s="674">
        <v>20915</v>
      </c>
      <c r="Z14" s="462">
        <f t="shared" si="4"/>
        <v>0.6293569208701889</v>
      </c>
      <c r="AA14" s="462">
        <f t="shared" si="5"/>
        <v>0.37064307912981115</v>
      </c>
      <c r="AB14" s="284">
        <f t="shared" si="6"/>
        <v>195.46728971962617</v>
      </c>
      <c r="AC14" s="451">
        <f t="shared" si="7"/>
        <v>9.75464977289027</v>
      </c>
      <c r="AD14" s="9">
        <f>204018.5</f>
        <v>204018.5</v>
      </c>
      <c r="AE14" s="8">
        <f>20915</f>
        <v>20915</v>
      </c>
      <c r="AF14" s="110">
        <f>AD14/AE14</f>
        <v>9.75464977289027</v>
      </c>
      <c r="AG14" s="108">
        <v>4</v>
      </c>
    </row>
    <row r="15" spans="1:33" s="95" customFormat="1" ht="14.25" customHeight="1">
      <c r="A15" s="96">
        <v>5</v>
      </c>
      <c r="B15" s="116"/>
      <c r="C15" s="98"/>
      <c r="D15" s="514" t="s">
        <v>59</v>
      </c>
      <c r="E15" s="431">
        <v>40662</v>
      </c>
      <c r="F15" s="432" t="s">
        <v>24</v>
      </c>
      <c r="G15" s="434">
        <v>172</v>
      </c>
      <c r="H15" s="434">
        <v>171</v>
      </c>
      <c r="I15" s="573">
        <v>6</v>
      </c>
      <c r="J15" s="574">
        <v>22965</v>
      </c>
      <c r="K15" s="575">
        <v>3027</v>
      </c>
      <c r="L15" s="574">
        <v>39606</v>
      </c>
      <c r="M15" s="575">
        <v>5138</v>
      </c>
      <c r="N15" s="574">
        <v>39412</v>
      </c>
      <c r="O15" s="575">
        <v>4960</v>
      </c>
      <c r="P15" s="559">
        <f t="shared" si="8"/>
        <v>101983</v>
      </c>
      <c r="Q15" s="560">
        <f t="shared" si="8"/>
        <v>13125</v>
      </c>
      <c r="R15" s="561">
        <f t="shared" si="0"/>
        <v>76.75438596491227</v>
      </c>
      <c r="S15" s="562">
        <f>+P15/Q15</f>
        <v>7.770133333333333</v>
      </c>
      <c r="T15" s="563">
        <v>238287</v>
      </c>
      <c r="U15" s="564">
        <f t="shared" si="1"/>
        <v>-0.572016098234482</v>
      </c>
      <c r="V15" s="451">
        <f t="shared" si="2"/>
        <v>99597</v>
      </c>
      <c r="W15" s="284">
        <f t="shared" si="3"/>
        <v>14443</v>
      </c>
      <c r="X15" s="675">
        <v>201580</v>
      </c>
      <c r="Y15" s="676">
        <v>27568</v>
      </c>
      <c r="Z15" s="462">
        <f t="shared" si="4"/>
        <v>0.476095473012188</v>
      </c>
      <c r="AA15" s="462">
        <f t="shared" si="5"/>
        <v>0.523904526987812</v>
      </c>
      <c r="AB15" s="284">
        <f t="shared" si="6"/>
        <v>161.21637426900585</v>
      </c>
      <c r="AC15" s="451">
        <f t="shared" si="7"/>
        <v>7.31210098665119</v>
      </c>
      <c r="AD15" s="242">
        <v>5851867</v>
      </c>
      <c r="AE15" s="240">
        <v>638749</v>
      </c>
      <c r="AF15" s="107">
        <f>+AD15/AE15</f>
        <v>9.161449959217157</v>
      </c>
      <c r="AG15" s="108">
        <v>5</v>
      </c>
    </row>
    <row r="16" spans="1:33" s="95" customFormat="1" ht="14.25" customHeight="1">
      <c r="A16" s="96">
        <v>6</v>
      </c>
      <c r="B16" s="111" t="s">
        <v>97</v>
      </c>
      <c r="C16" s="112" t="s">
        <v>96</v>
      </c>
      <c r="D16" s="515" t="s">
        <v>327</v>
      </c>
      <c r="E16" s="431">
        <v>40690</v>
      </c>
      <c r="F16" s="432" t="s">
        <v>10</v>
      </c>
      <c r="G16" s="434">
        <v>65</v>
      </c>
      <c r="H16" s="434">
        <v>65</v>
      </c>
      <c r="I16" s="4">
        <v>2</v>
      </c>
      <c r="J16" s="557">
        <v>26299</v>
      </c>
      <c r="K16" s="558">
        <v>2444</v>
      </c>
      <c r="L16" s="557">
        <v>43218</v>
      </c>
      <c r="M16" s="558">
        <v>3874</v>
      </c>
      <c r="N16" s="557">
        <v>36833</v>
      </c>
      <c r="O16" s="558">
        <v>3264</v>
      </c>
      <c r="P16" s="559">
        <f>+J16+L16+N16</f>
        <v>106350</v>
      </c>
      <c r="Q16" s="560">
        <f>+K16+M16+O16</f>
        <v>9582</v>
      </c>
      <c r="R16" s="561">
        <f t="shared" si="0"/>
        <v>147.41538461538462</v>
      </c>
      <c r="S16" s="562">
        <f>IF(P16&lt;&gt;0,P16/Q16,"")</f>
        <v>11.098935504070132</v>
      </c>
      <c r="T16" s="563">
        <v>192232</v>
      </c>
      <c r="U16" s="564">
        <f t="shared" si="1"/>
        <v>-0.446762245619876</v>
      </c>
      <c r="V16" s="451">
        <f t="shared" si="2"/>
        <v>82461</v>
      </c>
      <c r="W16" s="284">
        <f t="shared" si="3"/>
        <v>9336</v>
      </c>
      <c r="X16" s="671">
        <v>188811</v>
      </c>
      <c r="Y16" s="672">
        <v>18918</v>
      </c>
      <c r="Z16" s="462">
        <f t="shared" si="4"/>
        <v>0.5065017443704408</v>
      </c>
      <c r="AA16" s="462">
        <f t="shared" si="5"/>
        <v>0.4934982556295591</v>
      </c>
      <c r="AB16" s="284">
        <f t="shared" si="6"/>
        <v>291.04615384615386</v>
      </c>
      <c r="AC16" s="451">
        <f t="shared" si="7"/>
        <v>9.980494766888677</v>
      </c>
      <c r="AD16" s="42">
        <v>478523</v>
      </c>
      <c r="AE16" s="47">
        <v>45743</v>
      </c>
      <c r="AF16" s="128">
        <f>+AD16/AE16</f>
        <v>10.461119734166976</v>
      </c>
      <c r="AG16" s="108">
        <v>6</v>
      </c>
    </row>
    <row r="17" spans="1:33" s="95" customFormat="1" ht="14.25" customHeight="1">
      <c r="A17" s="96">
        <v>7</v>
      </c>
      <c r="B17" s="109"/>
      <c r="C17" s="98"/>
      <c r="D17" s="514" t="s">
        <v>349</v>
      </c>
      <c r="E17" s="556">
        <v>40697</v>
      </c>
      <c r="F17" s="432" t="s">
        <v>24</v>
      </c>
      <c r="G17" s="434">
        <v>20</v>
      </c>
      <c r="H17" s="434">
        <v>20</v>
      </c>
      <c r="I17" s="573">
        <v>1</v>
      </c>
      <c r="J17" s="574">
        <v>15899</v>
      </c>
      <c r="K17" s="575">
        <v>1224</v>
      </c>
      <c r="L17" s="574">
        <v>27279</v>
      </c>
      <c r="M17" s="575">
        <v>2076</v>
      </c>
      <c r="N17" s="574">
        <v>28194</v>
      </c>
      <c r="O17" s="575">
        <v>2135</v>
      </c>
      <c r="P17" s="559">
        <f aca="true" t="shared" si="9" ref="P17:Q20">SUM(J17+L17+N17)</f>
        <v>71372</v>
      </c>
      <c r="Q17" s="560">
        <f t="shared" si="9"/>
        <v>5435</v>
      </c>
      <c r="R17" s="561">
        <f t="shared" si="0"/>
        <v>271.75</v>
      </c>
      <c r="S17" s="562">
        <f>+P17/Q17</f>
        <v>13.131922723091076</v>
      </c>
      <c r="T17" s="563"/>
      <c r="U17" s="564">
        <f t="shared" si="1"/>
      </c>
      <c r="V17" s="451">
        <f t="shared" si="2"/>
        <v>53466</v>
      </c>
      <c r="W17" s="284">
        <f t="shared" si="3"/>
        <v>4978</v>
      </c>
      <c r="X17" s="675">
        <v>124838</v>
      </c>
      <c r="Y17" s="676">
        <v>10413</v>
      </c>
      <c r="Z17" s="462">
        <f t="shared" si="4"/>
        <v>0.5219437241909152</v>
      </c>
      <c r="AA17" s="462">
        <f t="shared" si="5"/>
        <v>0.4780562758090848</v>
      </c>
      <c r="AB17" s="284">
        <f t="shared" si="6"/>
        <v>520.65</v>
      </c>
      <c r="AC17" s="451">
        <f t="shared" si="7"/>
        <v>11.988668011139922</v>
      </c>
      <c r="AD17" s="242">
        <v>124838</v>
      </c>
      <c r="AE17" s="240">
        <v>10413</v>
      </c>
      <c r="AF17" s="110">
        <f>AD17/AE17</f>
        <v>11.988668011139922</v>
      </c>
      <c r="AG17" s="108">
        <v>7</v>
      </c>
    </row>
    <row r="18" spans="1:33" s="95" customFormat="1" ht="14.25" customHeight="1">
      <c r="A18" s="96">
        <v>8</v>
      </c>
      <c r="B18" s="111" t="s">
        <v>97</v>
      </c>
      <c r="C18" s="98"/>
      <c r="D18" s="514" t="s">
        <v>67</v>
      </c>
      <c r="E18" s="431">
        <v>40676</v>
      </c>
      <c r="F18" s="432" t="s">
        <v>24</v>
      </c>
      <c r="G18" s="434">
        <v>100</v>
      </c>
      <c r="H18" s="434">
        <v>101</v>
      </c>
      <c r="I18" s="573">
        <v>4</v>
      </c>
      <c r="J18" s="574">
        <v>6259</v>
      </c>
      <c r="K18" s="575">
        <v>748</v>
      </c>
      <c r="L18" s="574">
        <v>19565</v>
      </c>
      <c r="M18" s="575">
        <v>2081</v>
      </c>
      <c r="N18" s="574">
        <v>15023</v>
      </c>
      <c r="O18" s="575">
        <v>1931</v>
      </c>
      <c r="P18" s="559">
        <f t="shared" si="9"/>
        <v>40847</v>
      </c>
      <c r="Q18" s="560">
        <f t="shared" si="9"/>
        <v>4760</v>
      </c>
      <c r="R18" s="561">
        <f t="shared" si="0"/>
        <v>47.12871287128713</v>
      </c>
      <c r="S18" s="562">
        <f>+P18/Q18</f>
        <v>8.581302521008404</v>
      </c>
      <c r="T18" s="563">
        <v>133502</v>
      </c>
      <c r="U18" s="564">
        <f t="shared" si="1"/>
        <v>-0.6940345462989318</v>
      </c>
      <c r="V18" s="451">
        <f t="shared" si="2"/>
        <v>63890</v>
      </c>
      <c r="W18" s="284">
        <f t="shared" si="3"/>
        <v>8818</v>
      </c>
      <c r="X18" s="675">
        <v>104737</v>
      </c>
      <c r="Y18" s="676">
        <v>13578</v>
      </c>
      <c r="Z18" s="462">
        <f t="shared" si="4"/>
        <v>0.3505670938282516</v>
      </c>
      <c r="AA18" s="462">
        <f t="shared" si="5"/>
        <v>0.6494329061717484</v>
      </c>
      <c r="AB18" s="284">
        <f t="shared" si="6"/>
        <v>134.43564356435644</v>
      </c>
      <c r="AC18" s="451">
        <f t="shared" si="7"/>
        <v>7.713728089556636</v>
      </c>
      <c r="AD18" s="242">
        <v>1077477</v>
      </c>
      <c r="AE18" s="240">
        <v>112800</v>
      </c>
      <c r="AF18" s="110">
        <f>AD18/AE18</f>
        <v>9.552101063829788</v>
      </c>
      <c r="AG18" s="108">
        <v>8</v>
      </c>
    </row>
    <row r="19" spans="1:33" s="95" customFormat="1" ht="14.25" customHeight="1">
      <c r="A19" s="96">
        <v>9</v>
      </c>
      <c r="B19" s="97"/>
      <c r="C19" s="98"/>
      <c r="D19" s="514" t="s">
        <v>328</v>
      </c>
      <c r="E19" s="431">
        <v>40690</v>
      </c>
      <c r="F19" s="432" t="s">
        <v>24</v>
      </c>
      <c r="G19" s="434">
        <v>35</v>
      </c>
      <c r="H19" s="434">
        <v>35</v>
      </c>
      <c r="I19" s="201">
        <v>2</v>
      </c>
      <c r="J19" s="574">
        <v>7563</v>
      </c>
      <c r="K19" s="575">
        <v>598</v>
      </c>
      <c r="L19" s="574">
        <v>11518</v>
      </c>
      <c r="M19" s="575">
        <v>890</v>
      </c>
      <c r="N19" s="574">
        <v>10448</v>
      </c>
      <c r="O19" s="575">
        <v>810</v>
      </c>
      <c r="P19" s="559">
        <f t="shared" si="9"/>
        <v>29529</v>
      </c>
      <c r="Q19" s="560">
        <f t="shared" si="9"/>
        <v>2298</v>
      </c>
      <c r="R19" s="561">
        <f t="shared" si="0"/>
        <v>65.65714285714286</v>
      </c>
      <c r="S19" s="562">
        <f>+P19/Q19</f>
        <v>12.849869451697128</v>
      </c>
      <c r="T19" s="563">
        <v>62373</v>
      </c>
      <c r="U19" s="564">
        <f t="shared" si="1"/>
        <v>-0.526573998364677</v>
      </c>
      <c r="V19" s="451">
        <f t="shared" si="2"/>
        <v>21279</v>
      </c>
      <c r="W19" s="284">
        <f t="shared" si="3"/>
        <v>2077</v>
      </c>
      <c r="X19" s="675">
        <v>50808</v>
      </c>
      <c r="Y19" s="676">
        <v>4375</v>
      </c>
      <c r="Z19" s="462">
        <f t="shared" si="4"/>
        <v>0.5252571428571429</v>
      </c>
      <c r="AA19" s="462">
        <f t="shared" si="5"/>
        <v>0.47474285714285713</v>
      </c>
      <c r="AB19" s="284">
        <f t="shared" si="6"/>
        <v>125</v>
      </c>
      <c r="AC19" s="451">
        <f t="shared" si="7"/>
        <v>11.613257142857142</v>
      </c>
      <c r="AD19" s="242">
        <v>145812</v>
      </c>
      <c r="AE19" s="240">
        <v>12100</v>
      </c>
      <c r="AF19" s="107">
        <f>+AD19/AE19</f>
        <v>12.050578512396694</v>
      </c>
      <c r="AG19" s="108">
        <v>9</v>
      </c>
    </row>
    <row r="20" spans="1:33" s="95" customFormat="1" ht="14.25" customHeight="1">
      <c r="A20" s="96">
        <v>10</v>
      </c>
      <c r="B20" s="109"/>
      <c r="C20" s="98"/>
      <c r="D20" s="514" t="s">
        <v>77</v>
      </c>
      <c r="E20" s="431">
        <v>40662</v>
      </c>
      <c r="F20" s="432" t="s">
        <v>24</v>
      </c>
      <c r="G20" s="434">
        <v>241</v>
      </c>
      <c r="H20" s="434">
        <v>227</v>
      </c>
      <c r="I20" s="573">
        <v>6</v>
      </c>
      <c r="J20" s="574">
        <v>2986</v>
      </c>
      <c r="K20" s="575">
        <v>434</v>
      </c>
      <c r="L20" s="574">
        <v>5943</v>
      </c>
      <c r="M20" s="575">
        <v>850</v>
      </c>
      <c r="N20" s="574">
        <v>5966</v>
      </c>
      <c r="O20" s="575">
        <v>858</v>
      </c>
      <c r="P20" s="559">
        <f t="shared" si="9"/>
        <v>14895</v>
      </c>
      <c r="Q20" s="560">
        <f t="shared" si="9"/>
        <v>2142</v>
      </c>
      <c r="R20" s="561">
        <f t="shared" si="0"/>
        <v>9.43612334801762</v>
      </c>
      <c r="S20" s="562">
        <f>+P20/Q20</f>
        <v>6.953781512605042</v>
      </c>
      <c r="T20" s="563">
        <v>34355</v>
      </c>
      <c r="U20" s="564">
        <f t="shared" si="1"/>
        <v>-0.5664386552175812</v>
      </c>
      <c r="V20" s="451">
        <f t="shared" si="2"/>
        <v>28325</v>
      </c>
      <c r="W20" s="284">
        <f t="shared" si="3"/>
        <v>4179</v>
      </c>
      <c r="X20" s="675">
        <v>43220</v>
      </c>
      <c r="Y20" s="676">
        <v>6321</v>
      </c>
      <c r="Z20" s="462">
        <f t="shared" si="4"/>
        <v>0.3388704318936877</v>
      </c>
      <c r="AA20" s="462">
        <f t="shared" si="5"/>
        <v>0.6611295681063123</v>
      </c>
      <c r="AB20" s="284">
        <f t="shared" si="6"/>
        <v>27.845814977973568</v>
      </c>
      <c r="AC20" s="451">
        <f t="shared" si="7"/>
        <v>6.837525707957601</v>
      </c>
      <c r="AD20" s="242">
        <v>3573790</v>
      </c>
      <c r="AE20" s="240">
        <v>308278</v>
      </c>
      <c r="AF20" s="110">
        <f>AD20/AE20</f>
        <v>11.59275069904437</v>
      </c>
      <c r="AG20" s="108">
        <v>10</v>
      </c>
    </row>
    <row r="21" spans="1:33" s="95" customFormat="1" ht="14.25" customHeight="1">
      <c r="A21" s="96">
        <v>11</v>
      </c>
      <c r="B21" s="111" t="s">
        <v>97</v>
      </c>
      <c r="C21" s="112" t="s">
        <v>96</v>
      </c>
      <c r="D21" s="515" t="s">
        <v>66</v>
      </c>
      <c r="E21" s="431">
        <v>40676</v>
      </c>
      <c r="F21" s="432" t="s">
        <v>10</v>
      </c>
      <c r="G21" s="434">
        <v>112</v>
      </c>
      <c r="H21" s="434">
        <v>82</v>
      </c>
      <c r="I21" s="4">
        <v>4</v>
      </c>
      <c r="J21" s="557">
        <v>4731</v>
      </c>
      <c r="K21" s="558">
        <v>756</v>
      </c>
      <c r="L21" s="557">
        <v>8748</v>
      </c>
      <c r="M21" s="558">
        <v>1278</v>
      </c>
      <c r="N21" s="557">
        <v>8747</v>
      </c>
      <c r="O21" s="558">
        <v>1217</v>
      </c>
      <c r="P21" s="559">
        <f>+J21+L21+N21</f>
        <v>22226</v>
      </c>
      <c r="Q21" s="560">
        <f>+K21+M21+O21</f>
        <v>3251</v>
      </c>
      <c r="R21" s="561">
        <f t="shared" si="0"/>
        <v>39.646341463414636</v>
      </c>
      <c r="S21" s="562">
        <f>IF(P21&lt;&gt;0,P21/Q21,"")</f>
        <v>6.836665641341126</v>
      </c>
      <c r="T21" s="563">
        <v>64000</v>
      </c>
      <c r="U21" s="564">
        <f t="shared" si="1"/>
        <v>-0.65271875</v>
      </c>
      <c r="V21" s="451">
        <f t="shared" si="2"/>
        <v>19780</v>
      </c>
      <c r="W21" s="284">
        <f t="shared" si="3"/>
        <v>2994</v>
      </c>
      <c r="X21" s="671">
        <v>42006</v>
      </c>
      <c r="Y21" s="672">
        <v>6245</v>
      </c>
      <c r="Z21" s="462">
        <f t="shared" si="4"/>
        <v>0.5205764611689352</v>
      </c>
      <c r="AA21" s="462">
        <f t="shared" si="5"/>
        <v>0.47942353883106487</v>
      </c>
      <c r="AB21" s="284">
        <f t="shared" si="6"/>
        <v>76.15853658536585</v>
      </c>
      <c r="AC21" s="451">
        <f t="shared" si="7"/>
        <v>6.726341072858286</v>
      </c>
      <c r="AD21" s="42">
        <v>853187</v>
      </c>
      <c r="AE21" s="47">
        <v>88842</v>
      </c>
      <c r="AF21" s="578">
        <f>AD21/AE21</f>
        <v>9.603419553814637</v>
      </c>
      <c r="AG21" s="108">
        <v>11</v>
      </c>
    </row>
    <row r="22" spans="1:33" s="95" customFormat="1" ht="14.25" customHeight="1">
      <c r="A22" s="96">
        <v>12</v>
      </c>
      <c r="B22" s="116"/>
      <c r="C22" s="112" t="s">
        <v>96</v>
      </c>
      <c r="D22" s="743" t="s">
        <v>75</v>
      </c>
      <c r="E22" s="431">
        <v>40682</v>
      </c>
      <c r="F22" s="432" t="s">
        <v>10</v>
      </c>
      <c r="G22" s="434">
        <v>164</v>
      </c>
      <c r="H22" s="434">
        <v>164</v>
      </c>
      <c r="I22" s="4">
        <v>3</v>
      </c>
      <c r="J22" s="557">
        <v>6844</v>
      </c>
      <c r="K22" s="558">
        <v>808</v>
      </c>
      <c r="L22" s="557">
        <v>8257</v>
      </c>
      <c r="M22" s="558">
        <v>967</v>
      </c>
      <c r="N22" s="557">
        <v>6988</v>
      </c>
      <c r="O22" s="558">
        <v>814</v>
      </c>
      <c r="P22" s="559">
        <f>+J22+L22+N22</f>
        <v>22089</v>
      </c>
      <c r="Q22" s="560">
        <f>+K22+M22+O22</f>
        <v>2589</v>
      </c>
      <c r="R22" s="561">
        <f t="shared" si="0"/>
        <v>15.786585365853659</v>
      </c>
      <c r="S22" s="562">
        <f>IF(P22&lt;&gt;0,P22/Q22,"")</f>
        <v>8.531865585168019</v>
      </c>
      <c r="T22" s="563">
        <v>103411</v>
      </c>
      <c r="U22" s="564">
        <f t="shared" si="1"/>
        <v>-0.7863960313699703</v>
      </c>
      <c r="V22" s="451">
        <f t="shared" si="2"/>
        <v>17264</v>
      </c>
      <c r="W22" s="284">
        <f t="shared" si="3"/>
        <v>2393</v>
      </c>
      <c r="X22" s="671">
        <v>39353</v>
      </c>
      <c r="Y22" s="672">
        <v>4982</v>
      </c>
      <c r="Z22" s="462">
        <f t="shared" si="4"/>
        <v>0.5196708149337615</v>
      </c>
      <c r="AA22" s="462">
        <f t="shared" si="5"/>
        <v>0.48032918506623845</v>
      </c>
      <c r="AB22" s="284">
        <f t="shared" si="6"/>
        <v>30.378048780487806</v>
      </c>
      <c r="AC22" s="451">
        <f t="shared" si="7"/>
        <v>7.899036531513448</v>
      </c>
      <c r="AD22" s="42">
        <v>555014</v>
      </c>
      <c r="AE22" s="47">
        <v>60106</v>
      </c>
      <c r="AF22" s="107">
        <f>+AD22/AE22</f>
        <v>9.233920074534987</v>
      </c>
      <c r="AG22" s="108">
        <v>12</v>
      </c>
    </row>
    <row r="23" spans="1:33" s="95" customFormat="1" ht="14.25" customHeight="1">
      <c r="A23" s="96">
        <v>13</v>
      </c>
      <c r="B23" s="111" t="s">
        <v>97</v>
      </c>
      <c r="C23" s="98"/>
      <c r="D23" s="743" t="s">
        <v>350</v>
      </c>
      <c r="E23" s="581">
        <v>40697</v>
      </c>
      <c r="F23" s="432" t="s">
        <v>52</v>
      </c>
      <c r="G23" s="434">
        <v>49</v>
      </c>
      <c r="H23" s="434">
        <v>49</v>
      </c>
      <c r="I23" s="125">
        <v>1</v>
      </c>
      <c r="J23" s="574">
        <v>4442.5</v>
      </c>
      <c r="K23" s="575">
        <v>519</v>
      </c>
      <c r="L23" s="574">
        <v>7072</v>
      </c>
      <c r="M23" s="575">
        <v>770</v>
      </c>
      <c r="N23" s="574">
        <v>8455</v>
      </c>
      <c r="O23" s="575">
        <v>902</v>
      </c>
      <c r="P23" s="559">
        <f aca="true" t="shared" si="10" ref="P23:Q30">SUM(J23+L23+N23)</f>
        <v>19969.5</v>
      </c>
      <c r="Q23" s="560">
        <f t="shared" si="10"/>
        <v>2191</v>
      </c>
      <c r="R23" s="561">
        <f t="shared" si="0"/>
        <v>44.714285714285715</v>
      </c>
      <c r="S23" s="562">
        <f>+P23/Q23</f>
        <v>9.114331355545414</v>
      </c>
      <c r="T23" s="563"/>
      <c r="U23" s="564">
        <f t="shared" si="1"/>
      </c>
      <c r="V23" s="451">
        <f t="shared" si="2"/>
        <v>19125</v>
      </c>
      <c r="W23" s="284">
        <f t="shared" si="3"/>
        <v>2491</v>
      </c>
      <c r="X23" s="677">
        <v>39094.5</v>
      </c>
      <c r="Y23" s="678">
        <v>4682</v>
      </c>
      <c r="Z23" s="462">
        <f t="shared" si="4"/>
        <v>0.46796240922682614</v>
      </c>
      <c r="AA23" s="462">
        <f t="shared" si="5"/>
        <v>0.5320375907731738</v>
      </c>
      <c r="AB23" s="284">
        <f t="shared" si="6"/>
        <v>95.55102040816327</v>
      </c>
      <c r="AC23" s="451">
        <f t="shared" si="7"/>
        <v>8.349957283212303</v>
      </c>
      <c r="AD23" s="41">
        <v>39094.5</v>
      </c>
      <c r="AE23" s="44">
        <v>4682</v>
      </c>
      <c r="AF23" s="128">
        <f>+AD23/AE23</f>
        <v>8.349957283212303</v>
      </c>
      <c r="AG23" s="108">
        <v>13</v>
      </c>
    </row>
    <row r="24" spans="1:33" s="95" customFormat="1" ht="14.25" customHeight="1">
      <c r="A24" s="96">
        <v>14</v>
      </c>
      <c r="B24" s="122"/>
      <c r="C24" s="98"/>
      <c r="D24" s="517" t="s">
        <v>68</v>
      </c>
      <c r="E24" s="431">
        <v>40669</v>
      </c>
      <c r="F24" s="432" t="s">
        <v>36</v>
      </c>
      <c r="G24" s="434">
        <v>58</v>
      </c>
      <c r="H24" s="434">
        <v>48</v>
      </c>
      <c r="I24" s="568">
        <v>5</v>
      </c>
      <c r="J24" s="569">
        <v>4517</v>
      </c>
      <c r="K24" s="570">
        <v>663</v>
      </c>
      <c r="L24" s="569">
        <v>7974.5</v>
      </c>
      <c r="M24" s="570">
        <v>1164</v>
      </c>
      <c r="N24" s="569">
        <v>6748.5</v>
      </c>
      <c r="O24" s="570">
        <v>972</v>
      </c>
      <c r="P24" s="559">
        <f t="shared" si="10"/>
        <v>19240</v>
      </c>
      <c r="Q24" s="560">
        <f t="shared" si="10"/>
        <v>2799</v>
      </c>
      <c r="R24" s="561">
        <f t="shared" si="0"/>
        <v>58.3125</v>
      </c>
      <c r="S24" s="562">
        <f>+P24/Q24</f>
        <v>6.873883529832083</v>
      </c>
      <c r="T24" s="563">
        <v>35839</v>
      </c>
      <c r="U24" s="564">
        <f t="shared" si="1"/>
        <v>-0.46315466391361365</v>
      </c>
      <c r="V24" s="451">
        <f t="shared" si="2"/>
        <v>18736</v>
      </c>
      <c r="W24" s="284">
        <f t="shared" si="3"/>
        <v>2872</v>
      </c>
      <c r="X24" s="673">
        <v>37976</v>
      </c>
      <c r="Y24" s="674">
        <v>5671</v>
      </c>
      <c r="Z24" s="462">
        <f t="shared" si="4"/>
        <v>0.49356374537118675</v>
      </c>
      <c r="AA24" s="462">
        <f t="shared" si="5"/>
        <v>0.5064362546288133</v>
      </c>
      <c r="AB24" s="284">
        <f t="shared" si="6"/>
        <v>118.14583333333333</v>
      </c>
      <c r="AC24" s="451">
        <f t="shared" si="7"/>
        <v>6.6965261858578735</v>
      </c>
      <c r="AD24" s="9">
        <f>283662.5+204713+63694+61522.5+37976</f>
        <v>651568</v>
      </c>
      <c r="AE24" s="8">
        <f>29595+21640+7444+8447+5671</f>
        <v>72797</v>
      </c>
      <c r="AF24" s="107">
        <f>+AD24/AE24</f>
        <v>8.950478728519032</v>
      </c>
      <c r="AG24" s="108">
        <v>14</v>
      </c>
    </row>
    <row r="25" spans="1:33" s="95" customFormat="1" ht="14.25" customHeight="1">
      <c r="A25" s="96">
        <v>15</v>
      </c>
      <c r="B25" s="116"/>
      <c r="C25" s="98"/>
      <c r="D25" s="731" t="s">
        <v>329</v>
      </c>
      <c r="E25" s="431">
        <v>40690</v>
      </c>
      <c r="F25" s="440" t="s">
        <v>32</v>
      </c>
      <c r="G25" s="434">
        <v>50</v>
      </c>
      <c r="H25" s="434">
        <v>50</v>
      </c>
      <c r="I25" s="620">
        <v>2</v>
      </c>
      <c r="J25" s="574">
        <v>4187.5</v>
      </c>
      <c r="K25" s="575">
        <v>424</v>
      </c>
      <c r="L25" s="574">
        <v>8419.5</v>
      </c>
      <c r="M25" s="575">
        <v>801</v>
      </c>
      <c r="N25" s="574">
        <v>7430.5</v>
      </c>
      <c r="O25" s="575">
        <v>696</v>
      </c>
      <c r="P25" s="584">
        <f t="shared" si="10"/>
        <v>20037.5</v>
      </c>
      <c r="Q25" s="585">
        <f t="shared" si="10"/>
        <v>1921</v>
      </c>
      <c r="R25" s="561">
        <f t="shared" si="0"/>
        <v>38.42</v>
      </c>
      <c r="S25" s="562">
        <f>+P25/Q25</f>
        <v>10.43076522644456</v>
      </c>
      <c r="T25" s="586">
        <v>49160.5</v>
      </c>
      <c r="U25" s="564">
        <f t="shared" si="1"/>
        <v>-0.5924065052226889</v>
      </c>
      <c r="V25" s="451">
        <f t="shared" si="2"/>
        <v>15901.75</v>
      </c>
      <c r="W25" s="284">
        <f t="shared" si="3"/>
        <v>1906</v>
      </c>
      <c r="X25" s="679">
        <v>35939.25</v>
      </c>
      <c r="Y25" s="676">
        <v>3827</v>
      </c>
      <c r="Z25" s="462">
        <f t="shared" si="4"/>
        <v>0.501959759602822</v>
      </c>
      <c r="AA25" s="462">
        <f t="shared" si="5"/>
        <v>0.4980402403971779</v>
      </c>
      <c r="AB25" s="284">
        <f t="shared" si="6"/>
        <v>76.54</v>
      </c>
      <c r="AC25" s="451">
        <f t="shared" si="7"/>
        <v>9.390972040763</v>
      </c>
      <c r="AD25" s="425">
        <f>76356.75+35939.25</f>
        <v>112296</v>
      </c>
      <c r="AE25" s="240">
        <f>6986+3827</f>
        <v>10813</v>
      </c>
      <c r="AF25" s="107">
        <f>+AD25/AE25</f>
        <v>10.385276981411264</v>
      </c>
      <c r="AG25" s="108">
        <v>15</v>
      </c>
    </row>
    <row r="26" spans="1:33" s="95" customFormat="1" ht="14.25" customHeight="1">
      <c r="A26" s="96">
        <v>16</v>
      </c>
      <c r="B26" s="111" t="s">
        <v>97</v>
      </c>
      <c r="C26" s="98"/>
      <c r="D26" s="732" t="s">
        <v>351</v>
      </c>
      <c r="E26" s="581">
        <v>40697</v>
      </c>
      <c r="F26" s="437" t="s">
        <v>70</v>
      </c>
      <c r="G26" s="588">
        <v>15</v>
      </c>
      <c r="H26" s="588">
        <v>15</v>
      </c>
      <c r="I26" s="589">
        <v>1</v>
      </c>
      <c r="J26" s="590">
        <v>4554.5</v>
      </c>
      <c r="K26" s="591">
        <v>499</v>
      </c>
      <c r="L26" s="590">
        <v>7378</v>
      </c>
      <c r="M26" s="591">
        <v>816</v>
      </c>
      <c r="N26" s="590">
        <v>7501.5</v>
      </c>
      <c r="O26" s="591">
        <v>816</v>
      </c>
      <c r="P26" s="592">
        <f t="shared" si="10"/>
        <v>19434</v>
      </c>
      <c r="Q26" s="593">
        <f t="shared" si="10"/>
        <v>2131</v>
      </c>
      <c r="R26" s="591">
        <f>Q26/H26</f>
        <v>142.06666666666666</v>
      </c>
      <c r="S26" s="590">
        <f>P26/Q26</f>
        <v>9.119662130455186</v>
      </c>
      <c r="T26" s="590"/>
      <c r="U26" s="564"/>
      <c r="V26" s="451">
        <f t="shared" si="2"/>
        <v>14864</v>
      </c>
      <c r="W26" s="284">
        <f t="shared" si="3"/>
        <v>1884</v>
      </c>
      <c r="X26" s="680">
        <v>34298</v>
      </c>
      <c r="Y26" s="681">
        <v>4015</v>
      </c>
      <c r="Z26" s="462">
        <f t="shared" si="4"/>
        <v>0.5307596513075965</v>
      </c>
      <c r="AA26" s="462">
        <f t="shared" si="5"/>
        <v>0.4692403486924035</v>
      </c>
      <c r="AB26" s="284">
        <f t="shared" si="6"/>
        <v>267.6666666666667</v>
      </c>
      <c r="AC26" s="451">
        <f t="shared" si="7"/>
        <v>8.542465753424658</v>
      </c>
      <c r="AD26" s="242">
        <v>34298</v>
      </c>
      <c r="AE26" s="240">
        <v>4015</v>
      </c>
      <c r="AF26" s="110">
        <f>AD26/AE26</f>
        <v>8.542465753424658</v>
      </c>
      <c r="AG26" s="108">
        <v>16</v>
      </c>
    </row>
    <row r="27" spans="1:33" s="95" customFormat="1" ht="14.25" customHeight="1">
      <c r="A27" s="96">
        <v>17</v>
      </c>
      <c r="B27" s="122"/>
      <c r="C27" s="98"/>
      <c r="D27" s="515" t="s">
        <v>78</v>
      </c>
      <c r="E27" s="431">
        <v>40682</v>
      </c>
      <c r="F27" s="432" t="s">
        <v>22</v>
      </c>
      <c r="G27" s="434">
        <v>45</v>
      </c>
      <c r="H27" s="434">
        <v>45</v>
      </c>
      <c r="I27" s="594">
        <v>3</v>
      </c>
      <c r="J27" s="595">
        <v>2726</v>
      </c>
      <c r="K27" s="596">
        <v>394</v>
      </c>
      <c r="L27" s="595">
        <v>5176</v>
      </c>
      <c r="M27" s="596">
        <v>755</v>
      </c>
      <c r="N27" s="595">
        <v>4547.5</v>
      </c>
      <c r="O27" s="596">
        <v>659</v>
      </c>
      <c r="P27" s="592">
        <f t="shared" si="10"/>
        <v>12449.5</v>
      </c>
      <c r="Q27" s="593">
        <f t="shared" si="10"/>
        <v>1808</v>
      </c>
      <c r="R27" s="561">
        <f>IF(P27&lt;&gt;0,Q27/H27,"")</f>
        <v>40.17777777777778</v>
      </c>
      <c r="S27" s="562">
        <f>IF(P27&lt;&gt;0,P27/Q27,"")</f>
        <v>6.885785398230088</v>
      </c>
      <c r="T27" s="563">
        <v>21881.5</v>
      </c>
      <c r="U27" s="564">
        <f>IF(T27&lt;&gt;0,-(T27-P27)/T27,"")</f>
        <v>-0.43104905970797247</v>
      </c>
      <c r="V27" s="451">
        <f t="shared" si="2"/>
        <v>13410</v>
      </c>
      <c r="W27" s="284">
        <f t="shared" si="3"/>
        <v>1801</v>
      </c>
      <c r="X27" s="682">
        <v>25859.5</v>
      </c>
      <c r="Y27" s="683">
        <v>3609</v>
      </c>
      <c r="Z27" s="462">
        <f t="shared" si="4"/>
        <v>0.5009697977279025</v>
      </c>
      <c r="AA27" s="462">
        <f t="shared" si="5"/>
        <v>0.49903020227209755</v>
      </c>
      <c r="AB27" s="284">
        <f t="shared" si="6"/>
        <v>80.2</v>
      </c>
      <c r="AC27" s="451">
        <f t="shared" si="7"/>
        <v>7.165281241341091</v>
      </c>
      <c r="AD27" s="40">
        <f>868723.5+629960.75+471670+272432+164061+97109.5+34971.5+29195+10591.5+4973+1214+25859.5</f>
        <v>2610761.25</v>
      </c>
      <c r="AE27" s="44">
        <f>93361+70981+54177+33865+22657+14644+6278+5343+1965+923+199+3609</f>
        <v>308002</v>
      </c>
      <c r="AF27" s="107">
        <f>+AD27/AE27</f>
        <v>8.476442523100499</v>
      </c>
      <c r="AG27" s="108">
        <v>17</v>
      </c>
    </row>
    <row r="28" spans="1:33" s="95" customFormat="1" ht="14.25" customHeight="1">
      <c r="A28" s="96">
        <v>18</v>
      </c>
      <c r="B28" s="111" t="s">
        <v>97</v>
      </c>
      <c r="C28" s="98"/>
      <c r="D28" s="524" t="s">
        <v>60</v>
      </c>
      <c r="E28" s="431">
        <v>40669</v>
      </c>
      <c r="F28" s="432" t="s">
        <v>36</v>
      </c>
      <c r="G28" s="434">
        <v>31</v>
      </c>
      <c r="H28" s="434">
        <v>30</v>
      </c>
      <c r="I28" s="568">
        <v>5</v>
      </c>
      <c r="J28" s="569">
        <v>3735</v>
      </c>
      <c r="K28" s="570">
        <v>562</v>
      </c>
      <c r="L28" s="569">
        <v>4753</v>
      </c>
      <c r="M28" s="570">
        <v>682</v>
      </c>
      <c r="N28" s="569">
        <v>4692</v>
      </c>
      <c r="O28" s="570">
        <v>690</v>
      </c>
      <c r="P28" s="559">
        <f t="shared" si="10"/>
        <v>13180</v>
      </c>
      <c r="Q28" s="560">
        <f t="shared" si="10"/>
        <v>1934</v>
      </c>
      <c r="R28" s="561">
        <f>IF(P28&lt;&gt;0,Q28/H28,"")</f>
        <v>64.46666666666667</v>
      </c>
      <c r="S28" s="562">
        <f>+P28/Q28</f>
        <v>6.814891416752844</v>
      </c>
      <c r="T28" s="563">
        <v>22306.5</v>
      </c>
      <c r="U28" s="564">
        <f>IF(T28&lt;&gt;0,-(T28-P28)/T28,"")</f>
        <v>-0.4091408333893708</v>
      </c>
      <c r="V28" s="451">
        <f t="shared" si="2"/>
        <v>11779.5</v>
      </c>
      <c r="W28" s="284">
        <f t="shared" si="3"/>
        <v>1873</v>
      </c>
      <c r="X28" s="673">
        <v>24959.5</v>
      </c>
      <c r="Y28" s="674">
        <v>3807</v>
      </c>
      <c r="Z28" s="462">
        <f t="shared" si="4"/>
        <v>0.5080115576569477</v>
      </c>
      <c r="AA28" s="462">
        <f t="shared" si="5"/>
        <v>0.4919884423430523</v>
      </c>
      <c r="AB28" s="284">
        <f t="shared" si="6"/>
        <v>126.9</v>
      </c>
      <c r="AC28" s="451">
        <f t="shared" si="7"/>
        <v>6.556212240609404</v>
      </c>
      <c r="AD28" s="9">
        <f>175019+105176.5+33821+39610.5+24959.5</f>
        <v>378586.5</v>
      </c>
      <c r="AE28" s="8">
        <f>19673+11998+4200+5352+3807</f>
        <v>45030</v>
      </c>
      <c r="AF28" s="110">
        <f>AD28/AE28</f>
        <v>8.407428381079281</v>
      </c>
      <c r="AG28" s="108">
        <v>18</v>
      </c>
    </row>
    <row r="29" spans="1:33" s="95" customFormat="1" ht="14.25" customHeight="1">
      <c r="A29" s="96">
        <v>19</v>
      </c>
      <c r="B29" s="97"/>
      <c r="C29" s="98"/>
      <c r="D29" s="516" t="s">
        <v>39</v>
      </c>
      <c r="E29" s="431">
        <v>40651</v>
      </c>
      <c r="F29" s="432" t="s">
        <v>24</v>
      </c>
      <c r="G29" s="434">
        <v>65</v>
      </c>
      <c r="H29" s="434">
        <v>60</v>
      </c>
      <c r="I29" s="573">
        <v>8</v>
      </c>
      <c r="J29" s="574">
        <v>3970</v>
      </c>
      <c r="K29" s="575">
        <v>594</v>
      </c>
      <c r="L29" s="574">
        <v>5353</v>
      </c>
      <c r="M29" s="575">
        <v>801</v>
      </c>
      <c r="N29" s="574">
        <v>3713</v>
      </c>
      <c r="O29" s="575">
        <v>548</v>
      </c>
      <c r="P29" s="559">
        <f t="shared" si="10"/>
        <v>13036</v>
      </c>
      <c r="Q29" s="560">
        <f t="shared" si="10"/>
        <v>1943</v>
      </c>
      <c r="R29" s="561">
        <f>IF(P29&lt;&gt;0,Q29/H29,"")</f>
        <v>32.38333333333333</v>
      </c>
      <c r="S29" s="562">
        <f>+P29/Q29</f>
        <v>6.7092125579001545</v>
      </c>
      <c r="T29" s="563">
        <v>24690</v>
      </c>
      <c r="U29" s="564">
        <f>IF(T29&lt;&gt;0,-(T29-P29)/T29,"")</f>
        <v>-0.4720129607128392</v>
      </c>
      <c r="V29" s="451">
        <f t="shared" si="2"/>
        <v>11775</v>
      </c>
      <c r="W29" s="284">
        <f t="shared" si="3"/>
        <v>1860</v>
      </c>
      <c r="X29" s="675">
        <v>24811</v>
      </c>
      <c r="Y29" s="676">
        <v>3803</v>
      </c>
      <c r="Z29" s="462">
        <f t="shared" si="4"/>
        <v>0.5109124375493032</v>
      </c>
      <c r="AA29" s="462">
        <f t="shared" si="5"/>
        <v>0.48908756245069684</v>
      </c>
      <c r="AB29" s="284">
        <f t="shared" si="6"/>
        <v>63.38333333333333</v>
      </c>
      <c r="AC29" s="451">
        <f t="shared" si="7"/>
        <v>6.524059952668946</v>
      </c>
      <c r="AD29" s="242">
        <v>1723657</v>
      </c>
      <c r="AE29" s="240">
        <v>180571</v>
      </c>
      <c r="AF29" s="110">
        <f>AD29/AE29</f>
        <v>9.545591484789917</v>
      </c>
      <c r="AG29" s="108">
        <v>19</v>
      </c>
    </row>
    <row r="30" spans="1:33" s="95" customFormat="1" ht="14.25" customHeight="1" thickBot="1">
      <c r="A30" s="129">
        <v>20</v>
      </c>
      <c r="B30" s="176"/>
      <c r="C30" s="131" t="s">
        <v>96</v>
      </c>
      <c r="D30" s="744" t="s">
        <v>21</v>
      </c>
      <c r="E30" s="519">
        <v>40620</v>
      </c>
      <c r="F30" s="520" t="s">
        <v>22</v>
      </c>
      <c r="G30" s="733">
        <v>218</v>
      </c>
      <c r="H30" s="733">
        <v>10</v>
      </c>
      <c r="I30" s="734">
        <v>12</v>
      </c>
      <c r="J30" s="735">
        <v>2493.5</v>
      </c>
      <c r="K30" s="736">
        <v>348</v>
      </c>
      <c r="L30" s="735">
        <v>4281.5</v>
      </c>
      <c r="M30" s="736">
        <v>586</v>
      </c>
      <c r="N30" s="735">
        <v>4128</v>
      </c>
      <c r="O30" s="736">
        <v>519</v>
      </c>
      <c r="P30" s="737">
        <f t="shared" si="10"/>
        <v>10903</v>
      </c>
      <c r="Q30" s="738">
        <f t="shared" si="10"/>
        <v>1453</v>
      </c>
      <c r="R30" s="739">
        <f>IF(P30&lt;&gt;0,Q30/H30,"")</f>
        <v>145.3</v>
      </c>
      <c r="S30" s="634">
        <f>IF(P30&lt;&gt;0,P30/Q30,"")</f>
        <v>7.503785271851342</v>
      </c>
      <c r="T30" s="635">
        <v>646</v>
      </c>
      <c r="U30" s="636">
        <f>IF(T30&lt;&gt;0,-(T30-P30)/T30,"")</f>
        <v>15.877708978328174</v>
      </c>
      <c r="V30" s="522">
        <f t="shared" si="2"/>
        <v>12365.5</v>
      </c>
      <c r="W30" s="521">
        <f t="shared" si="3"/>
        <v>1983</v>
      </c>
      <c r="X30" s="740">
        <v>23268.5</v>
      </c>
      <c r="Y30" s="741">
        <v>3436</v>
      </c>
      <c r="Z30" s="523">
        <f t="shared" si="4"/>
        <v>0.42287543655413273</v>
      </c>
      <c r="AA30" s="523">
        <f t="shared" si="5"/>
        <v>0.5771245634458673</v>
      </c>
      <c r="AB30" s="521">
        <f t="shared" si="6"/>
        <v>343.6</v>
      </c>
      <c r="AC30" s="522">
        <f t="shared" si="7"/>
        <v>6.7719732246798605</v>
      </c>
      <c r="AD30" s="137">
        <f>13185+73231+37777+23268.5</f>
        <v>147461.5</v>
      </c>
      <c r="AE30" s="742">
        <f>1138+8298+4612+3436</f>
        <v>17484</v>
      </c>
      <c r="AF30" s="639">
        <f>+AD30/AE30</f>
        <v>8.434082589796386</v>
      </c>
      <c r="AG30" s="144">
        <v>20</v>
      </c>
    </row>
    <row r="31" spans="1:32" s="95" customFormat="1" ht="6" customHeight="1" thickBot="1">
      <c r="A31" s="145"/>
      <c r="B31" s="146"/>
      <c r="E31" s="147"/>
      <c r="G31" s="146"/>
      <c r="H31" s="146"/>
      <c r="I31" s="146"/>
      <c r="J31" s="148"/>
      <c r="K31" s="149"/>
      <c r="L31" s="148"/>
      <c r="M31" s="149"/>
      <c r="N31" s="148"/>
      <c r="O31" s="149"/>
      <c r="P31" s="150"/>
      <c r="Q31" s="151"/>
      <c r="R31" s="149"/>
      <c r="S31" s="152"/>
      <c r="T31" s="148"/>
      <c r="U31" s="153"/>
      <c r="X31" s="154"/>
      <c r="Y31" s="154"/>
      <c r="AB31" s="155"/>
      <c r="AC31" s="156"/>
      <c r="AD31" s="148"/>
      <c r="AE31" s="157"/>
      <c r="AF31" s="152"/>
    </row>
    <row r="32" spans="1:33" s="158" customFormat="1" ht="12.75">
      <c r="A32" s="822" t="s">
        <v>98</v>
      </c>
      <c r="B32" s="823"/>
      <c r="C32" s="823"/>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4"/>
    </row>
    <row r="33" spans="1:33" s="158" customFormat="1" ht="12.75">
      <c r="A33" s="825"/>
      <c r="B33" s="826"/>
      <c r="C33" s="826"/>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7"/>
    </row>
    <row r="34" spans="1:33" s="158" customFormat="1" ht="12.75">
      <c r="A34" s="825"/>
      <c r="B34" s="826"/>
      <c r="C34" s="826"/>
      <c r="D34" s="826"/>
      <c r="E34" s="826"/>
      <c r="F34" s="826"/>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7"/>
    </row>
    <row r="35" spans="1:33" s="158" customFormat="1" ht="12.75">
      <c r="A35" s="825"/>
      <c r="B35" s="826"/>
      <c r="C35" s="826"/>
      <c r="D35" s="826"/>
      <c r="E35" s="826"/>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7"/>
    </row>
    <row r="36" spans="1:33" s="158" customFormat="1" ht="12.75">
      <c r="A36" s="825"/>
      <c r="B36" s="826"/>
      <c r="C36" s="826"/>
      <c r="D36" s="826"/>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7"/>
    </row>
    <row r="37" spans="1:33" s="158" customFormat="1" ht="13.5" thickBot="1">
      <c r="A37" s="828"/>
      <c r="B37" s="829"/>
      <c r="C37" s="829"/>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30"/>
    </row>
  </sheetData>
  <sheetProtection/>
  <mergeCells count="36">
    <mergeCell ref="H6:I6"/>
    <mergeCell ref="J6:U6"/>
    <mergeCell ref="V6:W6"/>
    <mergeCell ref="J7:K7"/>
    <mergeCell ref="AB7:AC7"/>
    <mergeCell ref="T7:U7"/>
    <mergeCell ref="V7:W7"/>
    <mergeCell ref="AC1:AG1"/>
    <mergeCell ref="A32:AG37"/>
    <mergeCell ref="AB6:AC6"/>
    <mergeCell ref="AD6:AG6"/>
    <mergeCell ref="AD7:AE7"/>
    <mergeCell ref="AB9:AC9"/>
    <mergeCell ref="D6:G6"/>
    <mergeCell ref="A1:I1"/>
    <mergeCell ref="X1:AB1"/>
    <mergeCell ref="A5:E5"/>
    <mergeCell ref="X5:AG5"/>
    <mergeCell ref="A2:I2"/>
    <mergeCell ref="A3:I3"/>
    <mergeCell ref="A4:E4"/>
    <mergeCell ref="J9:K9"/>
    <mergeCell ref="L9:M9"/>
    <mergeCell ref="N9:O9"/>
    <mergeCell ref="R7:S7"/>
    <mergeCell ref="P9:Q9"/>
    <mergeCell ref="N7:O7"/>
    <mergeCell ref="P7:Q7"/>
    <mergeCell ref="Z9:AA9"/>
    <mergeCell ref="L7:M7"/>
    <mergeCell ref="X6:Y6"/>
    <mergeCell ref="Z6:AA6"/>
    <mergeCell ref="R9:S9"/>
    <mergeCell ref="T9:U9"/>
    <mergeCell ref="Z7:AA7"/>
    <mergeCell ref="X7:Y7"/>
  </mergeCells>
  <hyperlinks>
    <hyperlink ref="A3" r:id="rId1" display="http://www.antraktsinema.com"/>
  </hyperlinks>
  <printOptions/>
  <pageMargins left="0.75" right="0.75" top="1" bottom="1" header="0.5" footer="0.5"/>
  <pageSetup horizontalDpi="600" verticalDpi="600" orientation="portrait" paperSize="9" r:id="rId3"/>
  <ignoredErrors>
    <ignoredError sqref="AD13:AE30 AF27:AF30" unlockedFormula="1"/>
    <ignoredError sqref="AF13:AF26" formula="1" unlockedFormula="1"/>
    <ignoredError sqref="AF1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2011-05-24T12:35:07Z</cp:lastPrinted>
  <dcterms:created xsi:type="dcterms:W3CDTF">2006-03-15T09:07:04Z</dcterms:created>
  <dcterms:modified xsi:type="dcterms:W3CDTF">2011-06-11T08:48:02Z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