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11-17 Mar' 11 (WK 11)" sheetId="1" r:id="rId1"/>
    <sheet name="31 Dec 10'-17 Mar'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'11-17 Mar'' 11 (WK 11)'!$A$1:$N$61</definedName>
    <definedName name="_xlnm.Print_Area" localSheetId="1">'31 Dec 10'-17 Mar' 11 (Annual)'!#REF!</definedName>
  </definedNames>
  <calcPr fullCalcOnLoad="1"/>
</workbook>
</file>

<file path=xl/sharedStrings.xml><?xml version="1.0" encoding="utf-8"?>
<sst xmlns="http://schemas.openxmlformats.org/spreadsheetml/2006/main" count="911" uniqueCount="229">
  <si>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</si>
  <si>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</si>
  <si>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</si>
  <si>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</si>
  <si>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</si>
  <si>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</si>
  <si>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</si>
  <si>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</si>
  <si>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</si>
  <si>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</si>
  <si>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</si>
  <si>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</si>
  <si>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</si>
  <si>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</si>
  <si>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</si>
  <si>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</si>
  <si>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</si>
  <si>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</si>
  <si>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</si>
  <si>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</si>
  <si>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</si>
  <si>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</si>
  <si>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</si>
  <si>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</si>
  <si>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</si>
  <si>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</si>
  <si>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</si>
  <si>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</si>
  <si>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</si>
  <si>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</si>
  <si>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</si>
  <si>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</si>
  <si>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</si>
  <si>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</si>
  <si>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</si>
  <si>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</si>
  <si>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</si>
  <si>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</si>
  <si>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</si>
  <si>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</si>
  <si>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</si>
  <si>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</si>
  <si>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</si>
  <si>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</si>
  <si>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</si>
  <si>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</si>
  <si>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</si>
  <si>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</si>
  <si>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</si>
  <si>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</si>
  <si>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</si>
  <si>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</si>
  <si>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</si>
  <si>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</si>
  <si>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</si>
  <si>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</si>
  <si>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</si>
  <si>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</si>
  <si>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</si>
  <si>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</si>
  <si>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</si>
  <si>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</si>
  <si>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</si>
  <si>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</si>
  <si>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</si>
  <si>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</si>
  <si>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</si>
  <si>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</si>
  <si>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</si>
  <si>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</si>
  <si>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</si>
  <si>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</si>
  <si>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</si>
  <si>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</si>
  <si>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</si>
  <si>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</si>
  <si>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</si>
  <si>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</si>
  <si>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</si>
  <si>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</si>
  <si>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</si>
  <si>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</si>
  <si>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</si>
  <si>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</si>
  <si>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</si>
  <si>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</si>
  <si>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</si>
  <si>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</si>
  <si>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</si>
  <si>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</si>
  <si>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</si>
  <si>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</si>
  <si>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</si>
  <si>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</si>
  <si>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</si>
  <si>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</si>
  <si>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</si>
  <si>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</si>
  <si>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</si>
  <si>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</si>
  <si>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</si>
  <si>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</si>
  <si>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</si>
  <si>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</si>
  <si>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</si>
  <si>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</si>
  <si>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</si>
  <si>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</si>
  <si>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</si>
  <si>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</si>
  <si>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</si>
  <si>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</si>
  <si>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</si>
  <si>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</si>
  <si>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</si>
  <si>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</si>
  <si>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</si>
  <si>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</si>
  <si>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</si>
  <si>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</si>
  <si>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</si>
  <si>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</si>
  <si>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</si>
  <si>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</si>
  <si>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</si>
  <si>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</si>
  <si>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</si>
  <si>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</si>
  <si>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</si>
  <si>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</si>
  <si>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</si>
  <si>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</si>
  <si>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</si>
  <si>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</si>
  <si>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</si>
  <si>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</si>
  <si>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</si>
  <si>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</si>
  <si>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</si>
  <si>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</si>
  <si>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</si>
  <si>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</si>
  <si>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MEMLEKET MESELESİ (LOCAL)</t>
  </si>
  <si>
    <t>LA VERITABLE HISTOIRE DU CHAT BOTTE</t>
  </si>
  <si>
    <r>
      <t xml:space="preserve">HAYAT VAR </t>
    </r>
    <r>
      <rPr>
        <b/>
        <sz val="10"/>
        <color indexed="10"/>
        <rFont val="Trebuchet MS"/>
        <family val="2"/>
      </rPr>
      <t>(LOCAL)</t>
    </r>
  </si>
  <si>
    <t>INCEPTION</t>
  </si>
  <si>
    <t>RICKY</t>
  </si>
  <si>
    <t>R.E.D.</t>
  </si>
  <si>
    <t>THE RITE</t>
  </si>
  <si>
    <t>THE FIGHTER</t>
  </si>
  <si>
    <t>SECRETARIAT</t>
  </si>
  <si>
    <t>the GIRL WHO PLAYED WITH FIRE</t>
  </si>
  <si>
    <r>
      <t>ŞENLİKNAME: BİR İSTANBUL MASALI</t>
    </r>
    <r>
      <rPr>
        <b/>
        <sz val="10"/>
        <color indexed="10"/>
        <rFont val="Trebuchet MS"/>
        <family val="2"/>
      </rPr>
      <t xml:space="preserve"> (LOCAL)</t>
    </r>
  </si>
  <si>
    <r>
      <t xml:space="preserve">İNCİR REÇELİ </t>
    </r>
    <r>
      <rPr>
        <b/>
        <sz val="10"/>
        <color indexed="10"/>
        <rFont val="Trebuchet MS"/>
        <family val="2"/>
      </rPr>
      <t>(LOCAL)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</si>
  <si>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</si>
  <si>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</si>
  <si>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</si>
  <si>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</si>
  <si>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</si>
  <si>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</si>
  <si>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</si>
  <si>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</si>
  <si>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</si>
  <si>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</si>
  <si>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GREEN HORNET</t>
  </si>
  <si>
    <t>127 HOURS</t>
  </si>
  <si>
    <t>EDEN IS WEST</t>
  </si>
  <si>
    <t>THE WAVE</t>
  </si>
  <si>
    <t>UMUT SANAT</t>
  </si>
  <si>
    <r>
      <t>O KUL</t>
    </r>
    <r>
      <rPr>
        <b/>
        <sz val="10"/>
        <color indexed="10"/>
        <rFont val="Trebuchet MS"/>
        <family val="2"/>
      </rPr>
      <t xml:space="preserve"> (LOCAL)</t>
    </r>
  </si>
  <si>
    <t>IT'S A FREE WORLD</t>
  </si>
  <si>
    <t>M3 FILM</t>
  </si>
  <si>
    <t>BLACK SWAN</t>
  </si>
  <si>
    <t>THE NEXT THREE DAYS</t>
  </si>
  <si>
    <r>
      <t xml:space="preserve">YA SONRA </t>
    </r>
    <r>
      <rPr>
        <b/>
        <sz val="10"/>
        <color indexed="10"/>
        <rFont val="Trebuchet MS"/>
        <family val="2"/>
      </rPr>
      <t>(LOCAL)</t>
    </r>
  </si>
  <si>
    <t>THE KING'S SPEECH</t>
  </si>
  <si>
    <t>TRUE GRIT</t>
  </si>
  <si>
    <r>
      <t>AŞKIN İKİNCİ YARISI</t>
    </r>
    <r>
      <rPr>
        <b/>
        <sz val="10"/>
        <color indexed="10"/>
        <rFont val="Trebuchet MS"/>
        <family val="2"/>
      </rPr>
      <t xml:space="preserve"> (LOCAL)</t>
    </r>
  </si>
  <si>
    <t>TRON: LEGACY</t>
  </si>
  <si>
    <t>OCEAN WORLD 3D</t>
  </si>
  <si>
    <t>GNOMES AND TROLLS: THE SECRET CHAMBER</t>
  </si>
  <si>
    <r>
      <t>MEMLEKETTE DEMOKRASİ VAR</t>
    </r>
    <r>
      <rPr>
        <b/>
        <sz val="10"/>
        <color indexed="10"/>
        <rFont val="Trebuchet MS"/>
        <family val="2"/>
      </rPr>
      <t xml:space="preserve"> (LOCAL)</t>
    </r>
  </si>
  <si>
    <t>EYYVAH EYVAH 2 (LOCAL)</t>
  </si>
  <si>
    <t>AŞK TESADÜFLERİ SEVER (LOCAL)</t>
  </si>
  <si>
    <t>KURTLAR VADİSİ FİLİSTİN (LOCAL)</t>
  </si>
  <si>
    <t>HÜR ADAM (LOCAL)</t>
  </si>
  <si>
    <t>YA SONRA (LOCAL)</t>
  </si>
  <si>
    <t>İNCİR REÇELİ (LOCAL)</t>
  </si>
  <si>
    <t>GÜNAH KEÇİSİ (LOCAL)</t>
  </si>
  <si>
    <t>ÇALGI ÇENGİ (LOCAL)</t>
  </si>
  <si>
    <t>KUKURİKU: KADIN KRALLIĞI (LOCAL)</t>
  </si>
  <si>
    <t>KAĞIT (LOCAL)</t>
  </si>
  <si>
    <t>HAYDE BRE (LOCAL)</t>
  </si>
  <si>
    <t>7 AVLU (LOCAL)</t>
  </si>
  <si>
    <r>
      <t xml:space="preserve">KOLPAÇİNO: BOMBA </t>
    </r>
    <r>
      <rPr>
        <b/>
        <sz val="10"/>
        <color indexed="10"/>
        <rFont val="Trebuchet MS"/>
        <family val="2"/>
      </rPr>
      <t>(LOCAL)</t>
    </r>
    <r>
      <rPr>
        <sz val="10"/>
        <rFont val="Trebuchet MS"/>
        <family val="2"/>
      </rPr>
      <t xml:space="preserve"> </t>
    </r>
    <r>
      <rPr>
        <b/>
        <sz val="10"/>
        <color indexed="12"/>
        <rFont val="Trebuchet MS"/>
        <family val="2"/>
      </rPr>
      <t>(NEW)</t>
    </r>
  </si>
  <si>
    <r>
      <t>THE KIDS ARE ALL RIGHT</t>
    </r>
    <r>
      <rPr>
        <b/>
        <sz val="10"/>
        <color indexed="12"/>
        <rFont val="Trebuchet MS"/>
        <family val="2"/>
      </rPr>
      <t xml:space="preserve"> (NEW)</t>
    </r>
  </si>
  <si>
    <r>
      <t xml:space="preserve">GÖLGELER VE SURETLER </t>
    </r>
    <r>
      <rPr>
        <b/>
        <sz val="10"/>
        <color indexed="10"/>
        <rFont val="Trebuchet MS"/>
        <family val="2"/>
      </rPr>
      <t>(LOCAL)</t>
    </r>
    <r>
      <rPr>
        <b/>
        <sz val="10"/>
        <color indexed="12"/>
        <rFont val="Trebuchet MS"/>
        <family val="2"/>
      </rPr>
      <t xml:space="preserve"> (NEW)</t>
    </r>
  </si>
  <si>
    <t>M3 Film</t>
  </si>
  <si>
    <r>
      <t>KURTLAR VADİSİ FİLİSTİN</t>
    </r>
    <r>
      <rPr>
        <b/>
        <sz val="10"/>
        <color indexed="10"/>
        <rFont val="Trebuchet MS"/>
        <family val="2"/>
      </rPr>
      <t xml:space="preserve"> (LOCAL)</t>
    </r>
  </si>
  <si>
    <r>
      <t xml:space="preserve">KİR </t>
    </r>
    <r>
      <rPr>
        <b/>
        <sz val="10"/>
        <color indexed="10"/>
        <rFont val="Trebuchet MS"/>
        <family val="2"/>
      </rPr>
      <t>(LOCAL)</t>
    </r>
  </si>
  <si>
    <t>WINTER'S BONE</t>
  </si>
  <si>
    <r>
      <t>120</t>
    </r>
    <r>
      <rPr>
        <b/>
        <sz val="10"/>
        <color indexed="10"/>
        <rFont val="Trebuchet MS"/>
        <family val="2"/>
      </rPr>
      <t xml:space="preserve"> (LOCAL)</t>
    </r>
  </si>
  <si>
    <t>2</t>
  </si>
  <si>
    <t>11</t>
  </si>
  <si>
    <r>
      <t>KOSMOS</t>
    </r>
    <r>
      <rPr>
        <b/>
        <sz val="10"/>
        <color indexed="10"/>
        <rFont val="Trebuchet MS"/>
        <family val="2"/>
      </rPr>
      <t xml:space="preserve"> (LOCAL)</t>
    </r>
  </si>
  <si>
    <t>THE SILENT ARMY</t>
  </si>
  <si>
    <r>
      <t>HÜR ADAM</t>
    </r>
    <r>
      <rPr>
        <b/>
        <sz val="10"/>
        <color indexed="10"/>
        <rFont val="Trebuchet MS"/>
        <family val="2"/>
      </rPr>
      <t xml:space="preserve"> (LOCAL)</t>
    </r>
  </si>
  <si>
    <t>SINYORA ENRICA İLE İTALYAN OLMAK</t>
  </si>
  <si>
    <r>
      <t>KUTSAL DAMACANA  DRACOOLA</t>
    </r>
    <r>
      <rPr>
        <b/>
        <sz val="10"/>
        <color indexed="10"/>
        <rFont val="Trebuchet MS"/>
        <family val="2"/>
      </rPr>
      <t xml:space="preserve"> (LOCAL)</t>
    </r>
  </si>
  <si>
    <r>
      <t xml:space="preserve">AŞK TESADÜFLERİ SEVER </t>
    </r>
    <r>
      <rPr>
        <b/>
        <sz val="10"/>
        <color indexed="10"/>
        <rFont val="Trebuchet MS"/>
        <family val="2"/>
      </rPr>
      <t>(LOCAL)</t>
    </r>
  </si>
  <si>
    <r>
      <t xml:space="preserve">ANIMALS UNITED </t>
    </r>
    <r>
      <rPr>
        <b/>
        <sz val="10"/>
        <color indexed="12"/>
        <rFont val="Trebuchet MS"/>
        <family val="2"/>
      </rPr>
      <t>(NEW)</t>
    </r>
  </si>
  <si>
    <r>
      <t xml:space="preserve">72.KOĞUŞ </t>
    </r>
    <r>
      <rPr>
        <b/>
        <sz val="10"/>
        <color indexed="10"/>
        <rFont val="Trebuchet MS"/>
        <family val="2"/>
      </rPr>
      <t>(LOCAL)</t>
    </r>
  </si>
  <si>
    <t>RANGO</t>
  </si>
  <si>
    <t>STEP UP 3 3D</t>
  </si>
  <si>
    <r>
      <t xml:space="preserve">EYYVAH EYVAH 2 </t>
    </r>
    <r>
      <rPr>
        <b/>
        <sz val="10"/>
        <color indexed="10"/>
        <rFont val="Trebuchet MS"/>
        <family val="2"/>
      </rPr>
      <t>(LOCAL)</t>
    </r>
  </si>
  <si>
    <r>
      <t xml:space="preserve">ÇALGI ÇENGİ </t>
    </r>
    <r>
      <rPr>
        <b/>
        <sz val="10"/>
        <color indexed="10"/>
        <rFont val="Trebuchet MS"/>
        <family val="2"/>
      </rPr>
      <t>(LOCAL)</t>
    </r>
  </si>
  <si>
    <r>
      <t>MEMLEKET MESELESİ</t>
    </r>
    <r>
      <rPr>
        <b/>
        <sz val="10"/>
        <color indexed="10"/>
        <rFont val="Trebuchet MS"/>
        <family val="2"/>
      </rPr>
      <t xml:space="preserve"> (LOCAL)</t>
    </r>
  </si>
  <si>
    <t>THE ADJUSTMENT BREAU</t>
  </si>
  <si>
    <r>
      <t xml:space="preserve">SAKLI HAYATLAR </t>
    </r>
    <r>
      <rPr>
        <b/>
        <sz val="10"/>
        <color indexed="10"/>
        <rFont val="Trebuchet MS"/>
        <family val="2"/>
      </rPr>
      <t xml:space="preserve">(LOCAL) </t>
    </r>
    <r>
      <rPr>
        <b/>
        <sz val="10"/>
        <color indexed="12"/>
        <rFont val="Trebuchet MS"/>
        <family val="2"/>
      </rPr>
      <t>(NEW)</t>
    </r>
  </si>
  <si>
    <t>KOLPAÇİNO: BOMBA (LOCAL)</t>
  </si>
  <si>
    <t>KUTSAL DAMACANA  DRACOOLA (LOCAL)</t>
  </si>
  <si>
    <t>72.KOĞUŞ (LOCAL)</t>
  </si>
  <si>
    <t>ANIMALS UNITED</t>
  </si>
  <si>
    <t>BİR AVUÇ DENİZ (LOCAL)</t>
  </si>
  <si>
    <t>THE KIDS ARE ALL RIGHT</t>
  </si>
  <si>
    <t>SAKLI HAYATLAR (LOCAL)</t>
  </si>
  <si>
    <t>GÖLGELER VE SURETLER (LOCAL)</t>
  </si>
  <si>
    <t>KİR (LOCAL)</t>
  </si>
  <si>
    <r>
      <t xml:space="preserve">BİR AVUÇ DENİZ </t>
    </r>
    <r>
      <rPr>
        <b/>
        <sz val="10"/>
        <color indexed="10"/>
        <rFont val="Trebuchet MS"/>
        <family val="2"/>
      </rPr>
      <t xml:space="preserve">(LOCAL) </t>
    </r>
    <r>
      <rPr>
        <b/>
        <sz val="10"/>
        <color indexed="12"/>
        <rFont val="Trebuchet MS"/>
        <family val="2"/>
      </rPr>
      <t>(NEW)</t>
    </r>
  </si>
</sst>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medium"/>
      <top style="hair"/>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hair"/>
      <right style="hair"/>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medium"/>
    </border>
    <border>
      <left>
        <color indexed="63"/>
      </left>
      <right style="hair"/>
      <top style="hair"/>
      <bottom>
        <color indexed="63"/>
      </bottom>
    </border>
    <border>
      <left style="medium"/>
      <right style="hair"/>
      <top style="hair"/>
      <bottom style="medium"/>
    </border>
    <border>
      <left style="hair"/>
      <right style="medium"/>
      <top style="medium"/>
      <bottom style="hair"/>
    </border>
    <border>
      <left style="medium"/>
      <right>
        <color indexed="63"/>
      </right>
      <top style="hair"/>
      <bottom style="thin">
        <color indexed="10"/>
      </bottom>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color indexed="63"/>
      </left>
      <right>
        <color indexed="63"/>
      </right>
      <top>
        <color indexed="63"/>
      </top>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hair"/>
      <bottom>
        <color indexed="63"/>
      </bottom>
    </border>
    <border>
      <left style="hair"/>
      <right style="medium"/>
      <top style="hair"/>
      <bottom>
        <color indexed="63"/>
      </bottom>
    </border>
    <border>
      <left>
        <color indexed="63"/>
      </left>
      <right>
        <color indexed="63"/>
      </right>
      <top>
        <color indexed="63"/>
      </top>
      <bottom style="thin">
        <color indexed="10"/>
      </bottom>
    </border>
    <border>
      <left style="medium"/>
      <right>
        <color indexed="63"/>
      </right>
      <top>
        <color indexed="63"/>
      </top>
      <bottom style="thin">
        <color indexed="10"/>
      </bottom>
    </border>
    <border>
      <left>
        <color indexed="63"/>
      </left>
      <right style="medium"/>
      <top>
        <color indexed="63"/>
      </top>
      <bottom style="thin">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medium"/>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650">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192" fontId="13"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192" fontId="13"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 fontId="38" fillId="0" borderId="17"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8" xfId="0" applyNumberFormat="1" applyFont="1" applyFill="1" applyBorder="1" applyAlignment="1" applyProtection="1">
      <alignment horizontal="center" wrapText="1"/>
      <protection/>
    </xf>
    <xf numFmtId="200" fontId="38" fillId="0" borderId="19" xfId="0" applyNumberFormat="1" applyFont="1" applyFill="1" applyBorder="1" applyAlignment="1" applyProtection="1">
      <alignment horizontal="center" wrapText="1"/>
      <protection/>
    </xf>
    <xf numFmtId="193" fontId="38" fillId="0" borderId="19" xfId="0" applyNumberFormat="1" applyFont="1" applyFill="1" applyBorder="1" applyAlignment="1" applyProtection="1">
      <alignment horizontal="center" wrapText="1"/>
      <protection/>
    </xf>
    <xf numFmtId="192" fontId="38" fillId="0" borderId="19"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0" fontId="38" fillId="0" borderId="18" xfId="0" applyFont="1" applyBorder="1" applyAlignment="1" applyProtection="1">
      <alignment vertical="center"/>
      <protection locked="0"/>
    </xf>
    <xf numFmtId="0" fontId="38" fillId="0" borderId="21" xfId="0" applyFont="1" applyBorder="1" applyAlignment="1" applyProtection="1">
      <alignment vertical="center"/>
      <protection locked="0"/>
    </xf>
    <xf numFmtId="1" fontId="25" fillId="0" borderId="22" xfId="0" applyNumberFormat="1" applyFont="1" applyFill="1" applyBorder="1" applyAlignment="1" applyProtection="1">
      <alignment horizontal="right" vertical="center"/>
      <protection/>
    </xf>
    <xf numFmtId="43" fontId="21" fillId="0" borderId="23" xfId="40" applyFont="1" applyFill="1" applyBorder="1" applyAlignment="1" applyProtection="1">
      <alignment vertical="center"/>
      <protection/>
    </xf>
    <xf numFmtId="184" fontId="3" fillId="0" borderId="23"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left" vertical="center"/>
      <protection/>
    </xf>
    <xf numFmtId="0" fontId="14" fillId="0" borderId="23" xfId="0" applyNumberFormat="1" applyFont="1" applyFill="1" applyBorder="1" applyAlignment="1" applyProtection="1">
      <alignment horizontal="right" vertical="center"/>
      <protection/>
    </xf>
    <xf numFmtId="200" fontId="16" fillId="0" borderId="23" xfId="0" applyNumberFormat="1" applyFont="1" applyFill="1" applyBorder="1" applyAlignment="1" applyProtection="1">
      <alignment horizontal="right" vertical="center"/>
      <protection/>
    </xf>
    <xf numFmtId="193" fontId="19" fillId="0" borderId="23" xfId="0" applyNumberFormat="1" applyFont="1" applyFill="1" applyBorder="1" applyAlignment="1" applyProtection="1">
      <alignment horizontal="right" vertical="center"/>
      <protection/>
    </xf>
    <xf numFmtId="193" fontId="25" fillId="0" borderId="23" xfId="0" applyNumberFormat="1" applyFont="1" applyFill="1" applyBorder="1" applyAlignment="1" applyProtection="1">
      <alignment horizontal="right" vertical="center"/>
      <protection/>
    </xf>
    <xf numFmtId="192" fontId="26" fillId="0" borderId="23" xfId="0" applyNumberFormat="1" applyFont="1" applyFill="1" applyBorder="1" applyAlignment="1" applyProtection="1">
      <alignment horizontal="right" vertical="center"/>
      <protection/>
    </xf>
    <xf numFmtId="200" fontId="26" fillId="0" borderId="23" xfId="0" applyNumberFormat="1" applyFont="1" applyFill="1" applyBorder="1" applyAlignment="1" applyProtection="1">
      <alignment horizontal="right" vertical="center"/>
      <protection/>
    </xf>
    <xf numFmtId="193" fontId="26" fillId="0" borderId="23" xfId="0" applyNumberFormat="1" applyFont="1" applyFill="1" applyBorder="1" applyAlignment="1" applyProtection="1">
      <alignment horizontal="right" vertical="center"/>
      <protection/>
    </xf>
    <xf numFmtId="192" fontId="26" fillId="0" borderId="24"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1" xfId="0"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5"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6" xfId="0" applyNumberFormat="1" applyFont="1" applyFill="1" applyBorder="1" applyAlignment="1" applyProtection="1">
      <alignment horizontal="center" wrapText="1"/>
      <protection/>
    </xf>
    <xf numFmtId="1" fontId="39" fillId="0" borderId="27"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28"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29" xfId="0" applyFont="1" applyFill="1" applyBorder="1" applyAlignment="1" applyProtection="1">
      <alignment horizontal="center" vertical="center"/>
      <protection/>
    </xf>
    <xf numFmtId="0" fontId="44" fillId="0" borderId="29" xfId="0" applyFont="1" applyBorder="1" applyAlignment="1">
      <alignment horizontal="left" vertical="center"/>
    </xf>
    <xf numFmtId="0" fontId="45" fillId="0" borderId="29"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28" xfId="0" applyFont="1" applyBorder="1" applyAlignment="1">
      <alignment vertical="center"/>
    </xf>
    <xf numFmtId="0" fontId="33" fillId="0" borderId="28" xfId="0" applyFont="1" applyFill="1" applyBorder="1" applyAlignment="1" applyProtection="1">
      <alignment vertical="center"/>
      <protection locked="0"/>
    </xf>
    <xf numFmtId="0" fontId="38" fillId="0" borderId="11" xfId="0" applyFont="1" applyFill="1" applyBorder="1" applyAlignment="1" applyProtection="1">
      <alignment horizontal="center" wrapText="1"/>
      <protection locked="0"/>
    </xf>
    <xf numFmtId="0" fontId="46" fillId="0" borderId="28" xfId="0" applyFont="1" applyFill="1" applyBorder="1" applyAlignment="1">
      <alignment horizontal="left" vertical="center"/>
    </xf>
    <xf numFmtId="0" fontId="46" fillId="0" borderId="28" xfId="0" applyFont="1" applyFill="1" applyBorder="1" applyAlignment="1">
      <alignmen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3"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0" xfId="0" applyNumberFormat="1" applyFont="1" applyFill="1" applyBorder="1" applyAlignment="1">
      <alignment horizontal="center"/>
    </xf>
    <xf numFmtId="3" fontId="39" fillId="0" borderId="29"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3" fontId="50" fillId="0" borderId="11" xfId="40" applyNumberFormat="1" applyFont="1" applyFill="1" applyBorder="1" applyAlignment="1" applyProtection="1">
      <alignment horizontal="right" vertical="center"/>
      <protection locked="0"/>
    </xf>
    <xf numFmtId="3" fontId="50" fillId="0" borderId="11" xfId="68" applyNumberFormat="1" applyFont="1" applyFill="1" applyBorder="1" applyAlignment="1" applyProtection="1">
      <alignment horizontal="right" vertical="center"/>
      <protection/>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184" fontId="50" fillId="0" borderId="11" xfId="55" applyNumberFormat="1" applyFont="1" applyFill="1" applyBorder="1" applyAlignment="1">
      <alignment horizontal="center" vertical="center"/>
      <protection/>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0" fillId="0" borderId="11" xfId="43" applyNumberFormat="1" applyFont="1" applyFill="1" applyBorder="1" applyAlignment="1" applyProtection="1">
      <alignment vertical="center"/>
      <protection locked="0"/>
    </xf>
    <xf numFmtId="2" fontId="50" fillId="0" borderId="31" xfId="43" applyNumberFormat="1" applyFont="1" applyFill="1" applyBorder="1" applyAlignment="1" applyProtection="1">
      <alignment vertical="center"/>
      <protection/>
    </xf>
    <xf numFmtId="4" fontId="52"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8"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2" xfId="0" applyFont="1" applyFill="1" applyBorder="1" applyAlignment="1">
      <alignment horizontal="left" vertical="center"/>
    </xf>
    <xf numFmtId="2" fontId="50" fillId="0" borderId="31" xfId="0" applyNumberFormat="1" applyFont="1" applyFill="1" applyBorder="1" applyAlignment="1">
      <alignment horizontal="right" vertical="center"/>
    </xf>
    <xf numFmtId="0" fontId="50" fillId="0" borderId="32" xfId="0" applyFont="1" applyFill="1" applyBorder="1" applyAlignment="1" applyProtection="1">
      <alignment horizontal="left" vertical="center"/>
      <protection locked="0"/>
    </xf>
    <xf numFmtId="2" fontId="50" fillId="0" borderId="31" xfId="42" applyNumberFormat="1" applyFont="1" applyFill="1" applyBorder="1" applyAlignment="1" applyProtection="1">
      <alignment horizontal="right" vertical="center"/>
      <protection/>
    </xf>
    <xf numFmtId="0" fontId="50" fillId="0" borderId="32" xfId="0" applyFont="1" applyFill="1" applyBorder="1" applyAlignment="1">
      <alignment horizontal="left" vertical="center"/>
    </xf>
    <xf numFmtId="2" fontId="50" fillId="0" borderId="31" xfId="43" applyNumberFormat="1" applyFont="1" applyFill="1" applyBorder="1" applyAlignment="1" applyProtection="1">
      <alignment horizontal="right" vertical="center"/>
      <protection/>
    </xf>
    <xf numFmtId="0" fontId="50" fillId="0" borderId="32" xfId="0" applyNumberFormat="1" applyFont="1" applyFill="1" applyBorder="1" applyAlignment="1" applyProtection="1">
      <alignment horizontal="left" vertical="center"/>
      <protection locked="0"/>
    </xf>
    <xf numFmtId="2" fontId="50" fillId="0" borderId="31" xfId="68" applyNumberFormat="1" applyFont="1" applyFill="1" applyBorder="1" applyAlignment="1" applyProtection="1">
      <alignment horizontal="right" vertical="center"/>
      <protection/>
    </xf>
    <xf numFmtId="212" fontId="50" fillId="0" borderId="32" xfId="0" applyNumberFormat="1" applyFont="1" applyFill="1" applyBorder="1" applyAlignment="1">
      <alignment horizontal="left" vertical="center"/>
    </xf>
    <xf numFmtId="2" fontId="50" fillId="0" borderId="31" xfId="0" applyNumberFormat="1" applyFont="1" applyFill="1" applyBorder="1" applyAlignment="1">
      <alignment horizontal="right" vertical="center"/>
    </xf>
    <xf numFmtId="2" fontId="50" fillId="0" borderId="31" xfId="44" applyNumberFormat="1" applyFont="1" applyFill="1" applyBorder="1" applyAlignment="1" applyProtection="1">
      <alignment horizontal="righ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11" xfId="0" applyFont="1" applyFill="1" applyBorder="1" applyAlignment="1" applyProtection="1">
      <alignment horizontal="left" vertical="center"/>
      <protection locked="0"/>
    </xf>
    <xf numFmtId="4" fontId="38" fillId="0" borderId="33" xfId="0" applyNumberFormat="1" applyFont="1" applyFill="1" applyBorder="1" applyAlignment="1" applyProtection="1">
      <alignment horizontal="center" wrapText="1"/>
      <protection/>
    </xf>
    <xf numFmtId="3" fontId="38" fillId="0" borderId="33" xfId="0" applyNumberFormat="1" applyFont="1" applyFill="1" applyBorder="1" applyAlignment="1" applyProtection="1">
      <alignment horizontal="center" wrapText="1"/>
      <protection/>
    </xf>
    <xf numFmtId="2" fontId="38" fillId="0" borderId="33" xfId="0" applyNumberFormat="1" applyFont="1" applyFill="1" applyBorder="1" applyAlignment="1" applyProtection="1">
      <alignment horizontal="center" wrapText="1"/>
      <protection/>
    </xf>
    <xf numFmtId="2" fontId="38" fillId="0" borderId="34" xfId="0" applyNumberFormat="1" applyFont="1" applyFill="1" applyBorder="1" applyAlignment="1" applyProtection="1">
      <alignment horizontal="center" wrapText="1"/>
      <protection/>
    </xf>
    <xf numFmtId="0" fontId="37" fillId="0" borderId="15" xfId="0" applyFont="1" applyFill="1" applyBorder="1" applyAlignment="1" applyProtection="1">
      <alignment horizontal="right" vertical="center"/>
      <protection/>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0" fontId="50" fillId="0" borderId="11" xfId="0" applyNumberFormat="1" applyFont="1" applyFill="1" applyBorder="1" applyAlignment="1">
      <alignment horizontal="right" vertical="center"/>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0" fontId="50" fillId="0" borderId="32" xfId="0" applyFont="1" applyFill="1" applyBorder="1" applyAlignment="1">
      <alignment horizontal="left"/>
    </xf>
    <xf numFmtId="2" fontId="50" fillId="0" borderId="31" xfId="0" applyNumberFormat="1" applyFont="1" applyFill="1" applyBorder="1" applyAlignment="1">
      <alignment horizontal="right"/>
    </xf>
    <xf numFmtId="0" fontId="50" fillId="0" borderId="32" xfId="0" applyNumberFormat="1" applyFont="1" applyFill="1" applyBorder="1" applyAlignment="1">
      <alignment horizontal="left"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right" vertical="center"/>
      <protection locked="0"/>
    </xf>
    <xf numFmtId="0" fontId="50" fillId="0" borderId="11" xfId="0"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xf>
    <xf numFmtId="0" fontId="50" fillId="0" borderId="11" xfId="55"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0" fillId="0" borderId="11" xfId="0" applyNumberFormat="1" applyFont="1" applyFill="1" applyBorder="1" applyAlignment="1" applyProtection="1">
      <alignment horizontal="right" vertical="center"/>
      <protection/>
    </xf>
    <xf numFmtId="2" fontId="50" fillId="0" borderId="11" xfId="0" applyNumberFormat="1" applyFont="1" applyFill="1" applyBorder="1" applyAlignment="1" applyProtection="1">
      <alignment horizontal="right" vertical="center"/>
      <protection/>
    </xf>
    <xf numFmtId="4" fontId="50" fillId="0" borderId="11" xfId="0" applyNumberFormat="1" applyFont="1" applyFill="1" applyBorder="1" applyAlignment="1">
      <alignment vertical="center"/>
    </xf>
    <xf numFmtId="2" fontId="50" fillId="0" borderId="31" xfId="0" applyNumberFormat="1" applyFont="1" applyFill="1" applyBorder="1" applyAlignment="1">
      <alignment vertical="center"/>
    </xf>
    <xf numFmtId="3" fontId="50" fillId="0" borderId="11" xfId="40" applyNumberFormat="1" applyFont="1" applyFill="1" applyBorder="1" applyAlignment="1" applyProtection="1">
      <alignment horizontal="right" vertical="center"/>
      <protection/>
    </xf>
    <xf numFmtId="0" fontId="50" fillId="0" borderId="32" xfId="0" applyFont="1" applyFill="1" applyBorder="1" applyAlignment="1" applyProtection="1">
      <alignment horizontal="left" vertical="center" shrinkToFit="1"/>
      <protection locked="0"/>
    </xf>
    <xf numFmtId="184" fontId="50" fillId="0" borderId="11" xfId="0" applyNumberFormat="1" applyFont="1" applyFill="1" applyBorder="1" applyAlignment="1">
      <alignment horizontal="left" vertical="center"/>
    </xf>
    <xf numFmtId="0" fontId="50" fillId="0" borderId="11" xfId="55" applyNumberFormat="1" applyFont="1" applyFill="1" applyBorder="1" applyAlignment="1">
      <alignment horizontal="left" vertical="center"/>
      <protection/>
    </xf>
    <xf numFmtId="184" fontId="50" fillId="0" borderId="11" xfId="0" applyNumberFormat="1" applyFont="1" applyFill="1" applyBorder="1" applyAlignment="1">
      <alignment horizontal="left" vertical="center"/>
    </xf>
    <xf numFmtId="2" fontId="50" fillId="0" borderId="11" xfId="40" applyNumberFormat="1" applyFont="1" applyFill="1" applyBorder="1" applyAlignment="1" applyProtection="1">
      <alignment horizontal="right" vertical="center"/>
      <protection/>
    </xf>
    <xf numFmtId="0" fontId="31"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9" fillId="0" borderId="11" xfId="0" applyFont="1" applyFill="1" applyBorder="1" applyAlignment="1" applyProtection="1">
      <alignment horizontal="right" wrapText="1"/>
      <protection locked="0"/>
    </xf>
    <xf numFmtId="0" fontId="39" fillId="0" borderId="35" xfId="0" applyFont="1" applyFill="1" applyBorder="1" applyAlignment="1" applyProtection="1">
      <alignment horizontal="right" wrapText="1"/>
      <protection locked="0"/>
    </xf>
    <xf numFmtId="0" fontId="9" fillId="0" borderId="0" xfId="0" applyFont="1" applyFill="1" applyAlignment="1">
      <alignment horizontal="right"/>
    </xf>
    <xf numFmtId="3" fontId="50" fillId="0" borderId="11" xfId="0" applyNumberFormat="1" applyFont="1" applyFill="1" applyBorder="1" applyAlignment="1">
      <alignment vertical="center"/>
    </xf>
    <xf numFmtId="3" fontId="50" fillId="0" borderId="11" xfId="43" applyNumberFormat="1" applyFont="1" applyFill="1" applyBorder="1" applyAlignment="1" applyProtection="1">
      <alignment vertical="center"/>
      <protection locked="0"/>
    </xf>
    <xf numFmtId="49" fontId="50" fillId="0" borderId="11" xfId="0" applyNumberFormat="1" applyFont="1" applyFill="1" applyBorder="1" applyAlignment="1" applyProtection="1">
      <alignment horizontal="right" vertical="center"/>
      <protection locked="0"/>
    </xf>
    <xf numFmtId="2" fontId="50" fillId="0" borderId="31" xfId="0" applyNumberFormat="1" applyFont="1" applyFill="1" applyBorder="1" applyAlignment="1" applyProtection="1">
      <alignment horizontal="right" vertical="center"/>
      <protection/>
    </xf>
    <xf numFmtId="49" fontId="50" fillId="0" borderId="32" xfId="0" applyNumberFormat="1" applyFont="1" applyFill="1" applyBorder="1" applyAlignment="1" applyProtection="1">
      <alignment horizontal="left" vertical="center"/>
      <protection locked="0"/>
    </xf>
    <xf numFmtId="184" fontId="50" fillId="0" borderId="36" xfId="0" applyNumberFormat="1" applyFont="1" applyFill="1" applyBorder="1" applyAlignment="1">
      <alignment horizontal="center" vertical="center"/>
    </xf>
    <xf numFmtId="0" fontId="50" fillId="0" borderId="36" xfId="0" applyFont="1" applyFill="1" applyBorder="1" applyAlignment="1">
      <alignment horizontal="left" vertical="center"/>
    </xf>
    <xf numFmtId="0" fontId="50" fillId="0" borderId="36" xfId="0" applyFont="1" applyFill="1" applyBorder="1" applyAlignment="1">
      <alignment horizontal="right" vertical="center"/>
    </xf>
    <xf numFmtId="0" fontId="50" fillId="0" borderId="37" xfId="0" applyFont="1" applyFill="1" applyBorder="1" applyAlignment="1">
      <alignment horizontal="left" vertical="center"/>
    </xf>
    <xf numFmtId="184" fontId="50" fillId="0" borderId="10" xfId="0" applyNumberFormat="1" applyFont="1" applyFill="1" applyBorder="1" applyAlignment="1">
      <alignment horizontal="center" vertical="center"/>
    </xf>
    <xf numFmtId="0" fontId="50" fillId="0" borderId="10" xfId="0" applyFont="1" applyFill="1" applyBorder="1" applyAlignment="1">
      <alignment horizontal="left" vertical="center"/>
    </xf>
    <xf numFmtId="0" fontId="50" fillId="0" borderId="10" xfId="0" applyFont="1" applyFill="1" applyBorder="1" applyAlignment="1">
      <alignment horizontal="right" vertical="center"/>
    </xf>
    <xf numFmtId="2" fontId="50" fillId="0" borderId="38" xfId="43" applyNumberFormat="1" applyFont="1" applyFill="1" applyBorder="1" applyAlignment="1" applyProtection="1">
      <alignment horizontal="right" vertical="center"/>
      <protection/>
    </xf>
    <xf numFmtId="4" fontId="50" fillId="0" borderId="36" xfId="43" applyNumberFormat="1" applyFont="1" applyFill="1" applyBorder="1" applyAlignment="1" applyProtection="1">
      <alignment horizontal="right" vertical="center"/>
      <protection locked="0"/>
    </xf>
    <xf numFmtId="3" fontId="50" fillId="0" borderId="36" xfId="43" applyNumberFormat="1" applyFont="1" applyFill="1" applyBorder="1" applyAlignment="1" applyProtection="1">
      <alignment horizontal="right" vertical="center"/>
      <protection locked="0"/>
    </xf>
    <xf numFmtId="2" fontId="50" fillId="0" borderId="39" xfId="43" applyNumberFormat="1" applyFont="1" applyFill="1" applyBorder="1" applyAlignment="1" applyProtection="1">
      <alignment horizontal="right" vertical="center"/>
      <protection/>
    </xf>
    <xf numFmtId="0" fontId="39" fillId="0" borderId="29" xfId="0" applyFont="1" applyFill="1" applyBorder="1" applyAlignment="1" applyProtection="1">
      <alignment wrapText="1"/>
      <protection locked="0"/>
    </xf>
    <xf numFmtId="0" fontId="39" fillId="0" borderId="40" xfId="0" applyFont="1" applyFill="1" applyBorder="1" applyAlignment="1" applyProtection="1">
      <alignment wrapText="1"/>
      <protection locked="0"/>
    </xf>
    <xf numFmtId="0" fontId="28" fillId="0" borderId="28" xfId="0" applyFont="1" applyFill="1" applyBorder="1" applyAlignment="1">
      <alignment/>
    </xf>
    <xf numFmtId="4" fontId="50" fillId="0" borderId="10" xfId="0" applyNumberFormat="1" applyFont="1" applyFill="1" applyBorder="1" applyAlignment="1">
      <alignment horizontal="right" vertical="center"/>
    </xf>
    <xf numFmtId="3" fontId="50" fillId="0" borderId="10" xfId="0" applyNumberFormat="1" applyFont="1" applyFill="1" applyBorder="1" applyAlignment="1">
      <alignment horizontal="right" vertical="center"/>
    </xf>
    <xf numFmtId="212" fontId="50" fillId="0" borderId="41" xfId="0" applyNumberFormat="1" applyFont="1" applyFill="1" applyBorder="1" applyAlignment="1">
      <alignment horizontal="left" vertical="center"/>
    </xf>
    <xf numFmtId="0" fontId="50" fillId="0" borderId="16" xfId="0" applyFont="1" applyFill="1" applyBorder="1" applyAlignment="1" applyProtection="1">
      <alignment horizontal="left" vertical="center"/>
      <protection locked="0"/>
    </xf>
    <xf numFmtId="184" fontId="50" fillId="0" borderId="12" xfId="0" applyNumberFormat="1" applyFont="1" applyFill="1" applyBorder="1" applyAlignment="1" applyProtection="1">
      <alignment horizontal="center" vertical="center"/>
      <protection locked="0"/>
    </xf>
    <xf numFmtId="0" fontId="50" fillId="0" borderId="12" xfId="0" applyFont="1" applyFill="1" applyBorder="1" applyAlignment="1" applyProtection="1">
      <alignment horizontal="left" vertical="center"/>
      <protection locked="0"/>
    </xf>
    <xf numFmtId="0" fontId="50" fillId="0" borderId="12" xfId="0" applyFont="1" applyFill="1" applyBorder="1" applyAlignment="1" applyProtection="1">
      <alignment horizontal="right" vertical="center"/>
      <protection locked="0"/>
    </xf>
    <xf numFmtId="4" fontId="52" fillId="0" borderId="12" xfId="42" applyNumberFormat="1" applyFont="1" applyFill="1" applyBorder="1" applyAlignment="1" applyProtection="1">
      <alignment horizontal="right" vertical="center"/>
      <protection locked="0"/>
    </xf>
    <xf numFmtId="3" fontId="52" fillId="0" borderId="12" xfId="42" applyNumberFormat="1" applyFont="1" applyFill="1" applyBorder="1" applyAlignment="1" applyProtection="1">
      <alignment horizontal="right" vertical="center"/>
      <protection locked="0"/>
    </xf>
    <xf numFmtId="3" fontId="50" fillId="0" borderId="12" xfId="42" applyNumberFormat="1" applyFont="1" applyFill="1" applyBorder="1" applyAlignment="1" applyProtection="1">
      <alignment horizontal="right" vertical="center"/>
      <protection/>
    </xf>
    <xf numFmtId="2" fontId="50" fillId="0" borderId="12" xfId="42" applyNumberFormat="1" applyFont="1" applyFill="1" applyBorder="1" applyAlignment="1" applyProtection="1">
      <alignment horizontal="right" vertical="center"/>
      <protection/>
    </xf>
    <xf numFmtId="4" fontId="50" fillId="0" borderId="12" xfId="42" applyNumberFormat="1" applyFont="1" applyFill="1" applyBorder="1" applyAlignment="1" applyProtection="1">
      <alignment horizontal="right" vertical="center"/>
      <protection locked="0"/>
    </xf>
    <xf numFmtId="3" fontId="50" fillId="0" borderId="12" xfId="42" applyNumberFormat="1" applyFont="1" applyFill="1" applyBorder="1" applyAlignment="1" applyProtection="1">
      <alignment horizontal="right" vertical="center"/>
      <protection locked="0"/>
    </xf>
    <xf numFmtId="2" fontId="50" fillId="0" borderId="42" xfId="42" applyNumberFormat="1" applyFont="1" applyFill="1" applyBorder="1" applyAlignment="1" applyProtection="1">
      <alignment horizontal="right" vertical="center"/>
      <protection/>
    </xf>
    <xf numFmtId="0" fontId="8" fillId="0" borderId="29" xfId="0" applyFont="1" applyFill="1" applyBorder="1" applyAlignment="1" applyProtection="1">
      <alignment horizontal="right" vertical="center"/>
      <protection locked="0"/>
    </xf>
    <xf numFmtId="184" fontId="50" fillId="34" borderId="11" xfId="0" applyNumberFormat="1" applyFont="1" applyFill="1" applyBorder="1" applyAlignment="1">
      <alignment horizontal="center" wrapText="1"/>
    </xf>
    <xf numFmtId="14" fontId="50" fillId="34" borderId="11" xfId="0" applyNumberFormat="1" applyFont="1" applyFill="1" applyBorder="1" applyAlignment="1">
      <alignment horizontal="left"/>
    </xf>
    <xf numFmtId="0" fontId="50" fillId="34" borderId="11" xfId="0" applyFont="1" applyFill="1" applyBorder="1" applyAlignment="1">
      <alignment horizontal="right"/>
    </xf>
    <xf numFmtId="4" fontId="52" fillId="34" borderId="11" xfId="0" applyNumberFormat="1" applyFont="1" applyFill="1" applyBorder="1" applyAlignment="1">
      <alignment horizontal="right"/>
    </xf>
    <xf numFmtId="3" fontId="52" fillId="34" borderId="11" xfId="0" applyNumberFormat="1" applyFont="1" applyFill="1" applyBorder="1" applyAlignment="1">
      <alignment horizontal="right"/>
    </xf>
    <xf numFmtId="3" fontId="50" fillId="34" borderId="11" xfId="0" applyNumberFormat="1" applyFont="1" applyFill="1" applyBorder="1" applyAlignment="1">
      <alignment horizontal="right"/>
    </xf>
    <xf numFmtId="2" fontId="50" fillId="34" borderId="11" xfId="0" applyNumberFormat="1" applyFont="1" applyFill="1" applyBorder="1" applyAlignment="1">
      <alignment horizontal="right"/>
    </xf>
    <xf numFmtId="4" fontId="50" fillId="34" borderId="11" xfId="0" applyNumberFormat="1" applyFont="1" applyFill="1" applyBorder="1" applyAlignment="1">
      <alignment horizontal="right"/>
    </xf>
    <xf numFmtId="3" fontId="50" fillId="34" borderId="11" xfId="0" applyNumberFormat="1" applyFont="1" applyFill="1" applyBorder="1" applyAlignment="1">
      <alignment horizontal="right"/>
    </xf>
    <xf numFmtId="0" fontId="50" fillId="0" borderId="11" xfId="0" applyFont="1" applyBorder="1" applyAlignment="1" applyProtection="1">
      <alignment horizontal="left" vertical="center"/>
      <protection locked="0"/>
    </xf>
    <xf numFmtId="0" fontId="50" fillId="0" borderId="11" xfId="0" applyFont="1" applyBorder="1" applyAlignment="1" applyProtection="1">
      <alignment horizontal="right" vertical="center"/>
      <protection locked="0"/>
    </xf>
    <xf numFmtId="3" fontId="50" fillId="0" borderId="11" xfId="68" applyNumberFormat="1" applyFont="1" applyBorder="1" applyAlignment="1" applyProtection="1">
      <alignment horizontal="right" vertical="center"/>
      <protection/>
    </xf>
    <xf numFmtId="2" fontId="50" fillId="0" borderId="11" xfId="68" applyNumberFormat="1" applyFont="1" applyBorder="1" applyAlignment="1" applyProtection="1">
      <alignment horizontal="right" vertical="center"/>
      <protection/>
    </xf>
    <xf numFmtId="184" fontId="50" fillId="0" borderId="11" xfId="0" applyNumberFormat="1" applyFont="1" applyBorder="1" applyAlignment="1" applyProtection="1">
      <alignment horizontal="center" vertical="center"/>
      <protection locked="0"/>
    </xf>
    <xf numFmtId="3" fontId="50" fillId="34" borderId="11" xfId="0" applyNumberFormat="1" applyFont="1" applyFill="1" applyBorder="1" applyAlignment="1">
      <alignment horizontal="right"/>
    </xf>
    <xf numFmtId="0" fontId="50" fillId="34" borderId="32" xfId="0" applyFont="1" applyFill="1" applyBorder="1" applyAlignment="1">
      <alignment horizontal="left"/>
    </xf>
    <xf numFmtId="2" fontId="50" fillId="34" borderId="31" xfId="0" applyNumberFormat="1" applyFont="1" applyFill="1" applyBorder="1" applyAlignment="1">
      <alignment horizontal="right"/>
    </xf>
    <xf numFmtId="2" fontId="50" fillId="0" borderId="31" xfId="68" applyNumberFormat="1" applyFont="1" applyBorder="1" applyAlignment="1" applyProtection="1">
      <alignment horizontal="right" vertical="center"/>
      <protection/>
    </xf>
    <xf numFmtId="0" fontId="50" fillId="34" borderId="32" xfId="0" applyFont="1" applyFill="1" applyBorder="1" applyAlignment="1">
      <alignment horizontal="left"/>
    </xf>
    <xf numFmtId="0" fontId="50" fillId="0" borderId="41" xfId="0" applyFont="1" applyFill="1" applyBorder="1" applyAlignment="1" applyProtection="1">
      <alignment horizontal="left" vertical="center" shrinkToFit="1"/>
      <protection locked="0"/>
    </xf>
    <xf numFmtId="184" fontId="50" fillId="0" borderId="36" xfId="0" applyNumberFormat="1" applyFont="1" applyBorder="1" applyAlignment="1" applyProtection="1">
      <alignment horizontal="center" vertical="center"/>
      <protection locked="0"/>
    </xf>
    <xf numFmtId="0" fontId="50" fillId="0" borderId="36" xfId="0" applyFont="1" applyBorder="1" applyAlignment="1" applyProtection="1">
      <alignment horizontal="left" vertical="center"/>
      <protection locked="0"/>
    </xf>
    <xf numFmtId="0" fontId="50" fillId="0" borderId="36" xfId="0" applyFont="1" applyBorder="1" applyAlignment="1" applyProtection="1">
      <alignment horizontal="right" vertical="center"/>
      <protection locked="0"/>
    </xf>
    <xf numFmtId="4" fontId="52" fillId="0" borderId="36" xfId="40" applyNumberFormat="1" applyFont="1" applyFill="1" applyBorder="1" applyAlignment="1" applyProtection="1">
      <alignment horizontal="right" vertical="center"/>
      <protection/>
    </xf>
    <xf numFmtId="3" fontId="52" fillId="0" borderId="36" xfId="40" applyNumberFormat="1" applyFont="1" applyFill="1" applyBorder="1" applyAlignment="1" applyProtection="1">
      <alignment horizontal="right" vertical="center"/>
      <protection/>
    </xf>
    <xf numFmtId="3" fontId="50" fillId="0" borderId="36" xfId="68" applyNumberFormat="1" applyFont="1" applyBorder="1" applyAlignment="1" applyProtection="1">
      <alignment horizontal="right" vertical="center"/>
      <protection/>
    </xf>
    <xf numFmtId="2" fontId="50" fillId="0" borderId="36" xfId="68" applyNumberFormat="1" applyFont="1" applyBorder="1" applyAlignment="1" applyProtection="1">
      <alignment horizontal="right" vertical="center"/>
      <protection/>
    </xf>
    <xf numFmtId="4" fontId="50" fillId="0" borderId="36" xfId="40" applyNumberFormat="1" applyFont="1" applyFill="1" applyBorder="1" applyAlignment="1" applyProtection="1">
      <alignment horizontal="right" vertical="center"/>
      <protection/>
    </xf>
    <xf numFmtId="3" fontId="50" fillId="0" borderId="36" xfId="0" applyNumberFormat="1" applyFont="1" applyFill="1" applyBorder="1" applyAlignment="1">
      <alignment horizontal="right" vertical="center"/>
    </xf>
    <xf numFmtId="2" fontId="50" fillId="0" borderId="39" xfId="68" applyNumberFormat="1" applyFont="1" applyBorder="1" applyAlignment="1" applyProtection="1">
      <alignment horizontal="right" vertical="center"/>
      <protection/>
    </xf>
    <xf numFmtId="0" fontId="50" fillId="0" borderId="37" xfId="0" applyFont="1" applyFill="1" applyBorder="1" applyAlignment="1" applyProtection="1">
      <alignment horizontal="left" vertical="center" shrinkToFit="1"/>
      <protection locked="0"/>
    </xf>
    <xf numFmtId="184" fontId="50" fillId="0" borderId="10" xfId="0" applyNumberFormat="1" applyFont="1" applyFill="1" applyBorder="1" applyAlignment="1" applyProtection="1">
      <alignment horizontal="center" vertical="center"/>
      <protection locked="0"/>
    </xf>
    <xf numFmtId="0" fontId="50" fillId="0" borderId="10" xfId="0" applyFont="1" applyBorder="1" applyAlignment="1" applyProtection="1">
      <alignment horizontal="left" vertical="center"/>
      <protection locked="0"/>
    </xf>
    <xf numFmtId="0" fontId="50" fillId="0" borderId="10" xfId="0" applyFont="1" applyBorder="1" applyAlignment="1" applyProtection="1">
      <alignment horizontal="right" vertical="center"/>
      <protection locked="0"/>
    </xf>
    <xf numFmtId="4" fontId="52" fillId="0" borderId="10" xfId="40" applyNumberFormat="1" applyFont="1" applyFill="1" applyBorder="1" applyAlignment="1" applyProtection="1">
      <alignment horizontal="right" vertical="center"/>
      <protection/>
    </xf>
    <xf numFmtId="3" fontId="52" fillId="0" borderId="10" xfId="40" applyNumberFormat="1" applyFont="1" applyFill="1" applyBorder="1" applyAlignment="1" applyProtection="1">
      <alignment horizontal="right" vertical="center"/>
      <protection/>
    </xf>
    <xf numFmtId="3" fontId="50" fillId="0" borderId="10" xfId="68" applyNumberFormat="1" applyFont="1" applyBorder="1" applyAlignment="1" applyProtection="1">
      <alignment horizontal="right" vertical="center"/>
      <protection/>
    </xf>
    <xf numFmtId="2" fontId="50" fillId="0" borderId="10" xfId="68" applyNumberFormat="1" applyFont="1" applyBorder="1" applyAlignment="1" applyProtection="1">
      <alignment horizontal="right" vertical="center"/>
      <protection/>
    </xf>
    <xf numFmtId="4" fontId="50" fillId="0" borderId="10" xfId="40" applyNumberFormat="1" applyFont="1" applyFill="1" applyBorder="1" applyAlignment="1" applyProtection="1">
      <alignment horizontal="right" vertical="center"/>
      <protection/>
    </xf>
    <xf numFmtId="2" fontId="50" fillId="0" borderId="38" xfId="68" applyNumberFormat="1" applyFont="1" applyBorder="1" applyAlignment="1" applyProtection="1">
      <alignment horizontal="right" vertical="center"/>
      <protection/>
    </xf>
    <xf numFmtId="0" fontId="38" fillId="0" borderId="43" xfId="0" applyFont="1" applyFill="1" applyBorder="1" applyAlignment="1" applyProtection="1">
      <alignment vertical="center"/>
      <protection locked="0"/>
    </xf>
    <xf numFmtId="0" fontId="50" fillId="34" borderId="44" xfId="0" applyFont="1" applyFill="1" applyBorder="1" applyAlignment="1">
      <alignment horizontal="left"/>
    </xf>
    <xf numFmtId="184" fontId="50" fillId="34" borderId="45" xfId="0" applyNumberFormat="1" applyFont="1" applyFill="1" applyBorder="1" applyAlignment="1">
      <alignment horizontal="center" wrapText="1"/>
    </xf>
    <xf numFmtId="14" fontId="50" fillId="34" borderId="45" xfId="0" applyNumberFormat="1" applyFont="1" applyFill="1" applyBorder="1" applyAlignment="1">
      <alignment horizontal="left"/>
    </xf>
    <xf numFmtId="0" fontId="50" fillId="34" borderId="45" xfId="0" applyFont="1" applyFill="1" applyBorder="1" applyAlignment="1">
      <alignment horizontal="right"/>
    </xf>
    <xf numFmtId="4" fontId="52" fillId="34" borderId="45" xfId="0" applyNumberFormat="1" applyFont="1" applyFill="1" applyBorder="1" applyAlignment="1">
      <alignment horizontal="right"/>
    </xf>
    <xf numFmtId="3" fontId="52" fillId="34" borderId="45" xfId="0" applyNumberFormat="1" applyFont="1" applyFill="1" applyBorder="1" applyAlignment="1">
      <alignment horizontal="right"/>
    </xf>
    <xf numFmtId="3" fontId="50" fillId="34" borderId="45" xfId="0" applyNumberFormat="1" applyFont="1" applyFill="1" applyBorder="1" applyAlignment="1">
      <alignment horizontal="right"/>
    </xf>
    <xf numFmtId="2" fontId="50" fillId="34" borderId="45" xfId="0" applyNumberFormat="1" applyFont="1" applyFill="1" applyBorder="1" applyAlignment="1">
      <alignment horizontal="right"/>
    </xf>
    <xf numFmtId="4" fontId="50" fillId="34" borderId="45" xfId="0" applyNumberFormat="1" applyFont="1" applyFill="1" applyBorder="1" applyAlignment="1">
      <alignment horizontal="right"/>
    </xf>
    <xf numFmtId="3" fontId="50" fillId="34" borderId="45" xfId="0" applyNumberFormat="1" applyFont="1" applyFill="1" applyBorder="1" applyAlignment="1">
      <alignment horizontal="right"/>
    </xf>
    <xf numFmtId="2" fontId="50" fillId="34" borderId="46" xfId="0" applyNumberFormat="1" applyFont="1" applyFill="1" applyBorder="1" applyAlignment="1">
      <alignment horizontal="right"/>
    </xf>
    <xf numFmtId="0" fontId="35" fillId="0" borderId="29" xfId="0" applyFont="1" applyFill="1" applyBorder="1" applyAlignment="1" applyProtection="1">
      <alignment horizontal="right" vertical="center" wrapText="1"/>
      <protection locked="0"/>
    </xf>
    <xf numFmtId="0" fontId="9" fillId="0" borderId="29" xfId="0" applyFont="1" applyFill="1" applyBorder="1" applyAlignment="1">
      <alignment horizontal="right"/>
    </xf>
    <xf numFmtId="0" fontId="28" fillId="0" borderId="47" xfId="0" applyFont="1" applyFill="1" applyBorder="1" applyAlignment="1">
      <alignment/>
    </xf>
    <xf numFmtId="0" fontId="50" fillId="0" borderId="0" xfId="0" applyNumberFormat="1" applyFont="1" applyFill="1" applyBorder="1" applyAlignment="1">
      <alignment horizontal="left" vertical="center"/>
    </xf>
    <xf numFmtId="184" fontId="50" fillId="0" borderId="0" xfId="0" applyNumberFormat="1" applyFont="1" applyFill="1" applyBorder="1" applyAlignment="1">
      <alignment horizontal="left" vertical="center"/>
    </xf>
    <xf numFmtId="0" fontId="50" fillId="0" borderId="0" xfId="0" applyNumberFormat="1" applyFont="1" applyFill="1" applyBorder="1" applyAlignment="1">
      <alignment horizontal="right" vertical="center"/>
    </xf>
    <xf numFmtId="4" fontId="52" fillId="0" borderId="0" xfId="43" applyNumberFormat="1" applyFont="1" applyFill="1" applyBorder="1" applyAlignment="1" applyProtection="1">
      <alignment horizontal="right" vertical="center"/>
      <protection locked="0"/>
    </xf>
    <xf numFmtId="3" fontId="52" fillId="0" borderId="0" xfId="43" applyNumberFormat="1" applyFont="1" applyFill="1" applyBorder="1" applyAlignment="1" applyProtection="1">
      <alignment horizontal="right" vertical="center"/>
      <protection locked="0"/>
    </xf>
    <xf numFmtId="3" fontId="50" fillId="0" borderId="0" xfId="43" applyNumberFormat="1" applyFont="1" applyFill="1" applyBorder="1" applyAlignment="1" applyProtection="1">
      <alignment horizontal="right" vertical="center"/>
      <protection/>
    </xf>
    <xf numFmtId="2" fontId="50" fillId="0" borderId="0" xfId="43" applyNumberFormat="1" applyFont="1" applyFill="1" applyBorder="1" applyAlignment="1" applyProtection="1">
      <alignment horizontal="right" vertical="center"/>
      <protection/>
    </xf>
    <xf numFmtId="4" fontId="50" fillId="0" borderId="0" xfId="43" applyNumberFormat="1" applyFont="1" applyFill="1" applyBorder="1" applyAlignment="1" applyProtection="1">
      <alignment horizontal="right" vertical="center"/>
      <protection locked="0"/>
    </xf>
    <xf numFmtId="3" fontId="50" fillId="0" borderId="0" xfId="43"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vertical="center"/>
      <protection locked="0"/>
    </xf>
    <xf numFmtId="0" fontId="50" fillId="0" borderId="0" xfId="0" applyFont="1" applyFill="1" applyBorder="1" applyAlignment="1">
      <alignment vertical="center"/>
    </xf>
    <xf numFmtId="184" fontId="50" fillId="0" borderId="0" xfId="0" applyNumberFormat="1" applyFont="1" applyFill="1" applyBorder="1" applyAlignment="1">
      <alignment horizontal="center" vertical="center"/>
    </xf>
    <xf numFmtId="0" fontId="50" fillId="0" borderId="0" xfId="0" applyFont="1" applyFill="1" applyBorder="1" applyAlignment="1">
      <alignment horizontal="right" vertical="center"/>
    </xf>
    <xf numFmtId="4" fontId="52" fillId="0" borderId="0" xfId="43" applyNumberFormat="1" applyFont="1" applyFill="1" applyBorder="1" applyAlignment="1" applyProtection="1">
      <alignment vertical="center"/>
      <protection locked="0"/>
    </xf>
    <xf numFmtId="2" fontId="50" fillId="0" borderId="0" xfId="43" applyNumberFormat="1" applyFont="1" applyFill="1" applyBorder="1" applyAlignment="1" applyProtection="1">
      <alignment vertical="center"/>
      <protection/>
    </xf>
    <xf numFmtId="4" fontId="50" fillId="0" borderId="0" xfId="43"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0" fillId="0" borderId="0" xfId="0" applyFont="1" applyFill="1" applyBorder="1" applyAlignment="1">
      <alignment horizontal="left" vertical="center"/>
    </xf>
    <xf numFmtId="0" fontId="28" fillId="0" borderId="0" xfId="0" applyFont="1" applyFill="1" applyBorder="1" applyAlignment="1">
      <alignment/>
    </xf>
    <xf numFmtId="3" fontId="52" fillId="0" borderId="0" xfId="43" applyNumberFormat="1" applyFont="1" applyFill="1" applyBorder="1" applyAlignment="1" applyProtection="1">
      <alignment vertical="center"/>
      <protection locked="0"/>
    </xf>
    <xf numFmtId="3" fontId="50" fillId="0" borderId="0" xfId="43" applyNumberFormat="1" applyFont="1" applyFill="1" applyBorder="1" applyAlignment="1" applyProtection="1">
      <alignment vertical="center"/>
      <protection/>
    </xf>
    <xf numFmtId="3" fontId="50" fillId="0" borderId="0" xfId="43" applyNumberFormat="1" applyFont="1" applyFill="1" applyBorder="1" applyAlignment="1" applyProtection="1">
      <alignment vertical="center"/>
      <protection locked="0"/>
    </xf>
    <xf numFmtId="184" fontId="50" fillId="0" borderId="0" xfId="0" applyNumberFormat="1" applyFont="1" applyFill="1" applyBorder="1" applyAlignment="1">
      <alignment horizontal="center" vertical="center" shrinkToFit="1"/>
    </xf>
    <xf numFmtId="0" fontId="50" fillId="0" borderId="0" xfId="0" applyFont="1" applyFill="1" applyBorder="1" applyAlignment="1">
      <alignment horizontal="right" vertical="center" shrinkToFit="1"/>
    </xf>
    <xf numFmtId="4" fontId="52" fillId="0" borderId="0" xfId="43" applyNumberFormat="1" applyFont="1" applyFill="1" applyBorder="1" applyAlignment="1" applyProtection="1">
      <alignment horizontal="right" vertical="center" shrinkToFit="1"/>
      <protection locked="0"/>
    </xf>
    <xf numFmtId="3" fontId="52" fillId="0" borderId="0" xfId="43" applyNumberFormat="1" applyFont="1" applyFill="1" applyBorder="1" applyAlignment="1" applyProtection="1">
      <alignment horizontal="right" vertical="center" shrinkToFit="1"/>
      <protection locked="0"/>
    </xf>
    <xf numFmtId="3" fontId="50" fillId="0" borderId="0" xfId="43" applyNumberFormat="1" applyFont="1" applyFill="1" applyBorder="1" applyAlignment="1" applyProtection="1">
      <alignment horizontal="right" vertical="center" shrinkToFit="1"/>
      <protection/>
    </xf>
    <xf numFmtId="2" fontId="50" fillId="0" borderId="0" xfId="43" applyNumberFormat="1" applyFont="1" applyFill="1" applyBorder="1" applyAlignment="1" applyProtection="1">
      <alignment horizontal="right" vertical="center" shrinkToFit="1"/>
      <protection/>
    </xf>
    <xf numFmtId="4" fontId="50" fillId="0" borderId="0" xfId="43" applyNumberFormat="1" applyFont="1" applyFill="1" applyBorder="1" applyAlignment="1" applyProtection="1">
      <alignment horizontal="right" vertical="center" shrinkToFit="1"/>
      <protection locked="0"/>
    </xf>
    <xf numFmtId="3" fontId="50" fillId="0" borderId="0" xfId="43" applyNumberFormat="1" applyFont="1" applyFill="1" applyBorder="1" applyAlignment="1" applyProtection="1">
      <alignment horizontal="righ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vertical="center"/>
    </xf>
    <xf numFmtId="0" fontId="50" fillId="0" borderId="0" xfId="0" applyFont="1" applyFill="1" applyBorder="1" applyAlignment="1" applyProtection="1">
      <alignment vertical="center"/>
      <protection locked="0"/>
    </xf>
    <xf numFmtId="184" fontId="50" fillId="0" borderId="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right" vertical="center"/>
      <protection locked="0"/>
    </xf>
    <xf numFmtId="4" fontId="52" fillId="0" borderId="0" xfId="42" applyNumberFormat="1" applyFont="1" applyFill="1" applyBorder="1" applyAlignment="1" applyProtection="1">
      <alignment vertical="center"/>
      <protection locked="0"/>
    </xf>
    <xf numFmtId="3" fontId="52" fillId="0" borderId="0" xfId="42" applyNumberFormat="1" applyFont="1" applyFill="1" applyBorder="1" applyAlignment="1" applyProtection="1">
      <alignment horizontal="right" vertical="center"/>
      <protection locked="0"/>
    </xf>
    <xf numFmtId="3" fontId="50" fillId="0" borderId="0" xfId="42" applyNumberFormat="1" applyFont="1" applyFill="1" applyBorder="1" applyAlignment="1" applyProtection="1">
      <alignment horizontal="right" vertical="center"/>
      <protection/>
    </xf>
    <xf numFmtId="2" fontId="50" fillId="0" borderId="0" xfId="42" applyNumberFormat="1" applyFont="1" applyFill="1" applyBorder="1" applyAlignment="1" applyProtection="1">
      <alignment vertical="center"/>
      <protection/>
    </xf>
    <xf numFmtId="4" fontId="50" fillId="0" borderId="0" xfId="42" applyNumberFormat="1" applyFont="1" applyFill="1" applyBorder="1" applyAlignment="1" applyProtection="1">
      <alignment vertical="center"/>
      <protection locked="0"/>
    </xf>
    <xf numFmtId="3" fontId="50" fillId="0" borderId="0" xfId="42" applyNumberFormat="1" applyFont="1" applyFill="1" applyBorder="1" applyAlignment="1" applyProtection="1">
      <alignment horizontal="right" vertical="center"/>
      <protection locked="0"/>
    </xf>
    <xf numFmtId="0" fontId="50" fillId="0" borderId="0" xfId="0" applyFont="1" applyFill="1" applyBorder="1" applyAlignment="1" applyProtection="1">
      <alignment horizontal="left" vertical="center"/>
      <protection locked="0"/>
    </xf>
    <xf numFmtId="4" fontId="52" fillId="0" borderId="0" xfId="42" applyNumberFormat="1" applyFont="1" applyFill="1" applyBorder="1" applyAlignment="1" applyProtection="1">
      <alignment horizontal="right" vertical="center"/>
      <protection locked="0"/>
    </xf>
    <xf numFmtId="2" fontId="50" fillId="0" borderId="0" xfId="42" applyNumberFormat="1" applyFont="1" applyFill="1" applyBorder="1" applyAlignment="1" applyProtection="1">
      <alignment horizontal="right" vertical="center"/>
      <protection/>
    </xf>
    <xf numFmtId="4" fontId="50" fillId="0" borderId="0" xfId="42" applyNumberFormat="1" applyFont="1" applyFill="1" applyBorder="1" applyAlignment="1" applyProtection="1">
      <alignment horizontal="right" vertical="center"/>
      <protection locked="0"/>
    </xf>
    <xf numFmtId="0" fontId="50" fillId="0" borderId="0" xfId="0" applyNumberFormat="1" applyFont="1" applyFill="1" applyBorder="1" applyAlignment="1" applyProtection="1">
      <alignment horizontal="left" vertical="center"/>
      <protection locked="0"/>
    </xf>
    <xf numFmtId="0" fontId="50" fillId="0" borderId="0" xfId="0" applyNumberFormat="1" applyFont="1" applyFill="1" applyBorder="1" applyAlignment="1" applyProtection="1">
      <alignment horizontal="right" vertical="center"/>
      <protection locked="0"/>
    </xf>
    <xf numFmtId="184" fontId="50" fillId="0" borderId="0" xfId="0" applyNumberFormat="1" applyFont="1" applyFill="1" applyBorder="1" applyAlignment="1" applyProtection="1">
      <alignment horizontal="left" vertical="center"/>
      <protection locked="0"/>
    </xf>
    <xf numFmtId="3" fontId="52" fillId="0" borderId="0" xfId="42" applyNumberFormat="1" applyFont="1" applyFill="1" applyBorder="1" applyAlignment="1" applyProtection="1">
      <alignment vertical="center"/>
      <protection locked="0"/>
    </xf>
    <xf numFmtId="3" fontId="50" fillId="0" borderId="0" xfId="42" applyNumberFormat="1" applyFont="1" applyFill="1" applyBorder="1" applyAlignment="1" applyProtection="1">
      <alignment vertical="center"/>
      <protection/>
    </xf>
    <xf numFmtId="3" fontId="50" fillId="0" borderId="0" xfId="42" applyNumberFormat="1" applyFont="1" applyFill="1" applyBorder="1" applyAlignment="1" applyProtection="1">
      <alignment vertical="center"/>
      <protection locked="0"/>
    </xf>
    <xf numFmtId="0" fontId="8" fillId="0" borderId="0" xfId="0" applyFont="1" applyFill="1" applyBorder="1" applyAlignment="1">
      <alignment/>
    </xf>
    <xf numFmtId="4" fontId="52" fillId="0" borderId="0" xfId="40" applyNumberFormat="1" applyFont="1" applyFill="1" applyBorder="1" applyAlignment="1" applyProtection="1">
      <alignment horizontal="right" vertical="center"/>
      <protection/>
    </xf>
    <xf numFmtId="3" fontId="52" fillId="0" borderId="0" xfId="40" applyNumberFormat="1" applyFont="1" applyFill="1" applyBorder="1" applyAlignment="1" applyProtection="1">
      <alignment horizontal="right" vertical="center"/>
      <protection/>
    </xf>
    <xf numFmtId="3" fontId="50" fillId="0" borderId="0" xfId="68" applyNumberFormat="1" applyFont="1" applyFill="1" applyBorder="1" applyAlignment="1" applyProtection="1">
      <alignment horizontal="right" vertical="center"/>
      <protection/>
    </xf>
    <xf numFmtId="2" fontId="50" fillId="0" borderId="0" xfId="68" applyNumberFormat="1" applyFont="1" applyFill="1" applyBorder="1" applyAlignment="1" applyProtection="1">
      <alignment horizontal="right" vertical="center"/>
      <protection/>
    </xf>
    <xf numFmtId="4" fontId="50" fillId="0" borderId="0" xfId="40" applyNumberFormat="1" applyFont="1" applyFill="1" applyBorder="1" applyAlignment="1" applyProtection="1">
      <alignment horizontal="right" vertical="center"/>
      <protection/>
    </xf>
    <xf numFmtId="3" fontId="50" fillId="0" borderId="0" xfId="0" applyNumberFormat="1" applyFont="1" applyFill="1" applyBorder="1" applyAlignment="1">
      <alignment horizontal="right" vertical="center"/>
    </xf>
    <xf numFmtId="4" fontId="52" fillId="0" borderId="0" xfId="40" applyNumberFormat="1" applyFont="1" applyFill="1" applyBorder="1" applyAlignment="1" applyProtection="1">
      <alignment vertical="center"/>
      <protection/>
    </xf>
    <xf numFmtId="2" fontId="50" fillId="0" borderId="0" xfId="68" applyNumberFormat="1" applyFont="1" applyFill="1" applyBorder="1" applyAlignment="1" applyProtection="1">
      <alignment vertical="center"/>
      <protection/>
    </xf>
    <xf numFmtId="4" fontId="50" fillId="0" borderId="0" xfId="40" applyNumberFormat="1" applyFont="1" applyFill="1" applyBorder="1" applyAlignment="1" applyProtection="1">
      <alignment vertical="center"/>
      <protection/>
    </xf>
    <xf numFmtId="0" fontId="50" fillId="0" borderId="0" xfId="0" applyNumberFormat="1" applyFont="1" applyFill="1" applyBorder="1" applyAlignment="1">
      <alignment horizontal="left" vertical="center"/>
    </xf>
    <xf numFmtId="184" fontId="50" fillId="0" borderId="0" xfId="0" applyNumberFormat="1" applyFont="1" applyFill="1" applyBorder="1" applyAlignment="1">
      <alignment horizontal="center" vertical="center"/>
    </xf>
    <xf numFmtId="0" fontId="50" fillId="0" borderId="0" xfId="0" applyNumberFormat="1" applyFont="1" applyFill="1" applyBorder="1" applyAlignment="1">
      <alignment horizontal="right" vertical="center"/>
    </xf>
    <xf numFmtId="4" fontId="52" fillId="0" borderId="0" xfId="0" applyNumberFormat="1" applyFont="1" applyFill="1" applyBorder="1" applyAlignment="1">
      <alignment horizontal="right" vertical="center"/>
    </xf>
    <xf numFmtId="3" fontId="52" fillId="0" borderId="0"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2" fontId="50" fillId="0" borderId="0" xfId="0" applyNumberFormat="1" applyFont="1" applyFill="1" applyBorder="1" applyAlignment="1">
      <alignment horizontal="right" vertical="center"/>
    </xf>
    <xf numFmtId="4" fontId="50" fillId="0" borderId="0" xfId="0" applyNumberFormat="1" applyFont="1" applyFill="1" applyBorder="1" applyAlignment="1">
      <alignment horizontal="right" vertical="center"/>
    </xf>
    <xf numFmtId="0" fontId="50" fillId="0" borderId="0" xfId="0" applyFont="1" applyFill="1" applyBorder="1" applyAlignment="1">
      <alignment horizontal="left" vertical="center"/>
    </xf>
    <xf numFmtId="0" fontId="50" fillId="0" borderId="0" xfId="0" applyFont="1" applyFill="1" applyBorder="1" applyAlignment="1">
      <alignment horizontal="right" vertical="center"/>
    </xf>
    <xf numFmtId="184" fontId="50" fillId="0" borderId="0" xfId="0" applyNumberFormat="1" applyFont="1" applyFill="1" applyBorder="1" applyAlignment="1">
      <alignment horizontal="center"/>
    </xf>
    <xf numFmtId="0" fontId="50" fillId="0" borderId="0" xfId="0" applyFont="1" applyFill="1" applyBorder="1" applyAlignment="1">
      <alignment horizontal="right"/>
    </xf>
    <xf numFmtId="4" fontId="52"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3" fontId="50" fillId="0" borderId="0" xfId="0" applyNumberFormat="1" applyFont="1" applyFill="1" applyBorder="1" applyAlignment="1">
      <alignment horizontal="right"/>
    </xf>
    <xf numFmtId="2" fontId="50" fillId="0" borderId="0" xfId="0" applyNumberFormat="1" applyFont="1" applyFill="1" applyBorder="1" applyAlignment="1">
      <alignment horizontal="right"/>
    </xf>
    <xf numFmtId="4" fontId="50" fillId="0" borderId="0" xfId="0" applyNumberFormat="1" applyFont="1" applyFill="1" applyBorder="1" applyAlignment="1">
      <alignment horizontal="right"/>
    </xf>
    <xf numFmtId="4" fontId="52" fillId="0" borderId="0" xfId="0" applyNumberFormat="1" applyFont="1" applyFill="1" applyBorder="1" applyAlignment="1">
      <alignment vertical="center"/>
    </xf>
    <xf numFmtId="2" fontId="50" fillId="0" borderId="0" xfId="0" applyNumberFormat="1" applyFont="1" applyFill="1" applyBorder="1" applyAlignment="1">
      <alignment vertical="center"/>
    </xf>
    <xf numFmtId="4" fontId="50" fillId="0" borderId="0" xfId="0" applyNumberFormat="1" applyFont="1" applyFill="1" applyBorder="1" applyAlignment="1">
      <alignment vertical="center"/>
    </xf>
    <xf numFmtId="184" fontId="50" fillId="0" borderId="0" xfId="0" applyNumberFormat="1" applyFont="1" applyFill="1" applyBorder="1" applyAlignment="1">
      <alignment horizontal="left" vertical="center"/>
    </xf>
    <xf numFmtId="0" fontId="50" fillId="0" borderId="0" xfId="0" applyNumberFormat="1" applyFont="1" applyFill="1" applyBorder="1" applyAlignment="1" applyProtection="1">
      <alignment vertical="center"/>
      <protection locked="0"/>
    </xf>
    <xf numFmtId="4" fontId="52" fillId="0" borderId="0" xfId="44" applyNumberFormat="1" applyFont="1" applyFill="1" applyBorder="1" applyAlignment="1" applyProtection="1">
      <alignment vertical="center"/>
      <protection locked="0"/>
    </xf>
    <xf numFmtId="3" fontId="52" fillId="0" borderId="0" xfId="44" applyNumberFormat="1" applyFont="1" applyFill="1" applyBorder="1" applyAlignment="1" applyProtection="1">
      <alignment horizontal="right" vertical="center"/>
      <protection locked="0"/>
    </xf>
    <xf numFmtId="3" fontId="50" fillId="0" borderId="0" xfId="44" applyNumberFormat="1" applyFont="1" applyFill="1" applyBorder="1" applyAlignment="1" applyProtection="1">
      <alignment horizontal="right" vertical="center"/>
      <protection/>
    </xf>
    <xf numFmtId="2" fontId="50" fillId="0" borderId="0" xfId="44" applyNumberFormat="1" applyFont="1" applyFill="1" applyBorder="1" applyAlignment="1" applyProtection="1">
      <alignment vertical="center"/>
      <protection/>
    </xf>
    <xf numFmtId="4" fontId="50" fillId="0" borderId="0" xfId="44" applyNumberFormat="1" applyFont="1" applyFill="1" applyBorder="1" applyAlignment="1" applyProtection="1">
      <alignment vertical="center"/>
      <protection locked="0"/>
    </xf>
    <xf numFmtId="3" fontId="50" fillId="0" borderId="0" xfId="44" applyNumberFormat="1" applyFont="1" applyFill="1" applyBorder="1" applyAlignment="1" applyProtection="1">
      <alignment horizontal="right" vertical="center"/>
      <protection locked="0"/>
    </xf>
    <xf numFmtId="4" fontId="52" fillId="0" borderId="0" xfId="44" applyNumberFormat="1" applyFont="1" applyFill="1" applyBorder="1" applyAlignment="1" applyProtection="1">
      <alignment horizontal="right" vertical="center"/>
      <protection locked="0"/>
    </xf>
    <xf numFmtId="2" fontId="50" fillId="0" borderId="0" xfId="44" applyNumberFormat="1" applyFont="1" applyFill="1" applyBorder="1" applyAlignment="1" applyProtection="1">
      <alignment horizontal="right" vertical="center"/>
      <protection/>
    </xf>
    <xf numFmtId="4" fontId="50" fillId="0" borderId="0" xfId="44" applyNumberFormat="1" applyFont="1" applyFill="1" applyBorder="1" applyAlignment="1" applyProtection="1">
      <alignment horizontal="right" vertical="center"/>
      <protection locked="0"/>
    </xf>
    <xf numFmtId="0" fontId="8" fillId="0" borderId="0" xfId="53"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4" fontId="50" fillId="0" borderId="0" xfId="0" applyNumberFormat="1" applyFont="1" applyFill="1" applyBorder="1" applyAlignment="1">
      <alignment vertical="center"/>
    </xf>
    <xf numFmtId="0" fontId="8" fillId="0" borderId="0" xfId="0" applyFont="1" applyFill="1" applyBorder="1" applyAlignment="1">
      <alignment vertical="center"/>
    </xf>
    <xf numFmtId="184" fontId="50" fillId="0" borderId="0" xfId="0" applyNumberFormat="1" applyFont="1" applyFill="1" applyBorder="1" applyAlignment="1">
      <alignment horizontal="center" wrapText="1"/>
    </xf>
    <xf numFmtId="14" fontId="50" fillId="0" borderId="0" xfId="0" applyNumberFormat="1" applyFont="1" applyFill="1" applyBorder="1" applyAlignment="1">
      <alignment horizontal="left"/>
    </xf>
    <xf numFmtId="0" fontId="8" fillId="0" borderId="0" xfId="0" applyFont="1" applyFill="1" applyBorder="1" applyAlignment="1">
      <alignment/>
    </xf>
    <xf numFmtId="184" fontId="50" fillId="0" borderId="0" xfId="55" applyNumberFormat="1" applyFont="1" applyFill="1" applyBorder="1" applyAlignment="1">
      <alignment horizontal="left" vertical="center"/>
      <protection/>
    </xf>
    <xf numFmtId="0" fontId="50" fillId="0" borderId="0" xfId="55" applyNumberFormat="1" applyFont="1" applyFill="1" applyBorder="1" applyAlignment="1">
      <alignment horizontal="right" vertical="center"/>
      <protection/>
    </xf>
    <xf numFmtId="184" fontId="50" fillId="0" borderId="0" xfId="55" applyNumberFormat="1" applyFont="1" applyFill="1" applyBorder="1" applyAlignment="1">
      <alignment horizontal="center" vertical="center" shrinkToFit="1"/>
      <protection/>
    </xf>
    <xf numFmtId="0" fontId="50" fillId="0" borderId="0" xfId="55" applyFont="1" applyFill="1" applyBorder="1" applyAlignment="1">
      <alignment horizontal="right" vertical="center" shrinkToFit="1"/>
      <protection/>
    </xf>
    <xf numFmtId="184" fontId="50" fillId="0" borderId="0" xfId="55" applyNumberFormat="1" applyFont="1" applyFill="1" applyBorder="1" applyAlignment="1">
      <alignment horizontal="center" vertical="center"/>
      <protection/>
    </xf>
    <xf numFmtId="0" fontId="50" fillId="0" borderId="0" xfId="55" applyFont="1" applyFill="1" applyBorder="1" applyAlignment="1">
      <alignment horizontal="right" vertical="center"/>
      <protection/>
    </xf>
    <xf numFmtId="0" fontId="8" fillId="0" borderId="0" xfId="53" applyFont="1" applyFill="1" applyBorder="1" applyAlignment="1" applyProtection="1">
      <alignment vertical="center" shrinkToFit="1"/>
      <protection locked="0"/>
    </xf>
    <xf numFmtId="3" fontId="50" fillId="0" borderId="0" xfId="40" applyNumberFormat="1" applyFont="1" applyFill="1" applyBorder="1" applyAlignment="1" applyProtection="1">
      <alignment horizontal="right" vertical="center"/>
      <protection/>
    </xf>
    <xf numFmtId="3" fontId="52" fillId="0" borderId="0" xfId="40" applyNumberFormat="1" applyFont="1" applyFill="1" applyBorder="1" applyAlignment="1" applyProtection="1">
      <alignment vertical="center"/>
      <protection/>
    </xf>
    <xf numFmtId="3" fontId="50" fillId="0" borderId="0" xfId="68" applyNumberFormat="1" applyFont="1" applyFill="1" applyBorder="1" applyAlignment="1" applyProtection="1">
      <alignment vertical="center"/>
      <protection/>
    </xf>
    <xf numFmtId="3" fontId="50" fillId="0" borderId="0" xfId="0" applyNumberFormat="1" applyFont="1" applyFill="1" applyBorder="1" applyAlignment="1">
      <alignment vertical="center"/>
    </xf>
    <xf numFmtId="4" fontId="52" fillId="0" borderId="0" xfId="40" applyNumberFormat="1" applyFont="1" applyFill="1" applyBorder="1" applyAlignment="1" applyProtection="1">
      <alignment horizontal="right" vertical="center"/>
      <protection locked="0"/>
    </xf>
    <xf numFmtId="3" fontId="52" fillId="0" borderId="0" xfId="40" applyNumberFormat="1" applyFont="1" applyFill="1" applyBorder="1" applyAlignment="1" applyProtection="1">
      <alignment horizontal="right" vertical="center"/>
      <protection locked="0"/>
    </xf>
    <xf numFmtId="2" fontId="50" fillId="0" borderId="0" xfId="40" applyNumberFormat="1" applyFont="1" applyFill="1" applyBorder="1" applyAlignment="1" applyProtection="1">
      <alignment horizontal="right" vertical="center"/>
      <protection/>
    </xf>
    <xf numFmtId="4" fontId="50" fillId="0" borderId="0" xfId="40" applyNumberFormat="1" applyFont="1" applyFill="1" applyBorder="1" applyAlignment="1" applyProtection="1">
      <alignment horizontal="right" vertical="center"/>
      <protection locked="0"/>
    </xf>
    <xf numFmtId="3" fontId="50" fillId="0" borderId="0" xfId="40" applyNumberFormat="1" applyFont="1" applyFill="1" applyBorder="1" applyAlignment="1" applyProtection="1">
      <alignment horizontal="right" vertical="center"/>
      <protection locked="0"/>
    </xf>
    <xf numFmtId="49" fontId="50" fillId="0" borderId="0" xfId="0" applyNumberFormat="1" applyFont="1" applyFill="1" applyBorder="1" applyAlignment="1" applyProtection="1">
      <alignment horizontal="left" vertical="center"/>
      <protection locked="0"/>
    </xf>
    <xf numFmtId="49" fontId="50" fillId="0" borderId="0" xfId="0" applyNumberFormat="1" applyFont="1" applyFill="1" applyBorder="1" applyAlignment="1" applyProtection="1">
      <alignment vertical="center"/>
      <protection locked="0"/>
    </xf>
    <xf numFmtId="4" fontId="52" fillId="0" borderId="0" xfId="40" applyNumberFormat="1" applyFont="1" applyFill="1" applyBorder="1" applyAlignment="1" applyProtection="1">
      <alignment vertical="center"/>
      <protection locked="0"/>
    </xf>
    <xf numFmtId="4" fontId="50" fillId="0" borderId="0" xfId="40" applyNumberFormat="1" applyFont="1" applyFill="1" applyBorder="1" applyAlignment="1" applyProtection="1">
      <alignment vertical="center"/>
      <protection locked="0"/>
    </xf>
    <xf numFmtId="0" fontId="50" fillId="0" borderId="0" xfId="53" applyFont="1" applyFill="1" applyBorder="1" applyAlignment="1">
      <alignment horizontal="left" vertical="center"/>
      <protection/>
    </xf>
    <xf numFmtId="184" fontId="50" fillId="0" borderId="0" xfId="53" applyNumberFormat="1" applyFont="1" applyFill="1" applyBorder="1" applyAlignment="1">
      <alignment horizontal="center" vertical="center"/>
      <protection/>
    </xf>
    <xf numFmtId="0" fontId="50" fillId="0" borderId="0" xfId="53" applyFont="1" applyFill="1" applyBorder="1" applyAlignment="1">
      <alignment horizontal="right" vertical="center"/>
      <protection/>
    </xf>
    <xf numFmtId="4" fontId="52" fillId="0" borderId="0" xfId="53" applyNumberFormat="1" applyFont="1" applyFill="1" applyBorder="1" applyAlignment="1" applyProtection="1">
      <alignment horizontal="right" vertical="center"/>
      <protection/>
    </xf>
    <xf numFmtId="3" fontId="52" fillId="0" borderId="0" xfId="53" applyNumberFormat="1" applyFont="1" applyFill="1" applyBorder="1" applyAlignment="1" applyProtection="1">
      <alignment horizontal="right" vertical="center"/>
      <protection/>
    </xf>
    <xf numFmtId="3" fontId="50" fillId="0" borderId="0" xfId="0" applyNumberFormat="1" applyFont="1" applyFill="1" applyBorder="1" applyAlignment="1" applyProtection="1">
      <alignment horizontal="right" vertical="center"/>
      <protection/>
    </xf>
    <xf numFmtId="2" fontId="50" fillId="0" borderId="0" xfId="0" applyNumberFormat="1" applyFont="1" applyFill="1" applyBorder="1" applyAlignment="1" applyProtection="1">
      <alignment horizontal="right" vertical="center"/>
      <protection/>
    </xf>
    <xf numFmtId="4" fontId="50" fillId="0" borderId="0" xfId="53" applyNumberFormat="1" applyFont="1" applyFill="1" applyBorder="1" applyAlignment="1" applyProtection="1">
      <alignment horizontal="right" vertical="center"/>
      <protection/>
    </xf>
    <xf numFmtId="3" fontId="50" fillId="0" borderId="0" xfId="53" applyNumberFormat="1" applyFont="1" applyFill="1" applyBorder="1" applyAlignment="1" applyProtection="1">
      <alignment horizontal="right" vertical="center"/>
      <protection/>
    </xf>
    <xf numFmtId="0" fontId="50" fillId="0" borderId="0" xfId="53" applyNumberFormat="1" applyFont="1" applyFill="1" applyBorder="1" applyAlignment="1">
      <alignment horizontal="left" vertical="center"/>
      <protection/>
    </xf>
    <xf numFmtId="0" fontId="50" fillId="0" borderId="0" xfId="53" applyNumberFormat="1" applyFont="1" applyFill="1" applyBorder="1" applyAlignment="1">
      <alignment horizontal="right" vertical="center"/>
      <protection/>
    </xf>
    <xf numFmtId="2" fontId="50" fillId="0" borderId="0" xfId="53" applyNumberFormat="1" applyFont="1" applyFill="1" applyBorder="1" applyAlignment="1" applyProtection="1">
      <alignment horizontal="right" vertical="center"/>
      <protection/>
    </xf>
    <xf numFmtId="14" fontId="50" fillId="0" borderId="0" xfId="0" applyNumberFormat="1" applyFont="1" applyFill="1" applyBorder="1" applyAlignment="1">
      <alignment horizontal="left" vertical="center"/>
    </xf>
    <xf numFmtId="3" fontId="52" fillId="0" borderId="0" xfId="0" applyNumberFormat="1" applyFont="1" applyFill="1" applyBorder="1" applyAlignment="1">
      <alignment vertical="center"/>
    </xf>
    <xf numFmtId="3" fontId="50" fillId="0" borderId="0" xfId="0" applyNumberFormat="1" applyFont="1" applyFill="1" applyBorder="1" applyAlignment="1">
      <alignment vertical="center"/>
    </xf>
    <xf numFmtId="184" fontId="50" fillId="0" borderId="0" xfId="54" applyNumberFormat="1" applyFont="1" applyFill="1" applyBorder="1" applyAlignment="1">
      <alignment horizontal="center" vertical="center"/>
      <protection/>
    </xf>
    <xf numFmtId="0" fontId="50" fillId="0" borderId="0" xfId="54" applyFont="1" applyFill="1" applyBorder="1" applyAlignment="1">
      <alignment horizontal="right" vertical="center"/>
      <protection/>
    </xf>
    <xf numFmtId="3" fontId="50" fillId="0" borderId="0" xfId="44" applyNumberFormat="1" applyFont="1" applyFill="1" applyBorder="1" applyAlignment="1" applyProtection="1">
      <alignment vertical="center"/>
      <protection/>
    </xf>
    <xf numFmtId="3" fontId="52" fillId="0" borderId="0" xfId="40" applyNumberFormat="1" applyFont="1" applyFill="1" applyBorder="1" applyAlignment="1" applyProtection="1">
      <alignment vertical="center"/>
      <protection locked="0"/>
    </xf>
    <xf numFmtId="3" fontId="50" fillId="0" borderId="0" xfId="40" applyNumberFormat="1" applyFont="1" applyFill="1" applyBorder="1" applyAlignment="1" applyProtection="1">
      <alignment vertical="center"/>
      <protection locked="0"/>
    </xf>
    <xf numFmtId="3" fontId="50" fillId="0" borderId="0" xfId="40" applyNumberFormat="1" applyFont="1" applyFill="1" applyBorder="1" applyAlignment="1" applyProtection="1">
      <alignment vertical="center"/>
      <protection/>
    </xf>
    <xf numFmtId="2" fontId="50" fillId="0" borderId="0" xfId="40" applyNumberFormat="1" applyFont="1" applyFill="1" applyBorder="1" applyAlignment="1" applyProtection="1">
      <alignment vertical="center"/>
      <protection/>
    </xf>
    <xf numFmtId="0" fontId="50" fillId="0" borderId="0" xfId="0" applyFont="1" applyFill="1" applyBorder="1" applyAlignment="1">
      <alignment horizontal="left"/>
    </xf>
    <xf numFmtId="4" fontId="52" fillId="0" borderId="0" xfId="0" applyNumberFormat="1" applyFont="1" applyFill="1" applyBorder="1" applyAlignment="1">
      <alignment horizontal="right" wrapText="1"/>
    </xf>
    <xf numFmtId="4" fontId="50" fillId="0" borderId="0" xfId="0" applyNumberFormat="1" applyFont="1" applyFill="1" applyBorder="1" applyAlignment="1">
      <alignment horizontal="right" wrapText="1"/>
    </xf>
    <xf numFmtId="184" fontId="50" fillId="34" borderId="0" xfId="0" applyNumberFormat="1" applyFont="1" applyFill="1" applyBorder="1" applyAlignment="1">
      <alignment horizontal="center" wrapText="1"/>
    </xf>
    <xf numFmtId="14" fontId="50" fillId="34" borderId="0" xfId="0" applyNumberFormat="1" applyFont="1" applyFill="1" applyBorder="1" applyAlignment="1">
      <alignment horizontal="left"/>
    </xf>
    <xf numFmtId="0" fontId="50" fillId="34" borderId="0" xfId="0" applyFont="1" applyFill="1" applyBorder="1" applyAlignment="1">
      <alignment horizontal="right"/>
    </xf>
    <xf numFmtId="4" fontId="52" fillId="34" borderId="0" xfId="0" applyNumberFormat="1" applyFont="1" applyFill="1" applyBorder="1" applyAlignment="1">
      <alignment horizontal="right"/>
    </xf>
    <xf numFmtId="3" fontId="52" fillId="34" borderId="0" xfId="0" applyNumberFormat="1" applyFont="1" applyFill="1" applyBorder="1" applyAlignment="1">
      <alignment horizontal="right"/>
    </xf>
    <xf numFmtId="3" fontId="50" fillId="34" borderId="0" xfId="0" applyNumberFormat="1" applyFont="1" applyFill="1" applyBorder="1" applyAlignment="1">
      <alignment horizontal="right"/>
    </xf>
    <xf numFmtId="2" fontId="50" fillId="34" borderId="0" xfId="0" applyNumberFormat="1" applyFont="1" applyFill="1" applyBorder="1" applyAlignment="1">
      <alignment horizontal="right"/>
    </xf>
    <xf numFmtId="4" fontId="50" fillId="34" borderId="0" xfId="0" applyNumberFormat="1" applyFont="1" applyFill="1" applyBorder="1" applyAlignment="1">
      <alignment horizontal="right"/>
    </xf>
    <xf numFmtId="3" fontId="50" fillId="34" borderId="0" xfId="0" applyNumberFormat="1" applyFont="1" applyFill="1" applyBorder="1" applyAlignment="1">
      <alignment horizontal="right"/>
    </xf>
    <xf numFmtId="184" fontId="50" fillId="0" borderId="0" xfId="0" applyNumberFormat="1" applyFont="1" applyBorder="1" applyAlignment="1" applyProtection="1">
      <alignment horizontal="center" vertical="center"/>
      <protection locked="0"/>
    </xf>
    <xf numFmtId="0" fontId="50" fillId="0" borderId="0" xfId="0" applyFont="1" applyBorder="1" applyAlignment="1" applyProtection="1">
      <alignment horizontal="left" vertical="center"/>
      <protection locked="0"/>
    </xf>
    <xf numFmtId="0" fontId="50" fillId="0" borderId="0" xfId="0" applyFont="1" applyBorder="1" applyAlignment="1" applyProtection="1">
      <alignment horizontal="right" vertical="center"/>
      <protection locked="0"/>
    </xf>
    <xf numFmtId="3" fontId="50" fillId="0" borderId="0" xfId="68" applyNumberFormat="1" applyFont="1" applyBorder="1" applyAlignment="1" applyProtection="1">
      <alignment horizontal="right" vertical="center"/>
      <protection/>
    </xf>
    <xf numFmtId="2" fontId="50" fillId="0" borderId="0" xfId="68" applyNumberFormat="1" applyFont="1" applyBorder="1" applyAlignment="1" applyProtection="1">
      <alignment horizontal="right" vertical="center"/>
      <protection/>
    </xf>
    <xf numFmtId="0" fontId="50" fillId="0" borderId="0" xfId="0" applyFont="1" applyFill="1" applyBorder="1" applyAlignment="1">
      <alignment horizontal="right" vertical="center"/>
    </xf>
    <xf numFmtId="3" fontId="50" fillId="0" borderId="0" xfId="0" applyNumberFormat="1" applyFont="1" applyFill="1" applyBorder="1" applyAlignment="1">
      <alignment horizontal="right" vertical="center"/>
    </xf>
    <xf numFmtId="3" fontId="52" fillId="0" borderId="0" xfId="44" applyNumberFormat="1" applyFont="1" applyFill="1" applyBorder="1" applyAlignment="1" applyProtection="1">
      <alignment vertical="center"/>
      <protection locked="0"/>
    </xf>
    <xf numFmtId="2" fontId="50" fillId="0" borderId="0" xfId="0" applyNumberFormat="1" applyFont="1" applyFill="1" applyBorder="1" applyAlignment="1">
      <alignment horizontal="right" vertical="center"/>
    </xf>
    <xf numFmtId="3" fontId="50" fillId="0" borderId="0" xfId="44" applyNumberFormat="1" applyFont="1" applyFill="1" applyBorder="1" applyAlignment="1" applyProtection="1">
      <alignment vertical="center"/>
      <protection locked="0"/>
    </xf>
    <xf numFmtId="0" fontId="50" fillId="0" borderId="26" xfId="0" applyNumberFormat="1" applyFont="1" applyFill="1" applyBorder="1" applyAlignment="1">
      <alignment horizontal="left" vertical="center"/>
    </xf>
    <xf numFmtId="184" fontId="50" fillId="0" borderId="48" xfId="0" applyNumberFormat="1" applyFont="1" applyFill="1" applyBorder="1" applyAlignment="1">
      <alignment horizontal="left" vertical="center"/>
    </xf>
    <xf numFmtId="0" fontId="50" fillId="0" borderId="48" xfId="55" applyNumberFormat="1" applyFont="1" applyFill="1" applyBorder="1" applyAlignment="1">
      <alignment horizontal="left" vertical="center"/>
      <protection/>
    </xf>
    <xf numFmtId="0" fontId="50" fillId="0" borderId="48" xfId="0" applyNumberFormat="1" applyFont="1" applyFill="1" applyBorder="1" applyAlignment="1">
      <alignment horizontal="right" vertical="center"/>
    </xf>
    <xf numFmtId="4" fontId="52" fillId="0" borderId="48" xfId="43" applyNumberFormat="1" applyFont="1" applyFill="1" applyBorder="1" applyAlignment="1" applyProtection="1">
      <alignment horizontal="right" vertical="center"/>
      <protection locked="0"/>
    </xf>
    <xf numFmtId="3" fontId="52" fillId="0" borderId="48" xfId="43" applyNumberFormat="1" applyFont="1" applyFill="1" applyBorder="1" applyAlignment="1" applyProtection="1">
      <alignment horizontal="right" vertical="center"/>
      <protection locked="0"/>
    </xf>
    <xf numFmtId="3" fontId="50" fillId="0" borderId="48" xfId="43" applyNumberFormat="1" applyFont="1" applyFill="1" applyBorder="1" applyAlignment="1" applyProtection="1">
      <alignment horizontal="right" vertical="center"/>
      <protection/>
    </xf>
    <xf numFmtId="2" fontId="50" fillId="0" borderId="48" xfId="43" applyNumberFormat="1" applyFont="1" applyFill="1" applyBorder="1" applyAlignment="1" applyProtection="1">
      <alignment horizontal="right" vertical="center"/>
      <protection/>
    </xf>
    <xf numFmtId="4" fontId="50" fillId="0" borderId="48" xfId="43" applyNumberFormat="1" applyFont="1" applyFill="1" applyBorder="1" applyAlignment="1" applyProtection="1">
      <alignment horizontal="right" vertical="center"/>
      <protection locked="0"/>
    </xf>
    <xf numFmtId="3" fontId="50" fillId="0" borderId="48" xfId="43" applyNumberFormat="1" applyFont="1" applyFill="1" applyBorder="1" applyAlignment="1" applyProtection="1">
      <alignment horizontal="right" vertical="center"/>
      <protection locked="0"/>
    </xf>
    <xf numFmtId="2" fontId="50" fillId="0" borderId="49" xfId="43" applyNumberFormat="1" applyFont="1" applyFill="1" applyBorder="1" applyAlignment="1" applyProtection="1">
      <alignment horizontal="right" vertical="center"/>
      <protection/>
    </xf>
    <xf numFmtId="0" fontId="50" fillId="0" borderId="27" xfId="0" applyFont="1" applyFill="1" applyBorder="1" applyAlignment="1">
      <alignment horizontal="left" vertical="center"/>
    </xf>
    <xf numFmtId="2" fontId="50" fillId="0" borderId="50" xfId="43" applyNumberFormat="1" applyFont="1" applyFill="1" applyBorder="1" applyAlignment="1" applyProtection="1">
      <alignment horizontal="right" vertical="center"/>
      <protection/>
    </xf>
    <xf numFmtId="0" fontId="50" fillId="0" borderId="27" xfId="0" applyFont="1" applyFill="1" applyBorder="1" applyAlignment="1">
      <alignment vertical="center"/>
    </xf>
    <xf numFmtId="2" fontId="50" fillId="0" borderId="50" xfId="43" applyNumberFormat="1" applyFont="1" applyFill="1" applyBorder="1" applyAlignment="1" applyProtection="1">
      <alignment vertical="center"/>
      <protection/>
    </xf>
    <xf numFmtId="0" fontId="50" fillId="0" borderId="27" xfId="0" applyFont="1" applyFill="1" applyBorder="1" applyAlignment="1">
      <alignment horizontal="left" vertical="center" shrinkToFit="1"/>
    </xf>
    <xf numFmtId="2" fontId="50" fillId="0" borderId="50" xfId="43" applyNumberFormat="1" applyFont="1" applyFill="1" applyBorder="1" applyAlignment="1" applyProtection="1">
      <alignment horizontal="right" vertical="center" shrinkToFit="1"/>
      <protection/>
    </xf>
    <xf numFmtId="0" fontId="50" fillId="0" borderId="27" xfId="0" applyNumberFormat="1" applyFont="1" applyFill="1" applyBorder="1" applyAlignment="1">
      <alignment horizontal="left" vertical="center"/>
    </xf>
    <xf numFmtId="0" fontId="50" fillId="0" borderId="27" xfId="0" applyFont="1" applyFill="1" applyBorder="1" applyAlignment="1" applyProtection="1">
      <alignment vertical="center"/>
      <protection locked="0"/>
    </xf>
    <xf numFmtId="2" fontId="50" fillId="0" borderId="50" xfId="42" applyNumberFormat="1" applyFont="1" applyFill="1" applyBorder="1" applyAlignment="1" applyProtection="1">
      <alignment vertical="center"/>
      <protection/>
    </xf>
    <xf numFmtId="0" fontId="50" fillId="0" borderId="27" xfId="0" applyFont="1" applyFill="1" applyBorder="1" applyAlignment="1" applyProtection="1">
      <alignment horizontal="left" vertical="center"/>
      <protection locked="0"/>
    </xf>
    <xf numFmtId="2" fontId="50" fillId="0" borderId="50" xfId="42" applyNumberFormat="1" applyFont="1" applyFill="1" applyBorder="1" applyAlignment="1" applyProtection="1">
      <alignment horizontal="right" vertical="center"/>
      <protection/>
    </xf>
    <xf numFmtId="0" fontId="50" fillId="0" borderId="27" xfId="0" applyNumberFormat="1" applyFont="1" applyFill="1" applyBorder="1" applyAlignment="1" applyProtection="1">
      <alignment horizontal="left" vertical="center"/>
      <protection locked="0"/>
    </xf>
    <xf numFmtId="2" fontId="50" fillId="0" borderId="50" xfId="68" applyNumberFormat="1" applyFont="1" applyFill="1" applyBorder="1" applyAlignment="1" applyProtection="1">
      <alignment horizontal="right" vertical="center"/>
      <protection/>
    </xf>
    <xf numFmtId="2" fontId="50" fillId="0" borderId="50" xfId="68" applyNumberFormat="1" applyFont="1" applyFill="1" applyBorder="1" applyAlignment="1" applyProtection="1">
      <alignment vertical="center"/>
      <protection/>
    </xf>
    <xf numFmtId="0" fontId="50" fillId="0" borderId="27" xfId="0" applyNumberFormat="1" applyFont="1" applyFill="1" applyBorder="1" applyAlignment="1">
      <alignment horizontal="left" vertical="center"/>
    </xf>
    <xf numFmtId="2" fontId="50" fillId="0" borderId="50" xfId="0" applyNumberFormat="1" applyFont="1" applyFill="1" applyBorder="1" applyAlignment="1">
      <alignment horizontal="right" vertical="center"/>
    </xf>
    <xf numFmtId="0" fontId="50" fillId="0" borderId="27" xfId="0" applyFont="1" applyFill="1" applyBorder="1" applyAlignment="1">
      <alignment vertical="center"/>
    </xf>
    <xf numFmtId="0" fontId="50" fillId="0" borderId="27" xfId="0" applyFont="1" applyFill="1" applyBorder="1" applyAlignment="1">
      <alignment horizontal="left"/>
    </xf>
    <xf numFmtId="2" fontId="50" fillId="0" borderId="50" xfId="0" applyNumberFormat="1" applyFont="1" applyFill="1" applyBorder="1" applyAlignment="1">
      <alignment horizontal="right"/>
    </xf>
    <xf numFmtId="2" fontId="50" fillId="0" borderId="50" xfId="0" applyNumberFormat="1" applyFont="1" applyFill="1" applyBorder="1" applyAlignment="1">
      <alignment vertical="center"/>
    </xf>
    <xf numFmtId="0" fontId="50" fillId="0" borderId="27" xfId="0" applyNumberFormat="1" applyFont="1" applyFill="1" applyBorder="1" applyAlignment="1" applyProtection="1">
      <alignment vertical="center"/>
      <protection locked="0"/>
    </xf>
    <xf numFmtId="2" fontId="50" fillId="0" borderId="50" xfId="44" applyNumberFormat="1" applyFont="1" applyFill="1" applyBorder="1" applyAlignment="1" applyProtection="1">
      <alignment vertical="center"/>
      <protection/>
    </xf>
    <xf numFmtId="2" fontId="50" fillId="0" borderId="50" xfId="44" applyNumberFormat="1" applyFont="1" applyFill="1" applyBorder="1" applyAlignment="1" applyProtection="1">
      <alignment horizontal="right" vertical="center"/>
      <protection/>
    </xf>
    <xf numFmtId="0" fontId="50" fillId="0" borderId="27" xfId="55" applyNumberFormat="1" applyFont="1" applyFill="1" applyBorder="1" applyAlignment="1">
      <alignment horizontal="left" vertical="center"/>
      <protection/>
    </xf>
    <xf numFmtId="0" fontId="50" fillId="0" borderId="27" xfId="55" applyFont="1" applyFill="1" applyBorder="1" applyAlignment="1">
      <alignment horizontal="left" vertical="center" shrinkToFit="1"/>
      <protection/>
    </xf>
    <xf numFmtId="0" fontId="50" fillId="0" borderId="27" xfId="55" applyFont="1" applyFill="1" applyBorder="1" applyAlignment="1">
      <alignment horizontal="left" vertical="center"/>
      <protection/>
    </xf>
    <xf numFmtId="0" fontId="50" fillId="0" borderId="27" xfId="55" applyFont="1" applyFill="1" applyBorder="1" applyAlignment="1">
      <alignment vertical="center"/>
      <protection/>
    </xf>
    <xf numFmtId="2" fontId="50" fillId="0" borderId="50" xfId="40" applyNumberFormat="1" applyFont="1" applyFill="1" applyBorder="1" applyAlignment="1" applyProtection="1">
      <alignment horizontal="right" vertical="center"/>
      <protection/>
    </xf>
    <xf numFmtId="0" fontId="50" fillId="0" borderId="27" xfId="0" applyFont="1" applyFill="1" applyBorder="1" applyAlignment="1" applyProtection="1">
      <alignment horizontal="left" vertical="center" shrinkToFit="1"/>
      <protection locked="0"/>
    </xf>
    <xf numFmtId="0" fontId="50" fillId="0" borderId="27" xfId="53" applyFont="1" applyFill="1" applyBorder="1" applyAlignment="1">
      <alignment horizontal="left" vertical="center"/>
      <protection/>
    </xf>
    <xf numFmtId="0" fontId="50" fillId="0" borderId="27" xfId="53" applyNumberFormat="1" applyFont="1" applyFill="1" applyBorder="1" applyAlignment="1">
      <alignment horizontal="left" vertical="center"/>
      <protection/>
    </xf>
    <xf numFmtId="2" fontId="50" fillId="0" borderId="50" xfId="53" applyNumberFormat="1" applyFont="1" applyFill="1" applyBorder="1" applyAlignment="1" applyProtection="1">
      <alignment horizontal="right" vertical="center"/>
      <protection/>
    </xf>
    <xf numFmtId="0" fontId="50" fillId="0" borderId="27" xfId="53" applyFont="1" applyFill="1" applyBorder="1" applyAlignment="1">
      <alignment vertical="center"/>
      <protection/>
    </xf>
    <xf numFmtId="0" fontId="50" fillId="0" borderId="27" xfId="54" applyFont="1" applyFill="1" applyBorder="1" applyAlignment="1">
      <alignment horizontal="left" vertical="center" shrinkToFit="1"/>
      <protection/>
    </xf>
    <xf numFmtId="0" fontId="50" fillId="34" borderId="27" xfId="0" applyFont="1" applyFill="1" applyBorder="1" applyAlignment="1">
      <alignment horizontal="left"/>
    </xf>
    <xf numFmtId="2" fontId="50" fillId="34" borderId="50" xfId="0" applyNumberFormat="1" applyFont="1" applyFill="1" applyBorder="1" applyAlignment="1">
      <alignment horizontal="right"/>
    </xf>
    <xf numFmtId="0" fontId="50" fillId="0" borderId="27" xfId="0" applyNumberFormat="1" applyFont="1" applyFill="1" applyBorder="1" applyAlignment="1">
      <alignment horizontal="left" vertical="center"/>
    </xf>
    <xf numFmtId="0" fontId="50" fillId="0" borderId="27" xfId="0" applyFont="1" applyFill="1" applyBorder="1" applyAlignment="1">
      <alignment horizontal="left" vertical="center"/>
    </xf>
    <xf numFmtId="2" fontId="50" fillId="0" borderId="50" xfId="68" applyNumberFormat="1" applyFont="1" applyBorder="1" applyAlignment="1" applyProtection="1">
      <alignment horizontal="right" vertical="center"/>
      <protection/>
    </xf>
    <xf numFmtId="212" fontId="50" fillId="0" borderId="27" xfId="0" applyNumberFormat="1" applyFont="1" applyFill="1" applyBorder="1" applyAlignment="1">
      <alignment vertical="center"/>
    </xf>
    <xf numFmtId="212" fontId="50" fillId="0" borderId="27" xfId="0" applyNumberFormat="1" applyFont="1" applyFill="1" applyBorder="1" applyAlignment="1">
      <alignment horizontal="left" vertical="center"/>
    </xf>
    <xf numFmtId="212" fontId="50" fillId="0" borderId="27" xfId="0" applyNumberFormat="1" applyFont="1" applyFill="1" applyBorder="1" applyAlignment="1">
      <alignment horizontal="left" vertical="center" shrinkToFit="1"/>
    </xf>
    <xf numFmtId="2" fontId="50" fillId="0" borderId="50" xfId="40" applyNumberFormat="1" applyFont="1" applyFill="1" applyBorder="1" applyAlignment="1" applyProtection="1">
      <alignment vertical="center"/>
      <protection/>
    </xf>
    <xf numFmtId="2" fontId="50" fillId="0" borderId="50" xfId="0" applyNumberFormat="1" applyFont="1" applyFill="1" applyBorder="1" applyAlignment="1" applyProtection="1">
      <alignment horizontal="right" vertical="center"/>
      <protection/>
    </xf>
    <xf numFmtId="0" fontId="50" fillId="0" borderId="51" xfId="0" applyFont="1" applyFill="1" applyBorder="1" applyAlignment="1">
      <alignment horizontal="left"/>
    </xf>
    <xf numFmtId="184" fontId="50" fillId="0" borderId="52" xfId="0" applyNumberFormat="1" applyFont="1" applyFill="1" applyBorder="1" applyAlignment="1">
      <alignment horizontal="center" wrapText="1"/>
    </xf>
    <xf numFmtId="14" fontId="50" fillId="0" borderId="52" xfId="0" applyNumberFormat="1" applyFont="1" applyFill="1" applyBorder="1" applyAlignment="1">
      <alignment horizontal="left"/>
    </xf>
    <xf numFmtId="0" fontId="50" fillId="0" borderId="52" xfId="0" applyFont="1" applyFill="1" applyBorder="1" applyAlignment="1">
      <alignment horizontal="right"/>
    </xf>
    <xf numFmtId="4" fontId="52" fillId="0" borderId="52" xfId="0" applyNumberFormat="1" applyFont="1" applyFill="1" applyBorder="1" applyAlignment="1">
      <alignment horizontal="right"/>
    </xf>
    <xf numFmtId="3" fontId="52" fillId="0" borderId="52" xfId="0" applyNumberFormat="1" applyFont="1" applyFill="1" applyBorder="1" applyAlignment="1">
      <alignment horizontal="right"/>
    </xf>
    <xf numFmtId="3" fontId="50" fillId="0" borderId="52" xfId="0" applyNumberFormat="1" applyFont="1" applyFill="1" applyBorder="1" applyAlignment="1">
      <alignment horizontal="right"/>
    </xf>
    <xf numFmtId="2" fontId="50" fillId="0" borderId="52" xfId="0" applyNumberFormat="1" applyFont="1" applyFill="1" applyBorder="1" applyAlignment="1">
      <alignment horizontal="right"/>
    </xf>
    <xf numFmtId="4" fontId="50" fillId="0" borderId="52" xfId="0" applyNumberFormat="1" applyFont="1" applyFill="1" applyBorder="1" applyAlignment="1">
      <alignment horizontal="right"/>
    </xf>
    <xf numFmtId="3" fontId="50" fillId="0" borderId="52" xfId="0" applyNumberFormat="1" applyFont="1" applyFill="1" applyBorder="1" applyAlignment="1">
      <alignment horizontal="right"/>
    </xf>
    <xf numFmtId="2" fontId="50" fillId="0" borderId="53" xfId="0" applyNumberFormat="1" applyFont="1" applyFill="1" applyBorder="1" applyAlignment="1">
      <alignment horizontal="right"/>
    </xf>
    <xf numFmtId="0" fontId="8" fillId="0" borderId="0" xfId="0" applyFont="1" applyFill="1" applyBorder="1" applyAlignment="1" applyProtection="1">
      <alignment horizontal="right" vertical="center"/>
      <protection locked="0"/>
    </xf>
    <xf numFmtId="0" fontId="50" fillId="0" borderId="16" xfId="0" applyFont="1" applyFill="1" applyBorder="1" applyAlignment="1">
      <alignment horizontal="left"/>
    </xf>
    <xf numFmtId="184" fontId="50" fillId="0" borderId="12" xfId="0" applyNumberFormat="1" applyFont="1" applyFill="1" applyBorder="1" applyAlignment="1">
      <alignment horizontal="center" wrapText="1"/>
    </xf>
    <xf numFmtId="14" fontId="50" fillId="0" borderId="12" xfId="0" applyNumberFormat="1" applyFont="1" applyFill="1" applyBorder="1" applyAlignment="1">
      <alignment horizontal="left"/>
    </xf>
    <xf numFmtId="0" fontId="50" fillId="0" borderId="12" xfId="0" applyFont="1" applyFill="1" applyBorder="1" applyAlignment="1">
      <alignment horizontal="right"/>
    </xf>
    <xf numFmtId="4" fontId="50" fillId="0" borderId="12" xfId="0" applyNumberFormat="1" applyFont="1" applyFill="1" applyBorder="1" applyAlignment="1">
      <alignment horizontal="right"/>
    </xf>
    <xf numFmtId="3" fontId="50" fillId="0" borderId="12" xfId="0" applyNumberFormat="1" applyFont="1" applyFill="1" applyBorder="1" applyAlignment="1">
      <alignment horizontal="right"/>
    </xf>
    <xf numFmtId="2" fontId="50" fillId="0" borderId="42" xfId="0" applyNumberFormat="1" applyFont="1" applyFill="1" applyBorder="1" applyAlignment="1">
      <alignment horizontal="right"/>
    </xf>
    <xf numFmtId="0" fontId="50" fillId="0" borderId="54" xfId="0" applyFont="1" applyFill="1" applyBorder="1" applyAlignment="1">
      <alignment horizontal="left"/>
    </xf>
    <xf numFmtId="184" fontId="50" fillId="0" borderId="35" xfId="0" applyNumberFormat="1" applyFont="1" applyFill="1" applyBorder="1" applyAlignment="1">
      <alignment horizontal="center" wrapText="1"/>
    </xf>
    <xf numFmtId="14" fontId="50" fillId="0" borderId="35" xfId="0" applyNumberFormat="1" applyFont="1" applyFill="1" applyBorder="1" applyAlignment="1">
      <alignment horizontal="left"/>
    </xf>
    <xf numFmtId="0" fontId="50" fillId="0" borderId="35" xfId="0" applyFont="1" applyFill="1" applyBorder="1" applyAlignment="1">
      <alignment horizontal="right"/>
    </xf>
    <xf numFmtId="4" fontId="50" fillId="0" borderId="35" xfId="0" applyNumberFormat="1" applyFont="1" applyFill="1" applyBorder="1" applyAlignment="1">
      <alignment horizontal="right"/>
    </xf>
    <xf numFmtId="3" fontId="50" fillId="0" borderId="35" xfId="0" applyNumberFormat="1" applyFont="1" applyFill="1" applyBorder="1" applyAlignment="1">
      <alignment horizontal="right"/>
    </xf>
    <xf numFmtId="2" fontId="50" fillId="0" borderId="55" xfId="0" applyNumberFormat="1" applyFont="1" applyFill="1" applyBorder="1" applyAlignment="1">
      <alignment horizontal="right"/>
    </xf>
    <xf numFmtId="0" fontId="38" fillId="0" borderId="56" xfId="0" applyFont="1" applyFill="1" applyBorder="1" applyAlignment="1">
      <alignment horizontal="right" vertical="center"/>
    </xf>
    <xf numFmtId="0" fontId="50" fillId="0" borderId="56" xfId="0" applyFont="1" applyFill="1" applyBorder="1" applyAlignment="1">
      <alignment horizontal="left" vertical="center"/>
    </xf>
    <xf numFmtId="184" fontId="50" fillId="0" borderId="56" xfId="0" applyNumberFormat="1" applyFont="1" applyFill="1" applyBorder="1" applyAlignment="1">
      <alignment horizontal="center" vertical="center"/>
    </xf>
    <xf numFmtId="0" fontId="50" fillId="0" borderId="56" xfId="0" applyFont="1" applyFill="1" applyBorder="1" applyAlignment="1">
      <alignment horizontal="right" vertical="center"/>
    </xf>
    <xf numFmtId="4" fontId="50" fillId="0" borderId="56" xfId="0" applyNumberFormat="1" applyFont="1" applyFill="1" applyBorder="1" applyAlignment="1">
      <alignment horizontal="right" vertical="center"/>
    </xf>
    <xf numFmtId="3" fontId="50" fillId="0" borderId="56" xfId="0" applyNumberFormat="1" applyFont="1" applyFill="1" applyBorder="1" applyAlignment="1">
      <alignment horizontal="right" vertical="center"/>
    </xf>
    <xf numFmtId="0" fontId="50" fillId="0" borderId="57" xfId="0" applyFont="1" applyFill="1" applyBorder="1" applyAlignment="1">
      <alignment horizontal="left" vertical="center"/>
    </xf>
    <xf numFmtId="2" fontId="50" fillId="0" borderId="58" xfId="43" applyNumberFormat="1" applyFont="1" applyFill="1" applyBorder="1" applyAlignment="1" applyProtection="1">
      <alignment horizontal="right" vertical="center"/>
      <protection/>
    </xf>
    <xf numFmtId="193" fontId="27" fillId="34" borderId="23" xfId="0" applyNumberFormat="1" applyFont="1" applyFill="1" applyBorder="1" applyAlignment="1" applyProtection="1">
      <alignment horizontal="right" vertical="center"/>
      <protection/>
    </xf>
    <xf numFmtId="0" fontId="49" fillId="34" borderId="0" xfId="0" applyFont="1" applyFill="1" applyBorder="1" applyAlignment="1">
      <alignment horizontal="right"/>
    </xf>
    <xf numFmtId="4" fontId="39" fillId="34" borderId="0" xfId="0" applyNumberFormat="1" applyFont="1" applyFill="1" applyBorder="1" applyAlignment="1">
      <alignment horizontal="right"/>
    </xf>
    <xf numFmtId="4" fontId="9" fillId="34" borderId="11" xfId="0" applyNumberFormat="1" applyFont="1" applyFill="1" applyBorder="1" applyAlignment="1">
      <alignment horizontal="right" vertical="center"/>
    </xf>
    <xf numFmtId="193" fontId="27" fillId="34" borderId="11" xfId="0" applyNumberFormat="1" applyFont="1" applyFill="1" applyBorder="1" applyAlignment="1">
      <alignment horizontal="right" vertical="center"/>
    </xf>
    <xf numFmtId="0" fontId="8" fillId="34" borderId="29" xfId="0" applyFont="1" applyFill="1" applyBorder="1" applyAlignment="1" applyProtection="1">
      <alignment horizontal="right" vertical="center"/>
      <protection locked="0"/>
    </xf>
    <xf numFmtId="0" fontId="8" fillId="34" borderId="29" xfId="0" applyFont="1" applyFill="1" applyBorder="1" applyAlignment="1">
      <alignment horizontal="right" vertical="center"/>
    </xf>
    <xf numFmtId="0" fontId="8" fillId="34" borderId="29" xfId="0" applyNumberFormat="1" applyFont="1" applyFill="1" applyBorder="1" applyAlignment="1" applyProtection="1">
      <alignment horizontal="right" vertical="center"/>
      <protection locked="0"/>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49" fillId="33" borderId="59" xfId="0" applyFont="1" applyFill="1" applyBorder="1" applyAlignment="1" applyProtection="1">
      <alignment horizontal="center" vertical="center"/>
      <protection/>
    </xf>
    <xf numFmtId="0" fontId="36" fillId="0" borderId="60" xfId="0" applyFont="1" applyBorder="1" applyAlignment="1">
      <alignment horizontal="center"/>
    </xf>
    <xf numFmtId="0" fontId="36" fillId="0" borderId="61" xfId="0" applyFont="1" applyBorder="1" applyAlignment="1">
      <alignment horizontal="center"/>
    </xf>
    <xf numFmtId="181" fontId="38" fillId="0" borderId="62" xfId="0" applyNumberFormat="1" applyFont="1" applyFill="1" applyBorder="1" applyAlignment="1" applyProtection="1">
      <alignment horizontal="center" wrapText="1"/>
      <protection/>
    </xf>
    <xf numFmtId="0" fontId="38" fillId="0" borderId="62" xfId="0" applyFont="1" applyBorder="1" applyAlignment="1">
      <alignment horizontal="center"/>
    </xf>
    <xf numFmtId="0" fontId="38" fillId="0" borderId="63" xfId="0" applyFont="1" applyBorder="1" applyAlignment="1">
      <alignment horizontal="center"/>
    </xf>
    <xf numFmtId="0" fontId="38" fillId="0" borderId="62" xfId="0" applyNumberFormat="1" applyFont="1" applyFill="1" applyBorder="1" applyAlignment="1" applyProtection="1">
      <alignment horizontal="center" wrapText="1"/>
      <protection/>
    </xf>
    <xf numFmtId="0" fontId="38" fillId="0" borderId="19" xfId="0" applyFont="1" applyBorder="1" applyAlignment="1">
      <alignment horizontal="center"/>
    </xf>
    <xf numFmtId="43" fontId="38" fillId="0" borderId="64" xfId="40" applyFont="1" applyFill="1" applyBorder="1" applyAlignment="1" applyProtection="1">
      <alignment horizontal="center" wrapText="1"/>
      <protection/>
    </xf>
    <xf numFmtId="0" fontId="38" fillId="0" borderId="65" xfId="0" applyFont="1" applyBorder="1" applyAlignment="1">
      <alignment horizontal="center"/>
    </xf>
    <xf numFmtId="0" fontId="38" fillId="0" borderId="62" xfId="0" applyFont="1" applyFill="1" applyBorder="1" applyAlignment="1" applyProtection="1">
      <alignment horizontal="center" wrapText="1"/>
      <protection/>
    </xf>
    <xf numFmtId="4" fontId="38" fillId="0" borderId="62" xfId="0" applyNumberFormat="1" applyFont="1" applyFill="1" applyBorder="1" applyAlignment="1" applyProtection="1">
      <alignment horizontal="center" wrapText="1"/>
      <protection/>
    </xf>
    <xf numFmtId="184" fontId="38" fillId="0" borderId="62" xfId="0" applyNumberFormat="1" applyFont="1" applyFill="1" applyBorder="1" applyAlignment="1" applyProtection="1">
      <alignment horizontal="center" wrapText="1"/>
      <protection/>
    </xf>
    <xf numFmtId="0" fontId="38" fillId="0" borderId="27"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0" fontId="38" fillId="0" borderId="0" xfId="0" applyNumberFormat="1" applyFont="1" applyFill="1" applyBorder="1" applyAlignment="1" applyProtection="1">
      <alignment horizontal="center" wrapText="1"/>
      <protection/>
    </xf>
    <xf numFmtId="192" fontId="38" fillId="0" borderId="50" xfId="0" applyNumberFormat="1" applyFont="1" applyFill="1" applyBorder="1" applyAlignment="1" applyProtection="1">
      <alignment horizontal="center"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2" fontId="38" fillId="0" borderId="62" xfId="0" applyNumberFormat="1" applyFont="1" applyFill="1" applyBorder="1" applyAlignment="1" applyProtection="1">
      <alignment horizontal="center" wrapText="1"/>
      <protection/>
    </xf>
    <xf numFmtId="2" fontId="38" fillId="0" borderId="63" xfId="0" applyNumberFormat="1" applyFont="1" applyFill="1" applyBorder="1" applyAlignment="1" applyProtection="1">
      <alignment horizontal="center" wrapText="1"/>
      <protection/>
    </xf>
    <xf numFmtId="0" fontId="49" fillId="33" borderId="52" xfId="0" applyFont="1" applyFill="1" applyBorder="1" applyAlignment="1" applyProtection="1">
      <alignment horizontal="center" vertical="center" wrapText="1"/>
      <protection/>
    </xf>
    <xf numFmtId="0" fontId="0" fillId="0" borderId="52" xfId="0" applyBorder="1" applyAlignment="1">
      <alignment horizontal="center" wrapText="1"/>
    </xf>
    <xf numFmtId="0" fontId="38" fillId="0" borderId="33" xfId="0" applyFont="1" applyBorder="1" applyAlignment="1">
      <alignment horizontal="center"/>
    </xf>
    <xf numFmtId="0" fontId="38" fillId="0" borderId="66" xfId="0" applyFont="1" applyBorder="1" applyAlignment="1">
      <alignment horizontal="center"/>
    </xf>
    <xf numFmtId="184" fontId="38" fillId="0" borderId="33" xfId="0" applyNumberFormat="1" applyFont="1" applyBorder="1" applyAlignment="1">
      <alignment horizontal="center"/>
    </xf>
    <xf numFmtId="0" fontId="38" fillId="0" borderId="33" xfId="0" applyFont="1" applyBorder="1" applyAlignment="1">
      <alignment horizont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2"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906375"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52950" y="600075"/>
          <a:ext cx="8382000"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11</a:t>
          </a:r>
          <a:r>
            <a:rPr lang="en-US" cap="none" sz="2000" b="0" i="0" u="none" baseline="0">
              <a:solidFill>
                <a:srgbClr val="000000"/>
              </a:solidFill>
              <a:latin typeface="Administer"/>
              <a:ea typeface="Administer"/>
              <a:cs typeface="Administer"/>
            </a:rPr>
            <a:t> 11 - 17 March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58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7710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- 17 March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- 17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85"/>
  <sheetViews>
    <sheetView showGridLines="0" tabSelected="1" zoomScale="94" zoomScaleNormal="94" zoomScalePageLayoutView="0" workbookViewId="0" topLeftCell="A1">
      <selection activeCell="C3" sqref="C3:C4"/>
    </sheetView>
  </sheetViews>
  <sheetFormatPr defaultColWidth="9.140625" defaultRowHeight="12.75"/>
  <cols>
    <col min="1" max="1" width="3.57421875" style="75" bestFit="1" customWidth="1"/>
    <col min="2" max="2" width="62.00390625" style="45" bestFit="1" customWidth="1"/>
    <col min="3" max="3" width="9.28125" style="46" bestFit="1" customWidth="1"/>
    <col min="4" max="4" width="22.7109375" style="47" bestFit="1" customWidth="1"/>
    <col min="5" max="5" width="7.28125" style="26" bestFit="1" customWidth="1"/>
    <col min="6" max="6" width="8.140625" style="26" customWidth="1"/>
    <col min="7" max="7" width="9.421875" style="26" customWidth="1"/>
    <col min="8" max="8" width="14.421875" style="42" bestFit="1" customWidth="1"/>
    <col min="9" max="9" width="9.140625" style="43" bestFit="1" customWidth="1"/>
    <col min="10" max="10" width="8.140625" style="29" customWidth="1"/>
    <col min="11" max="11" width="7.421875" style="30" bestFit="1" customWidth="1"/>
    <col min="12" max="12" width="14.421875" style="44" bestFit="1" customWidth="1"/>
    <col min="13" max="13" width="10.28125" style="32" bestFit="1" customWidth="1"/>
    <col min="14" max="14" width="7.7109375" style="60" customWidth="1"/>
    <col min="15" max="15" width="2.421875" style="65" bestFit="1" customWidth="1"/>
    <col min="16" max="16" width="2.28125" style="65" bestFit="1" customWidth="1"/>
    <col min="17" max="16384" width="9.140625" style="3" customWidth="1"/>
  </cols>
  <sheetData>
    <row r="1" spans="1:16" s="1" customFormat="1" ht="72" customHeight="1">
      <c r="A1" s="74"/>
      <c r="B1" s="48"/>
      <c r="C1" s="49"/>
      <c r="D1" s="50"/>
      <c r="E1" s="51"/>
      <c r="F1" s="51"/>
      <c r="G1" s="51"/>
      <c r="H1" s="52"/>
      <c r="I1" s="53"/>
      <c r="J1" s="54"/>
      <c r="K1" s="55"/>
      <c r="L1" s="56"/>
      <c r="M1" s="57"/>
      <c r="N1" s="58"/>
      <c r="O1" s="62"/>
      <c r="P1" s="62"/>
    </row>
    <row r="2" spans="1:16" s="5" customFormat="1" ht="22.5" customHeight="1" thickBot="1">
      <c r="A2" s="622" t="s">
        <v>69</v>
      </c>
      <c r="B2" s="623"/>
      <c r="C2" s="623"/>
      <c r="D2" s="623"/>
      <c r="E2" s="623"/>
      <c r="F2" s="623"/>
      <c r="G2" s="623"/>
      <c r="H2" s="623"/>
      <c r="I2" s="623"/>
      <c r="J2" s="623"/>
      <c r="K2" s="623"/>
      <c r="L2" s="623"/>
      <c r="M2" s="623"/>
      <c r="N2" s="624"/>
      <c r="O2" s="63"/>
      <c r="P2" s="63"/>
    </row>
    <row r="3" spans="1:16" s="86" customFormat="1" ht="12.75">
      <c r="A3" s="84"/>
      <c r="B3" s="630" t="s">
        <v>6</v>
      </c>
      <c r="C3" s="634" t="s">
        <v>43</v>
      </c>
      <c r="D3" s="632" t="s">
        <v>33</v>
      </c>
      <c r="E3" s="628" t="s">
        <v>44</v>
      </c>
      <c r="F3" s="628" t="s">
        <v>51</v>
      </c>
      <c r="G3" s="628" t="s">
        <v>32</v>
      </c>
      <c r="H3" s="633" t="s">
        <v>45</v>
      </c>
      <c r="I3" s="633"/>
      <c r="J3" s="633"/>
      <c r="K3" s="633"/>
      <c r="L3" s="625" t="s">
        <v>46</v>
      </c>
      <c r="M3" s="626"/>
      <c r="N3" s="627"/>
      <c r="O3" s="85"/>
      <c r="P3" s="85"/>
    </row>
    <row r="4" spans="1:16" s="86" customFormat="1" ht="39" thickBot="1">
      <c r="A4" s="87"/>
      <c r="B4" s="631"/>
      <c r="C4" s="629"/>
      <c r="D4" s="629"/>
      <c r="E4" s="629"/>
      <c r="F4" s="629"/>
      <c r="G4" s="629"/>
      <c r="H4" s="88" t="s">
        <v>47</v>
      </c>
      <c r="I4" s="89" t="s">
        <v>48</v>
      </c>
      <c r="J4" s="89" t="s">
        <v>38</v>
      </c>
      <c r="K4" s="90" t="s">
        <v>49</v>
      </c>
      <c r="L4" s="88" t="s">
        <v>47</v>
      </c>
      <c r="M4" s="89" t="s">
        <v>48</v>
      </c>
      <c r="N4" s="91" t="s">
        <v>50</v>
      </c>
      <c r="O4" s="85"/>
      <c r="P4" s="85"/>
    </row>
    <row r="5" spans="1:16" s="2" customFormat="1" ht="15">
      <c r="A5" s="92">
        <v>1</v>
      </c>
      <c r="B5" s="290" t="s">
        <v>194</v>
      </c>
      <c r="C5" s="291">
        <v>40613</v>
      </c>
      <c r="D5" s="292" t="s">
        <v>24</v>
      </c>
      <c r="E5" s="293">
        <v>280</v>
      </c>
      <c r="F5" s="293">
        <v>400</v>
      </c>
      <c r="G5" s="293">
        <v>1</v>
      </c>
      <c r="H5" s="294">
        <v>2402015</v>
      </c>
      <c r="I5" s="295">
        <v>264008</v>
      </c>
      <c r="J5" s="296">
        <f>I5/F5</f>
        <v>660.02</v>
      </c>
      <c r="K5" s="297">
        <f>H5/I5</f>
        <v>9.098265961637527</v>
      </c>
      <c r="L5" s="298">
        <v>2402015</v>
      </c>
      <c r="M5" s="299">
        <v>264008</v>
      </c>
      <c r="N5" s="300">
        <f>+L5/M5</f>
        <v>9.098265961637527</v>
      </c>
      <c r="O5" s="301">
        <v>1</v>
      </c>
      <c r="P5" s="220"/>
    </row>
    <row r="6" spans="1:16" s="2" customFormat="1" ht="15">
      <c r="A6" s="92">
        <v>2</v>
      </c>
      <c r="B6" s="209" t="s">
        <v>174</v>
      </c>
      <c r="C6" s="163">
        <v>40599</v>
      </c>
      <c r="D6" s="246" t="s">
        <v>24</v>
      </c>
      <c r="E6" s="245">
        <v>246</v>
      </c>
      <c r="F6" s="245">
        <v>246</v>
      </c>
      <c r="G6" s="245">
        <v>3</v>
      </c>
      <c r="H6" s="190">
        <v>1094786</v>
      </c>
      <c r="I6" s="178">
        <v>121529</v>
      </c>
      <c r="J6" s="165">
        <f>I6/F6</f>
        <v>494.020325203252</v>
      </c>
      <c r="K6" s="191">
        <f>H6/I6</f>
        <v>9.008434200890322</v>
      </c>
      <c r="L6" s="192">
        <v>6161472</v>
      </c>
      <c r="M6" s="164">
        <v>675673</v>
      </c>
      <c r="N6" s="210">
        <f>+L6/M6</f>
        <v>9.119014671298098</v>
      </c>
      <c r="O6" s="301">
        <v>1</v>
      </c>
      <c r="P6" s="220"/>
    </row>
    <row r="7" spans="1:16" s="2" customFormat="1" ht="15">
      <c r="A7" s="342">
        <v>3</v>
      </c>
      <c r="B7" s="343" t="s">
        <v>209</v>
      </c>
      <c r="C7" s="344">
        <v>40578</v>
      </c>
      <c r="D7" s="345" t="s">
        <v>23</v>
      </c>
      <c r="E7" s="346">
        <v>224</v>
      </c>
      <c r="F7" s="346">
        <v>224</v>
      </c>
      <c r="G7" s="346">
        <v>6</v>
      </c>
      <c r="H7" s="347">
        <v>969841</v>
      </c>
      <c r="I7" s="348">
        <v>110641</v>
      </c>
      <c r="J7" s="349">
        <f>I7/F7</f>
        <v>493.9330357142857</v>
      </c>
      <c r="K7" s="350">
        <f>+H7/I7</f>
        <v>8.765656492620277</v>
      </c>
      <c r="L7" s="351">
        <v>20484475</v>
      </c>
      <c r="M7" s="352">
        <v>2205612</v>
      </c>
      <c r="N7" s="353">
        <f>+L7/M7</f>
        <v>9.287433601195495</v>
      </c>
      <c r="O7" s="301">
        <v>1</v>
      </c>
      <c r="P7" s="220"/>
    </row>
    <row r="8" spans="1:16" s="2" customFormat="1" ht="15">
      <c r="A8" s="93">
        <v>4</v>
      </c>
      <c r="B8" s="332" t="s">
        <v>210</v>
      </c>
      <c r="C8" s="333">
        <v>40613</v>
      </c>
      <c r="D8" s="334" t="s">
        <v>17</v>
      </c>
      <c r="E8" s="335">
        <v>89</v>
      </c>
      <c r="F8" s="335">
        <v>89</v>
      </c>
      <c r="G8" s="335">
        <v>1</v>
      </c>
      <c r="H8" s="336">
        <v>621196.5</v>
      </c>
      <c r="I8" s="337">
        <v>55015</v>
      </c>
      <c r="J8" s="338">
        <f>IF(H8&lt;&gt;0,I8/F8,"")</f>
        <v>618.1460674157304</v>
      </c>
      <c r="K8" s="339">
        <f>IF(H8&lt;&gt;0,H8/I8,"")</f>
        <v>11.291402344815051</v>
      </c>
      <c r="L8" s="340">
        <v>621196.5</v>
      </c>
      <c r="M8" s="288">
        <v>55015</v>
      </c>
      <c r="N8" s="341">
        <f>IF(L8&lt;&gt;0,L8/M8,"")</f>
        <v>11.291402344815051</v>
      </c>
      <c r="O8" s="301"/>
      <c r="P8" s="220"/>
    </row>
    <row r="9" spans="1:16" s="4" customFormat="1" ht="15">
      <c r="A9" s="92">
        <v>5</v>
      </c>
      <c r="B9" s="258" t="s">
        <v>211</v>
      </c>
      <c r="C9" s="315">
        <v>40606</v>
      </c>
      <c r="D9" s="311" t="s">
        <v>17</v>
      </c>
      <c r="E9" s="312">
        <v>152</v>
      </c>
      <c r="F9" s="312">
        <v>158</v>
      </c>
      <c r="G9" s="312">
        <v>2</v>
      </c>
      <c r="H9" s="199">
        <v>602581.25</v>
      </c>
      <c r="I9" s="183">
        <v>67997</v>
      </c>
      <c r="J9" s="313">
        <f>IF(H9&lt;&gt;0,I9/F9,"")</f>
        <v>430.3607594936709</v>
      </c>
      <c r="K9" s="314">
        <f>IF(H9&lt;&gt;0,H9/I9,"")</f>
        <v>8.861879935879523</v>
      </c>
      <c r="L9" s="200">
        <f>1064857.25+602581.25</f>
        <v>1667438.5</v>
      </c>
      <c r="M9" s="167">
        <f>118954+67997</f>
        <v>186951</v>
      </c>
      <c r="N9" s="319">
        <f>IF(L9&lt;&gt;0,L9/M9,"")</f>
        <v>8.919120518210654</v>
      </c>
      <c r="O9" s="301">
        <v>1</v>
      </c>
      <c r="P9" s="220"/>
    </row>
    <row r="10" spans="1:16" s="4" customFormat="1" ht="15">
      <c r="A10" s="92">
        <v>6</v>
      </c>
      <c r="B10" s="213" t="s">
        <v>228</v>
      </c>
      <c r="C10" s="163">
        <v>40613</v>
      </c>
      <c r="D10" s="234" t="s">
        <v>25</v>
      </c>
      <c r="E10" s="233">
        <v>105</v>
      </c>
      <c r="F10" s="233">
        <v>105</v>
      </c>
      <c r="G10" s="233">
        <v>1</v>
      </c>
      <c r="H10" s="204">
        <v>493990</v>
      </c>
      <c r="I10" s="181">
        <v>51293</v>
      </c>
      <c r="J10" s="174">
        <f>I10/F10</f>
        <v>488.5047619047619</v>
      </c>
      <c r="K10" s="205">
        <f>H10/I10</f>
        <v>9.6307488351237</v>
      </c>
      <c r="L10" s="206">
        <v>493990</v>
      </c>
      <c r="M10" s="173">
        <v>51293</v>
      </c>
      <c r="N10" s="217">
        <f>+L10/M10</f>
        <v>9.6307488351237</v>
      </c>
      <c r="O10" s="301">
        <v>1</v>
      </c>
      <c r="P10" s="220"/>
    </row>
    <row r="11" spans="1:16" s="4" customFormat="1" ht="15">
      <c r="A11" s="92">
        <v>7</v>
      </c>
      <c r="B11" s="320" t="s">
        <v>217</v>
      </c>
      <c r="C11" s="302">
        <v>40606</v>
      </c>
      <c r="D11" s="303" t="s">
        <v>23</v>
      </c>
      <c r="E11" s="304">
        <v>93</v>
      </c>
      <c r="F11" s="304">
        <v>92</v>
      </c>
      <c r="G11" s="304">
        <v>2</v>
      </c>
      <c r="H11" s="305">
        <v>371459</v>
      </c>
      <c r="I11" s="306">
        <v>32215</v>
      </c>
      <c r="J11" s="310">
        <f>I11/F11</f>
        <v>350.1630434782609</v>
      </c>
      <c r="K11" s="308">
        <f>+H11/I11</f>
        <v>11.530622380878473</v>
      </c>
      <c r="L11" s="309">
        <v>964150</v>
      </c>
      <c r="M11" s="316">
        <v>83176</v>
      </c>
      <c r="N11" s="318">
        <f>+L11/M11</f>
        <v>11.591685101471578</v>
      </c>
      <c r="O11" s="301"/>
      <c r="P11" s="220"/>
    </row>
    <row r="12" spans="1:16" s="4" customFormat="1" ht="15">
      <c r="A12" s="93">
        <v>8</v>
      </c>
      <c r="B12" s="207" t="s">
        <v>172</v>
      </c>
      <c r="C12" s="166">
        <v>40599</v>
      </c>
      <c r="D12" s="244" t="s">
        <v>119</v>
      </c>
      <c r="E12" s="243">
        <v>58</v>
      </c>
      <c r="F12" s="243">
        <v>58</v>
      </c>
      <c r="G12" s="243">
        <v>3</v>
      </c>
      <c r="H12" s="193">
        <v>355755.95</v>
      </c>
      <c r="I12" s="179">
        <v>29350</v>
      </c>
      <c r="J12" s="172">
        <f>(I12/F12)</f>
        <v>506.0344827586207</v>
      </c>
      <c r="K12" s="194">
        <f>H12/I12</f>
        <v>12.121156729131176</v>
      </c>
      <c r="L12" s="195">
        <f>949627.55+646695.25+355755.95</f>
        <v>1952078.75</v>
      </c>
      <c r="M12" s="171">
        <f>77399+54036+29350</f>
        <v>160785</v>
      </c>
      <c r="N12" s="212">
        <f>L12/M12</f>
        <v>12.140925770438784</v>
      </c>
      <c r="O12" s="301"/>
      <c r="P12" s="220"/>
    </row>
    <row r="13" spans="1:16" s="4" customFormat="1" ht="15">
      <c r="A13" s="92">
        <v>9</v>
      </c>
      <c r="B13" s="317" t="s">
        <v>212</v>
      </c>
      <c r="C13" s="302">
        <v>40606</v>
      </c>
      <c r="D13" s="303" t="s">
        <v>23</v>
      </c>
      <c r="E13" s="304">
        <v>104</v>
      </c>
      <c r="F13" s="304">
        <v>105</v>
      </c>
      <c r="G13" s="304">
        <v>2</v>
      </c>
      <c r="H13" s="305">
        <v>349256</v>
      </c>
      <c r="I13" s="306">
        <v>33653</v>
      </c>
      <c r="J13" s="307">
        <f>I13/F13</f>
        <v>320.5047619047619</v>
      </c>
      <c r="K13" s="308">
        <f>+H13/I13</f>
        <v>10.378153507859626</v>
      </c>
      <c r="L13" s="309">
        <v>962001</v>
      </c>
      <c r="M13" s="310">
        <v>91718</v>
      </c>
      <c r="N13" s="318">
        <f>+L13/M13</f>
        <v>10.488682701323622</v>
      </c>
      <c r="O13" s="301"/>
      <c r="P13" s="220"/>
    </row>
    <row r="14" spans="1:16" s="4" customFormat="1" ht="15">
      <c r="A14" s="92">
        <v>10</v>
      </c>
      <c r="B14" s="317" t="s">
        <v>175</v>
      </c>
      <c r="C14" s="302">
        <v>40592</v>
      </c>
      <c r="D14" s="303" t="s">
        <v>23</v>
      </c>
      <c r="E14" s="304">
        <v>27</v>
      </c>
      <c r="F14" s="304">
        <v>27</v>
      </c>
      <c r="G14" s="304">
        <v>4</v>
      </c>
      <c r="H14" s="305">
        <v>229557</v>
      </c>
      <c r="I14" s="306">
        <v>17461</v>
      </c>
      <c r="J14" s="307">
        <f>I14/F14</f>
        <v>646.7037037037037</v>
      </c>
      <c r="K14" s="308">
        <f>+H14/I14</f>
        <v>13.146841532558273</v>
      </c>
      <c r="L14" s="309">
        <v>1687039</v>
      </c>
      <c r="M14" s="310">
        <v>126999</v>
      </c>
      <c r="N14" s="318">
        <f>+L14/M14</f>
        <v>13.283876250994103</v>
      </c>
      <c r="O14" s="301"/>
      <c r="P14" s="220"/>
    </row>
    <row r="15" spans="1:16" s="4" customFormat="1" ht="15">
      <c r="A15" s="92">
        <v>11</v>
      </c>
      <c r="B15" s="215" t="s">
        <v>195</v>
      </c>
      <c r="C15" s="177">
        <v>40613</v>
      </c>
      <c r="D15" s="244" t="s">
        <v>119</v>
      </c>
      <c r="E15" s="249">
        <v>22</v>
      </c>
      <c r="F15" s="249">
        <v>22</v>
      </c>
      <c r="G15" s="249">
        <v>1</v>
      </c>
      <c r="H15" s="193">
        <v>116753</v>
      </c>
      <c r="I15" s="179">
        <v>8727</v>
      </c>
      <c r="J15" s="172">
        <f>(I15/F15)</f>
        <v>396.6818181818182</v>
      </c>
      <c r="K15" s="194">
        <f>H15/I15</f>
        <v>13.378365990603873</v>
      </c>
      <c r="L15" s="195">
        <f>116753</f>
        <v>116753</v>
      </c>
      <c r="M15" s="171">
        <f>8727</f>
        <v>8727</v>
      </c>
      <c r="N15" s="212">
        <f>L15/M15</f>
        <v>13.378365990603873</v>
      </c>
      <c r="O15" s="301"/>
      <c r="P15" s="220"/>
    </row>
    <row r="16" spans="1:16" s="4" customFormat="1" ht="15">
      <c r="A16" s="93">
        <v>12</v>
      </c>
      <c r="B16" s="317" t="s">
        <v>213</v>
      </c>
      <c r="C16" s="302">
        <v>40606</v>
      </c>
      <c r="D16" s="303" t="s">
        <v>23</v>
      </c>
      <c r="E16" s="304">
        <v>52</v>
      </c>
      <c r="F16" s="304">
        <v>40</v>
      </c>
      <c r="G16" s="304">
        <v>2</v>
      </c>
      <c r="H16" s="305">
        <v>93381</v>
      </c>
      <c r="I16" s="306">
        <v>7375</v>
      </c>
      <c r="J16" s="307">
        <f>I16/F16</f>
        <v>184.375</v>
      </c>
      <c r="K16" s="308">
        <f>+H16/I16</f>
        <v>12.661830508474576</v>
      </c>
      <c r="L16" s="309">
        <v>319572</v>
      </c>
      <c r="M16" s="310">
        <v>25372</v>
      </c>
      <c r="N16" s="318">
        <f>+L16/M16</f>
        <v>12.595459561721583</v>
      </c>
      <c r="O16" s="301"/>
      <c r="P16" s="220"/>
    </row>
    <row r="17" spans="1:16" s="4" customFormat="1" ht="15">
      <c r="A17" s="92">
        <v>13</v>
      </c>
      <c r="B17" s="207" t="s">
        <v>218</v>
      </c>
      <c r="C17" s="166">
        <v>40613</v>
      </c>
      <c r="D17" s="244" t="s">
        <v>119</v>
      </c>
      <c r="E17" s="243">
        <v>25</v>
      </c>
      <c r="F17" s="243">
        <v>25</v>
      </c>
      <c r="G17" s="243">
        <v>1</v>
      </c>
      <c r="H17" s="193">
        <v>75934</v>
      </c>
      <c r="I17" s="179">
        <v>9554</v>
      </c>
      <c r="J17" s="172">
        <f>(I17/F17)</f>
        <v>382.16</v>
      </c>
      <c r="K17" s="194">
        <f>H17/I17</f>
        <v>7.947875235503454</v>
      </c>
      <c r="L17" s="195">
        <f>75934</f>
        <v>75934</v>
      </c>
      <c r="M17" s="171">
        <f>9554</f>
        <v>9554</v>
      </c>
      <c r="N17" s="212">
        <f>L17/M17</f>
        <v>7.947875235503454</v>
      </c>
      <c r="O17" s="301">
        <v>1</v>
      </c>
      <c r="P17" s="220"/>
    </row>
    <row r="18" spans="1:16" s="4" customFormat="1" ht="15">
      <c r="A18" s="92">
        <v>14</v>
      </c>
      <c r="B18" s="211" t="s">
        <v>196</v>
      </c>
      <c r="C18" s="175">
        <v>40613</v>
      </c>
      <c r="D18" s="248" t="s">
        <v>171</v>
      </c>
      <c r="E18" s="243">
        <v>25</v>
      </c>
      <c r="F18" s="243">
        <v>25</v>
      </c>
      <c r="G18" s="243">
        <v>1</v>
      </c>
      <c r="H18" s="201">
        <v>64211.5</v>
      </c>
      <c r="I18" s="180">
        <v>7042</v>
      </c>
      <c r="J18" s="168">
        <f>I18/F18</f>
        <v>281.68</v>
      </c>
      <c r="K18" s="202">
        <f>H18/I18</f>
        <v>9.118361261005397</v>
      </c>
      <c r="L18" s="203">
        <v>64211.5</v>
      </c>
      <c r="M18" s="168">
        <v>7042</v>
      </c>
      <c r="N18" s="216">
        <f>L18/M18</f>
        <v>9.118361261005397</v>
      </c>
      <c r="O18" s="301">
        <v>1</v>
      </c>
      <c r="P18" s="220"/>
    </row>
    <row r="19" spans="1:16" s="4" customFormat="1" ht="15">
      <c r="A19" s="92">
        <v>15</v>
      </c>
      <c r="B19" s="215" t="s">
        <v>153</v>
      </c>
      <c r="C19" s="166">
        <v>40585</v>
      </c>
      <c r="D19" s="244" t="s">
        <v>119</v>
      </c>
      <c r="E19" s="243">
        <v>58</v>
      </c>
      <c r="F19" s="243">
        <v>43</v>
      </c>
      <c r="G19" s="243">
        <v>5</v>
      </c>
      <c r="H19" s="193">
        <v>64189.5</v>
      </c>
      <c r="I19" s="179">
        <v>9581</v>
      </c>
      <c r="J19" s="172">
        <f>(I19/F19)</f>
        <v>222.8139534883721</v>
      </c>
      <c r="K19" s="194">
        <f>H19/I19</f>
        <v>6.699666005636155</v>
      </c>
      <c r="L19" s="195">
        <f>236018+209847.25+105622+138051.5+64189.5</f>
        <v>753728.25</v>
      </c>
      <c r="M19" s="171">
        <f>25731+24506+13184+19079+9581</f>
        <v>92081</v>
      </c>
      <c r="N19" s="212">
        <f>L19/M19</f>
        <v>8.185491578067136</v>
      </c>
      <c r="O19" s="301">
        <v>1</v>
      </c>
      <c r="P19" s="220"/>
    </row>
    <row r="20" spans="1:16" s="4" customFormat="1" ht="15">
      <c r="A20" s="93">
        <v>16</v>
      </c>
      <c r="B20" s="209" t="s">
        <v>128</v>
      </c>
      <c r="C20" s="163">
        <v>40564</v>
      </c>
      <c r="D20" s="246" t="s">
        <v>24</v>
      </c>
      <c r="E20" s="245">
        <v>109</v>
      </c>
      <c r="F20" s="245">
        <v>62</v>
      </c>
      <c r="G20" s="245">
        <v>8</v>
      </c>
      <c r="H20" s="190">
        <v>49748</v>
      </c>
      <c r="I20" s="178">
        <v>8755</v>
      </c>
      <c r="J20" s="165">
        <f>I20/F20</f>
        <v>141.20967741935485</v>
      </c>
      <c r="K20" s="191">
        <f>H20/I20</f>
        <v>5.682238720731011</v>
      </c>
      <c r="L20" s="192">
        <v>3897836</v>
      </c>
      <c r="M20" s="164">
        <v>386480</v>
      </c>
      <c r="N20" s="210">
        <f>+L20/M20</f>
        <v>10.085479196853653</v>
      </c>
      <c r="O20" s="301"/>
      <c r="P20" s="220"/>
    </row>
    <row r="21" spans="1:16" s="4" customFormat="1" ht="15">
      <c r="A21" s="92">
        <v>17</v>
      </c>
      <c r="B21" s="215" t="s">
        <v>173</v>
      </c>
      <c r="C21" s="166">
        <v>40599</v>
      </c>
      <c r="D21" s="244" t="s">
        <v>119</v>
      </c>
      <c r="E21" s="243">
        <v>60</v>
      </c>
      <c r="F21" s="243">
        <v>38</v>
      </c>
      <c r="G21" s="243">
        <v>3</v>
      </c>
      <c r="H21" s="193">
        <v>36076.25</v>
      </c>
      <c r="I21" s="179">
        <v>3670</v>
      </c>
      <c r="J21" s="172">
        <f>(I21/F21)</f>
        <v>96.57894736842105</v>
      </c>
      <c r="K21" s="194">
        <f>H21/I21</f>
        <v>9.830040871934605</v>
      </c>
      <c r="L21" s="195">
        <f>324952+205669.75+36076.25</f>
        <v>566698</v>
      </c>
      <c r="M21" s="171">
        <f>28582+18445+3670</f>
        <v>50697</v>
      </c>
      <c r="N21" s="212">
        <f>L21/M21</f>
        <v>11.178136773379096</v>
      </c>
      <c r="O21" s="301"/>
      <c r="P21" s="220"/>
    </row>
    <row r="22" spans="1:16" s="4" customFormat="1" ht="15">
      <c r="A22" s="92">
        <v>18</v>
      </c>
      <c r="B22" s="258" t="s">
        <v>141</v>
      </c>
      <c r="C22" s="315">
        <v>40578</v>
      </c>
      <c r="D22" s="311" t="s">
        <v>17</v>
      </c>
      <c r="E22" s="312">
        <v>79</v>
      </c>
      <c r="F22" s="312">
        <v>22</v>
      </c>
      <c r="G22" s="312">
        <v>6</v>
      </c>
      <c r="H22" s="199">
        <v>22643</v>
      </c>
      <c r="I22" s="183">
        <v>2692</v>
      </c>
      <c r="J22" s="170">
        <f>IF(H22&lt;&gt;0,I22/F22,"")</f>
        <v>122.36363636363636</v>
      </c>
      <c r="K22" s="197">
        <f>IF(H22&lt;&gt;0,H22/I22,"")</f>
        <v>8.411218424962852</v>
      </c>
      <c r="L22" s="200">
        <f>1249630.5+757498.5+406869.5+134568.5+85119.5+22643</f>
        <v>2656329.5</v>
      </c>
      <c r="M22" s="167">
        <f>100473+61059+33287+10889+9516+2692</f>
        <v>217916</v>
      </c>
      <c r="N22" s="214">
        <f>IF(L22&lt;&gt;0,L22/M22,"")</f>
        <v>12.189694652985555</v>
      </c>
      <c r="O22" s="301"/>
      <c r="P22" s="220"/>
    </row>
    <row r="23" spans="1:16" s="4" customFormat="1" ht="15">
      <c r="A23" s="92">
        <v>19</v>
      </c>
      <c r="B23" s="317" t="s">
        <v>214</v>
      </c>
      <c r="C23" s="302">
        <v>40550</v>
      </c>
      <c r="D23" s="303" t="s">
        <v>23</v>
      </c>
      <c r="E23" s="304">
        <v>356</v>
      </c>
      <c r="F23" s="304">
        <v>42</v>
      </c>
      <c r="G23" s="304">
        <v>10</v>
      </c>
      <c r="H23" s="305">
        <v>18723</v>
      </c>
      <c r="I23" s="306">
        <v>2404</v>
      </c>
      <c r="J23" s="307">
        <f>I23/F23</f>
        <v>57.23809523809524</v>
      </c>
      <c r="K23" s="308">
        <f>+H23/I23</f>
        <v>7.788269550748752</v>
      </c>
      <c r="L23" s="309">
        <v>36500480</v>
      </c>
      <c r="M23" s="310">
        <v>3910639</v>
      </c>
      <c r="N23" s="318">
        <f>+L23/M23</f>
        <v>9.333635756202503</v>
      </c>
      <c r="O23" s="301">
        <v>1</v>
      </c>
      <c r="P23" s="220"/>
    </row>
    <row r="24" spans="1:16" s="4" customFormat="1" ht="15">
      <c r="A24" s="93">
        <v>20</v>
      </c>
      <c r="B24" s="207" t="s">
        <v>198</v>
      </c>
      <c r="C24" s="166">
        <v>40571</v>
      </c>
      <c r="D24" s="244" t="s">
        <v>26</v>
      </c>
      <c r="E24" s="243">
        <v>364</v>
      </c>
      <c r="F24" s="243">
        <v>19</v>
      </c>
      <c r="G24" s="243">
        <v>7</v>
      </c>
      <c r="H24" s="188">
        <v>17848</v>
      </c>
      <c r="I24" s="180">
        <v>2952</v>
      </c>
      <c r="J24" s="172">
        <f>(I24/F24)</f>
        <v>155.3684210526316</v>
      </c>
      <c r="K24" s="194">
        <f>H24/I24</f>
        <v>6.046070460704607</v>
      </c>
      <c r="L24" s="189">
        <f>9270289+4217769.25+1762200.5+76.25+863944.5+635392-7+421743.5+30+17848</f>
        <v>17189286</v>
      </c>
      <c r="M24" s="167">
        <f>1060415+493112+207846+16+104665+81570-1+60457+6+2952</f>
        <v>2011038</v>
      </c>
      <c r="N24" s="212">
        <f>L24/M24</f>
        <v>8.547469515742616</v>
      </c>
      <c r="O24" s="301">
        <v>1</v>
      </c>
      <c r="P24" s="220"/>
    </row>
    <row r="25" spans="1:16" s="4" customFormat="1" ht="15">
      <c r="A25" s="93">
        <v>21</v>
      </c>
      <c r="B25" s="317" t="s">
        <v>215</v>
      </c>
      <c r="C25" s="302">
        <v>40592</v>
      </c>
      <c r="D25" s="303" t="s">
        <v>23</v>
      </c>
      <c r="E25" s="304">
        <v>80</v>
      </c>
      <c r="F25" s="304">
        <v>16</v>
      </c>
      <c r="G25" s="304">
        <v>4</v>
      </c>
      <c r="H25" s="305">
        <v>14871</v>
      </c>
      <c r="I25" s="306">
        <v>1683</v>
      </c>
      <c r="J25" s="307">
        <f>I25/F25</f>
        <v>105.1875</v>
      </c>
      <c r="K25" s="308">
        <f>+H25/I25</f>
        <v>8.836007130124777</v>
      </c>
      <c r="L25" s="309">
        <v>512484</v>
      </c>
      <c r="M25" s="310">
        <v>58562</v>
      </c>
      <c r="N25" s="318">
        <f>+L25/M25</f>
        <v>8.751135548649295</v>
      </c>
      <c r="O25" s="301">
        <v>1</v>
      </c>
      <c r="P25" s="220"/>
    </row>
    <row r="26" spans="1:16" s="4" customFormat="1" ht="15">
      <c r="A26" s="92">
        <v>22</v>
      </c>
      <c r="B26" s="317" t="s">
        <v>176</v>
      </c>
      <c r="C26" s="302">
        <v>40599</v>
      </c>
      <c r="D26" s="303" t="s">
        <v>23</v>
      </c>
      <c r="E26" s="304">
        <v>30</v>
      </c>
      <c r="F26" s="304">
        <v>13</v>
      </c>
      <c r="G26" s="304">
        <v>3</v>
      </c>
      <c r="H26" s="305">
        <v>12238</v>
      </c>
      <c r="I26" s="306">
        <v>1059</v>
      </c>
      <c r="J26" s="307">
        <f>I26/F26</f>
        <v>81.46153846153847</v>
      </c>
      <c r="K26" s="308">
        <f>+H26/I26</f>
        <v>11.5561850802644</v>
      </c>
      <c r="L26" s="309">
        <v>267582</v>
      </c>
      <c r="M26" s="310">
        <v>21631</v>
      </c>
      <c r="N26" s="318">
        <f>+L26/M26</f>
        <v>12.370301881558873</v>
      </c>
      <c r="O26" s="301"/>
      <c r="P26" s="220"/>
    </row>
    <row r="27" spans="1:16" s="4" customFormat="1" ht="15">
      <c r="A27" s="92">
        <v>23</v>
      </c>
      <c r="B27" s="209" t="s">
        <v>148</v>
      </c>
      <c r="C27" s="163">
        <v>40585</v>
      </c>
      <c r="D27" s="246" t="s">
        <v>24</v>
      </c>
      <c r="E27" s="245">
        <v>89</v>
      </c>
      <c r="F27" s="245">
        <v>18</v>
      </c>
      <c r="G27" s="245">
        <v>5</v>
      </c>
      <c r="H27" s="190">
        <v>11271</v>
      </c>
      <c r="I27" s="178">
        <v>2026</v>
      </c>
      <c r="J27" s="165">
        <f>I27/F27</f>
        <v>112.55555555555556</v>
      </c>
      <c r="K27" s="191">
        <f>H27/I27</f>
        <v>5.563178677196446</v>
      </c>
      <c r="L27" s="192">
        <v>1414660</v>
      </c>
      <c r="M27" s="164">
        <v>141159</v>
      </c>
      <c r="N27" s="210">
        <f>+L27/M27</f>
        <v>10.021748524713267</v>
      </c>
      <c r="O27" s="301"/>
      <c r="P27" s="220"/>
    </row>
    <row r="28" spans="1:16" s="4" customFormat="1" ht="15">
      <c r="A28" s="92">
        <v>24</v>
      </c>
      <c r="B28" s="207" t="s">
        <v>199</v>
      </c>
      <c r="C28" s="166">
        <v>40606</v>
      </c>
      <c r="D28" s="244" t="s">
        <v>26</v>
      </c>
      <c r="E28" s="243">
        <v>30</v>
      </c>
      <c r="F28" s="243">
        <v>27</v>
      </c>
      <c r="G28" s="243">
        <v>2</v>
      </c>
      <c r="H28" s="188">
        <v>10137</v>
      </c>
      <c r="I28" s="180">
        <v>1660</v>
      </c>
      <c r="J28" s="172">
        <f>(I28/F28)</f>
        <v>61.48148148148148</v>
      </c>
      <c r="K28" s="194">
        <f>H28/I28</f>
        <v>6.106626506024097</v>
      </c>
      <c r="L28" s="189">
        <f>19586+10137</f>
        <v>29723</v>
      </c>
      <c r="M28" s="167">
        <f>3031+1660</f>
        <v>4691</v>
      </c>
      <c r="N28" s="212">
        <f>L28/M28</f>
        <v>6.336175655510552</v>
      </c>
      <c r="O28" s="301">
        <v>1</v>
      </c>
      <c r="P28" s="220"/>
    </row>
    <row r="29" spans="1:16" s="4" customFormat="1" ht="15">
      <c r="A29" s="93">
        <v>25</v>
      </c>
      <c r="B29" s="209" t="s">
        <v>145</v>
      </c>
      <c r="C29" s="163">
        <v>40389</v>
      </c>
      <c r="D29" s="246" t="s">
        <v>24</v>
      </c>
      <c r="E29" s="245">
        <v>139</v>
      </c>
      <c r="F29" s="245">
        <v>1</v>
      </c>
      <c r="G29" s="245">
        <v>23</v>
      </c>
      <c r="H29" s="190">
        <v>9523</v>
      </c>
      <c r="I29" s="178">
        <v>1587</v>
      </c>
      <c r="J29" s="165">
        <f>I29/F29</f>
        <v>1587</v>
      </c>
      <c r="K29" s="191">
        <f>H29/I29</f>
        <v>6.000630119722747</v>
      </c>
      <c r="L29" s="192">
        <v>11041118</v>
      </c>
      <c r="M29" s="164">
        <v>1103147</v>
      </c>
      <c r="N29" s="210">
        <f>+L29/M29</f>
        <v>10.008745887900705</v>
      </c>
      <c r="O29" s="301"/>
      <c r="P29" s="220"/>
    </row>
    <row r="30" spans="1:16" s="4" customFormat="1" ht="15">
      <c r="A30" s="93">
        <v>26</v>
      </c>
      <c r="B30" s="207" t="s">
        <v>138</v>
      </c>
      <c r="C30" s="166">
        <v>40571</v>
      </c>
      <c r="D30" s="244" t="s">
        <v>103</v>
      </c>
      <c r="E30" s="243">
        <v>20</v>
      </c>
      <c r="F30" s="243">
        <v>6</v>
      </c>
      <c r="G30" s="243">
        <v>7</v>
      </c>
      <c r="H30" s="236">
        <v>8519</v>
      </c>
      <c r="I30" s="237">
        <v>1479</v>
      </c>
      <c r="J30" s="253">
        <v>246.5</v>
      </c>
      <c r="K30" s="254">
        <v>5.759972954699121</v>
      </c>
      <c r="L30" s="239">
        <v>755747</v>
      </c>
      <c r="M30" s="238">
        <v>61406</v>
      </c>
      <c r="N30" s="271">
        <v>12.307380386281471</v>
      </c>
      <c r="O30" s="301"/>
      <c r="P30" s="220"/>
    </row>
    <row r="31" spans="1:16" s="4" customFormat="1" ht="15">
      <c r="A31" s="92">
        <v>27</v>
      </c>
      <c r="B31" s="207" t="s">
        <v>165</v>
      </c>
      <c r="C31" s="166">
        <v>40592</v>
      </c>
      <c r="D31" s="244" t="s">
        <v>119</v>
      </c>
      <c r="E31" s="243">
        <v>26</v>
      </c>
      <c r="F31" s="243">
        <v>12</v>
      </c>
      <c r="G31" s="243">
        <v>4</v>
      </c>
      <c r="H31" s="193">
        <v>7609</v>
      </c>
      <c r="I31" s="179">
        <v>1420</v>
      </c>
      <c r="J31" s="172">
        <f>(I31/F31)</f>
        <v>118.33333333333333</v>
      </c>
      <c r="K31" s="194">
        <f>H31/I31</f>
        <v>5.358450704225352</v>
      </c>
      <c r="L31" s="195">
        <f>237198+117355.25+39279+7609</f>
        <v>401441.25</v>
      </c>
      <c r="M31" s="171">
        <f>20106+9312+4270+1420</f>
        <v>35108</v>
      </c>
      <c r="N31" s="212">
        <f>L31/M31</f>
        <v>11.434466503361058</v>
      </c>
      <c r="O31" s="301"/>
      <c r="P31" s="220"/>
    </row>
    <row r="32" spans="1:16" s="4" customFormat="1" ht="15">
      <c r="A32" s="92">
        <v>28</v>
      </c>
      <c r="B32" s="213" t="s">
        <v>116</v>
      </c>
      <c r="C32" s="163">
        <v>40557</v>
      </c>
      <c r="D32" s="247" t="s">
        <v>27</v>
      </c>
      <c r="E32" s="233">
        <v>66</v>
      </c>
      <c r="F32" s="233">
        <v>7</v>
      </c>
      <c r="G32" s="233">
        <v>9</v>
      </c>
      <c r="H32" s="196">
        <v>6294</v>
      </c>
      <c r="I32" s="182">
        <v>1377</v>
      </c>
      <c r="J32" s="170">
        <f>+I32/F32</f>
        <v>196.71428571428572</v>
      </c>
      <c r="K32" s="197">
        <f>+H32/I32</f>
        <v>4.570806100217865</v>
      </c>
      <c r="L32" s="198">
        <v>2595033</v>
      </c>
      <c r="M32" s="169">
        <v>250953</v>
      </c>
      <c r="N32" s="214">
        <f>+L32/M32</f>
        <v>10.340713201276733</v>
      </c>
      <c r="O32" s="301"/>
      <c r="P32" s="220"/>
    </row>
    <row r="33" spans="1:16" s="4" customFormat="1" ht="15">
      <c r="A33" s="92">
        <v>29</v>
      </c>
      <c r="B33" s="215" t="s">
        <v>200</v>
      </c>
      <c r="C33" s="166">
        <v>40606</v>
      </c>
      <c r="D33" s="244" t="s">
        <v>119</v>
      </c>
      <c r="E33" s="243">
        <v>6</v>
      </c>
      <c r="F33" s="243">
        <v>4</v>
      </c>
      <c r="G33" s="243">
        <v>2</v>
      </c>
      <c r="H33" s="193">
        <v>4775.5</v>
      </c>
      <c r="I33" s="179">
        <v>339</v>
      </c>
      <c r="J33" s="172">
        <f>(I33/F33)</f>
        <v>84.75</v>
      </c>
      <c r="K33" s="194">
        <f>H33/I33</f>
        <v>14.087020648967552</v>
      </c>
      <c r="L33" s="195">
        <f>23509.5+4775.5</f>
        <v>28285</v>
      </c>
      <c r="M33" s="171">
        <f>1642+339</f>
        <v>1981</v>
      </c>
      <c r="N33" s="212">
        <f>L33/M33</f>
        <v>14.278142352347299</v>
      </c>
      <c r="O33" s="301"/>
      <c r="P33" s="220"/>
    </row>
    <row r="34" spans="1:16" s="4" customFormat="1" ht="15">
      <c r="A34" s="93">
        <v>30</v>
      </c>
      <c r="B34" s="317" t="s">
        <v>71</v>
      </c>
      <c r="C34" s="302">
        <v>40536</v>
      </c>
      <c r="D34" s="303" t="s">
        <v>23</v>
      </c>
      <c r="E34" s="304">
        <v>112</v>
      </c>
      <c r="F34" s="304">
        <v>7</v>
      </c>
      <c r="G34" s="304">
        <v>12</v>
      </c>
      <c r="H34" s="305">
        <v>3805</v>
      </c>
      <c r="I34" s="306">
        <v>818</v>
      </c>
      <c r="J34" s="307">
        <f>I34/F34</f>
        <v>116.85714285714286</v>
      </c>
      <c r="K34" s="308">
        <f>+H34/I34</f>
        <v>4.65158924205379</v>
      </c>
      <c r="L34" s="309">
        <v>2740654</v>
      </c>
      <c r="M34" s="310">
        <v>242839</v>
      </c>
      <c r="N34" s="318">
        <f>+L34/M34</f>
        <v>11.28588900464917</v>
      </c>
      <c r="O34" s="301"/>
      <c r="P34" s="220"/>
    </row>
    <row r="35" spans="1:16" s="4" customFormat="1" ht="15">
      <c r="A35" s="93">
        <v>31</v>
      </c>
      <c r="B35" s="207" t="s">
        <v>19</v>
      </c>
      <c r="C35" s="166">
        <v>40515</v>
      </c>
      <c r="D35" s="244" t="s">
        <v>119</v>
      </c>
      <c r="E35" s="243">
        <v>62</v>
      </c>
      <c r="F35" s="243">
        <v>8</v>
      </c>
      <c r="G35" s="243">
        <v>15</v>
      </c>
      <c r="H35" s="193">
        <v>2395.5</v>
      </c>
      <c r="I35" s="179">
        <v>468</v>
      </c>
      <c r="J35" s="172">
        <f>(I35/F35)</f>
        <v>58.5</v>
      </c>
      <c r="K35" s="194">
        <f>H35/I35</f>
        <v>5.118589743589744</v>
      </c>
      <c r="L35" s="195">
        <f>353151+191248+132731.5+71376+47862+26248.5+19265+34650.5+35095.5+42312+25849+10987+7528+3248+2395.5</f>
        <v>1003947.5</v>
      </c>
      <c r="M35" s="171">
        <f>34650+19352+14525+10591+7581+5012+3223+6065+6865+6589+3930+1782+1091+624+468</f>
        <v>122348</v>
      </c>
      <c r="N35" s="212">
        <f>L35/M35</f>
        <v>8.205671527119364</v>
      </c>
      <c r="O35" s="301"/>
      <c r="P35" s="220"/>
    </row>
    <row r="36" spans="1:16" s="4" customFormat="1" ht="15">
      <c r="A36" s="92">
        <v>32</v>
      </c>
      <c r="B36" s="213" t="s">
        <v>149</v>
      </c>
      <c r="C36" s="163">
        <v>40585</v>
      </c>
      <c r="D36" s="247" t="s">
        <v>27</v>
      </c>
      <c r="E36" s="233">
        <v>41</v>
      </c>
      <c r="F36" s="233">
        <v>9</v>
      </c>
      <c r="G36" s="233">
        <v>5</v>
      </c>
      <c r="H36" s="196">
        <v>2294</v>
      </c>
      <c r="I36" s="182">
        <v>345</v>
      </c>
      <c r="J36" s="170">
        <f>+I36/F36</f>
        <v>38.333333333333336</v>
      </c>
      <c r="K36" s="197">
        <f>+H36/I36</f>
        <v>6.649275362318841</v>
      </c>
      <c r="L36" s="198">
        <v>343128</v>
      </c>
      <c r="M36" s="169">
        <v>28624</v>
      </c>
      <c r="N36" s="214">
        <f>+L36/M36</f>
        <v>11.987423141419788</v>
      </c>
      <c r="O36" s="301"/>
      <c r="P36" s="220"/>
    </row>
    <row r="37" spans="1:16" s="4" customFormat="1" ht="15">
      <c r="A37" s="92">
        <v>33</v>
      </c>
      <c r="B37" s="215" t="s">
        <v>2</v>
      </c>
      <c r="C37" s="166">
        <v>40522</v>
      </c>
      <c r="D37" s="244" t="s">
        <v>119</v>
      </c>
      <c r="E37" s="243">
        <v>127</v>
      </c>
      <c r="F37" s="243">
        <v>2</v>
      </c>
      <c r="G37" s="243">
        <v>14</v>
      </c>
      <c r="H37" s="193">
        <v>2076</v>
      </c>
      <c r="I37" s="179">
        <v>481</v>
      </c>
      <c r="J37" s="172">
        <f>(I37/F37)</f>
        <v>240.5</v>
      </c>
      <c r="K37" s="194">
        <f>H37/I37</f>
        <v>4.316008316008316</v>
      </c>
      <c r="L37" s="195">
        <f>1048675+809166.5+457718.5+70165.5+7102+12164+8619.5+11777.5+6559.5+3338.5+10420.5+3303+3205+2076</f>
        <v>2454291</v>
      </c>
      <c r="M37" s="171">
        <f>92481+73795+43350+8841+1153+2869+1615+2831+1620+630+2477+726+513+481</f>
        <v>233382</v>
      </c>
      <c r="N37" s="212">
        <f>L37/M37</f>
        <v>10.516196621847444</v>
      </c>
      <c r="O37" s="301"/>
      <c r="P37" s="220"/>
    </row>
    <row r="38" spans="1:16" s="4" customFormat="1" ht="15">
      <c r="A38" s="92">
        <v>34</v>
      </c>
      <c r="B38" s="211" t="s">
        <v>137</v>
      </c>
      <c r="C38" s="175">
        <v>40564</v>
      </c>
      <c r="D38" s="248" t="s">
        <v>171</v>
      </c>
      <c r="E38" s="243">
        <v>1</v>
      </c>
      <c r="F38" s="243">
        <v>1</v>
      </c>
      <c r="G38" s="243">
        <v>5</v>
      </c>
      <c r="H38" s="201">
        <v>2020</v>
      </c>
      <c r="I38" s="180">
        <v>404</v>
      </c>
      <c r="J38" s="168">
        <f>I38/F38</f>
        <v>404</v>
      </c>
      <c r="K38" s="202">
        <f>H38/I38</f>
        <v>5</v>
      </c>
      <c r="L38" s="203">
        <v>10397</v>
      </c>
      <c r="M38" s="168">
        <v>1133</v>
      </c>
      <c r="N38" s="216">
        <f>L38/M38</f>
        <v>9.176522506619595</v>
      </c>
      <c r="O38" s="301"/>
      <c r="P38" s="220"/>
    </row>
    <row r="39" spans="1:16" s="4" customFormat="1" ht="15">
      <c r="A39" s="93">
        <v>35</v>
      </c>
      <c r="B39" s="317" t="s">
        <v>117</v>
      </c>
      <c r="C39" s="302">
        <v>40557</v>
      </c>
      <c r="D39" s="303" t="s">
        <v>23</v>
      </c>
      <c r="E39" s="304">
        <v>129</v>
      </c>
      <c r="F39" s="304">
        <v>3</v>
      </c>
      <c r="G39" s="304">
        <v>9</v>
      </c>
      <c r="H39" s="305">
        <v>1970</v>
      </c>
      <c r="I39" s="306">
        <v>281</v>
      </c>
      <c r="J39" s="307">
        <f>I39/F39</f>
        <v>93.66666666666667</v>
      </c>
      <c r="K39" s="308">
        <f>+H39/I39</f>
        <v>7.01067615658363</v>
      </c>
      <c r="L39" s="309">
        <v>1368288</v>
      </c>
      <c r="M39" s="310">
        <v>120027</v>
      </c>
      <c r="N39" s="318">
        <f>+L39/M39</f>
        <v>11.399835037116649</v>
      </c>
      <c r="O39" s="301"/>
      <c r="P39" s="220"/>
    </row>
    <row r="40" spans="1:16" s="4" customFormat="1" ht="15">
      <c r="A40" s="93">
        <v>36</v>
      </c>
      <c r="B40" s="211" t="s">
        <v>201</v>
      </c>
      <c r="C40" s="175">
        <v>39493</v>
      </c>
      <c r="D40" s="244" t="s">
        <v>26</v>
      </c>
      <c r="E40" s="243">
        <v>179</v>
      </c>
      <c r="F40" s="243">
        <v>1</v>
      </c>
      <c r="G40" s="243">
        <v>47</v>
      </c>
      <c r="H40" s="201">
        <v>1919</v>
      </c>
      <c r="I40" s="180">
        <v>320</v>
      </c>
      <c r="J40" s="172">
        <f>(I40/F40)</f>
        <v>320</v>
      </c>
      <c r="K40" s="194">
        <f>H40/I40</f>
        <v>5.996875</v>
      </c>
      <c r="L40" s="203">
        <f>5039812.5+1919</f>
        <v>5041731.5</v>
      </c>
      <c r="M40" s="168">
        <f>1038442+320</f>
        <v>1038762</v>
      </c>
      <c r="N40" s="212">
        <f>L40/M40</f>
        <v>4.853596396479656</v>
      </c>
      <c r="O40" s="301">
        <v>1</v>
      </c>
      <c r="P40" s="220"/>
    </row>
    <row r="41" spans="1:16" s="4" customFormat="1" ht="15">
      <c r="A41" s="92">
        <v>37</v>
      </c>
      <c r="B41" s="207" t="s">
        <v>60</v>
      </c>
      <c r="C41" s="166">
        <v>40543</v>
      </c>
      <c r="D41" s="244" t="s">
        <v>119</v>
      </c>
      <c r="E41" s="243">
        <v>99</v>
      </c>
      <c r="F41" s="243">
        <v>1</v>
      </c>
      <c r="G41" s="243">
        <v>11</v>
      </c>
      <c r="H41" s="193">
        <v>1782</v>
      </c>
      <c r="I41" s="179">
        <v>445</v>
      </c>
      <c r="J41" s="172">
        <f>(I41/F41)</f>
        <v>445</v>
      </c>
      <c r="K41" s="194">
        <f>H41/I41</f>
        <v>4.004494382022472</v>
      </c>
      <c r="L41" s="195">
        <f>74157.5+721285.5+410076+112730.5+28262.5+6646+19483.5+940+1245+2674.5+7128+1782</f>
        <v>1386411</v>
      </c>
      <c r="M41" s="171">
        <f>7361+62279+35611+10987+4077+689+3901+125+178+502+1781+445</f>
        <v>127936</v>
      </c>
      <c r="N41" s="212">
        <f>L41/M41</f>
        <v>10.836754314657329</v>
      </c>
      <c r="O41" s="301"/>
      <c r="P41" s="220"/>
    </row>
    <row r="42" spans="1:16" s="4" customFormat="1" ht="15">
      <c r="A42" s="92">
        <v>38</v>
      </c>
      <c r="B42" s="317" t="s">
        <v>178</v>
      </c>
      <c r="C42" s="302">
        <v>40905</v>
      </c>
      <c r="D42" s="303" t="s">
        <v>23</v>
      </c>
      <c r="E42" s="304">
        <v>200</v>
      </c>
      <c r="F42" s="304">
        <v>3</v>
      </c>
      <c r="G42" s="304">
        <v>7</v>
      </c>
      <c r="H42" s="305">
        <v>1777</v>
      </c>
      <c r="I42" s="306">
        <v>457</v>
      </c>
      <c r="J42" s="307">
        <f>I42/F42</f>
        <v>152.33333333333334</v>
      </c>
      <c r="K42" s="308">
        <f>+H42/I42</f>
        <v>3.888402625820569</v>
      </c>
      <c r="L42" s="309">
        <v>2971546</v>
      </c>
      <c r="M42" s="310">
        <v>242202</v>
      </c>
      <c r="N42" s="216">
        <f>L42/M42</f>
        <v>12.268874740918736</v>
      </c>
      <c r="O42" s="301"/>
      <c r="P42" s="220"/>
    </row>
    <row r="43" spans="1:16" s="4" customFormat="1" ht="15">
      <c r="A43" s="92">
        <v>39</v>
      </c>
      <c r="B43" s="272" t="s">
        <v>85</v>
      </c>
      <c r="C43" s="163">
        <v>40543</v>
      </c>
      <c r="D43" s="247" t="s">
        <v>104</v>
      </c>
      <c r="E43" s="270" t="s">
        <v>74</v>
      </c>
      <c r="F43" s="270" t="s">
        <v>202</v>
      </c>
      <c r="G43" s="270" t="s">
        <v>203</v>
      </c>
      <c r="H43" s="196">
        <v>1700</v>
      </c>
      <c r="I43" s="182">
        <v>218</v>
      </c>
      <c r="J43" s="257">
        <v>109</v>
      </c>
      <c r="K43" s="262">
        <v>7.8</v>
      </c>
      <c r="L43" s="198">
        <v>235108</v>
      </c>
      <c r="M43" s="169">
        <v>19357</v>
      </c>
      <c r="N43" s="318">
        <f>+L43/M43</f>
        <v>12.145890375574728</v>
      </c>
      <c r="O43" s="301"/>
      <c r="P43" s="220"/>
    </row>
    <row r="44" spans="1:16" s="4" customFormat="1" ht="15">
      <c r="A44" s="92">
        <v>40</v>
      </c>
      <c r="B44" s="207" t="s">
        <v>204</v>
      </c>
      <c r="C44" s="166">
        <v>40284</v>
      </c>
      <c r="D44" s="244" t="s">
        <v>119</v>
      </c>
      <c r="E44" s="243">
        <v>14</v>
      </c>
      <c r="F44" s="243">
        <v>1</v>
      </c>
      <c r="G44" s="243">
        <v>22</v>
      </c>
      <c r="H44" s="193">
        <v>1307</v>
      </c>
      <c r="I44" s="179">
        <v>327</v>
      </c>
      <c r="J44" s="172">
        <f>(I44/F44)</f>
        <v>327</v>
      </c>
      <c r="K44" s="194">
        <f>H44/I44</f>
        <v>3.996941896024465</v>
      </c>
      <c r="L44" s="195">
        <f>45403.5+26416+19522+5885+5520+2576+2604+1325+840+957.5+196+2970+1095+960+1330+1159+1173+1901+475+2019.5+1188+1307</f>
        <v>126822.5</v>
      </c>
      <c r="M44" s="171">
        <f>4053+2594+2599+732+962+495+470+215+146+347+28+743+229+194+270+236+188+475+119+505+297+327</f>
        <v>16224</v>
      </c>
      <c r="N44" s="212">
        <f>L44/M44</f>
        <v>7.816968688362919</v>
      </c>
      <c r="O44" s="301">
        <v>1</v>
      </c>
      <c r="P44" s="220"/>
    </row>
    <row r="45" spans="1:16" s="4" customFormat="1" ht="15">
      <c r="A45" s="93">
        <v>41</v>
      </c>
      <c r="B45" s="209" t="s">
        <v>131</v>
      </c>
      <c r="C45" s="163">
        <v>40473</v>
      </c>
      <c r="D45" s="246" t="s">
        <v>24</v>
      </c>
      <c r="E45" s="245">
        <v>74</v>
      </c>
      <c r="F45" s="245">
        <v>1</v>
      </c>
      <c r="G45" s="245">
        <v>11</v>
      </c>
      <c r="H45" s="190">
        <v>1190</v>
      </c>
      <c r="I45" s="178">
        <v>238</v>
      </c>
      <c r="J45" s="165">
        <f>I45/F45</f>
        <v>238</v>
      </c>
      <c r="K45" s="191">
        <f>H45/I45</f>
        <v>5</v>
      </c>
      <c r="L45" s="192">
        <v>983217</v>
      </c>
      <c r="M45" s="164">
        <v>84696</v>
      </c>
      <c r="N45" s="212">
        <f>L45/M45</f>
        <v>11.608777274015301</v>
      </c>
      <c r="O45" s="301"/>
      <c r="P45" s="220"/>
    </row>
    <row r="46" spans="1:16" s="4" customFormat="1" ht="15">
      <c r="A46" s="93">
        <v>42</v>
      </c>
      <c r="B46" s="258" t="s">
        <v>59</v>
      </c>
      <c r="C46" s="315">
        <v>40529</v>
      </c>
      <c r="D46" s="311" t="s">
        <v>17</v>
      </c>
      <c r="E46" s="312">
        <v>134</v>
      </c>
      <c r="F46" s="312">
        <v>1</v>
      </c>
      <c r="G46" s="312">
        <v>11</v>
      </c>
      <c r="H46" s="199">
        <v>1180</v>
      </c>
      <c r="I46" s="183">
        <v>192</v>
      </c>
      <c r="J46" s="313">
        <f>IF(H46&lt;&gt;0,I46/F46,"")</f>
        <v>192</v>
      </c>
      <c r="K46" s="314">
        <f>IF(H46&lt;&gt;0,H46/I46,"")</f>
        <v>6.145833333333333</v>
      </c>
      <c r="L46" s="200">
        <f>415183+3929+3246+2363+1074+230+2072+4630+1180</f>
        <v>433907</v>
      </c>
      <c r="M46" s="167">
        <f>52315+638+476+361+299+38+414+683+192</f>
        <v>55416</v>
      </c>
      <c r="N46" s="216">
        <f>L46/M46</f>
        <v>7.829994947307637</v>
      </c>
      <c r="O46" s="301">
        <v>1</v>
      </c>
      <c r="P46" s="220"/>
    </row>
    <row r="47" spans="1:16" s="4" customFormat="1" ht="15">
      <c r="A47" s="92">
        <v>43</v>
      </c>
      <c r="B47" s="215" t="s">
        <v>205</v>
      </c>
      <c r="C47" s="166">
        <v>40606</v>
      </c>
      <c r="D47" s="244" t="s">
        <v>119</v>
      </c>
      <c r="E47" s="243">
        <v>3</v>
      </c>
      <c r="F47" s="243">
        <v>3</v>
      </c>
      <c r="G47" s="243">
        <v>2</v>
      </c>
      <c r="H47" s="193">
        <v>1062</v>
      </c>
      <c r="I47" s="179">
        <v>116</v>
      </c>
      <c r="J47" s="172">
        <f>(I47/F47)</f>
        <v>38.666666666666664</v>
      </c>
      <c r="K47" s="194">
        <f>H47/I47</f>
        <v>9.155172413793103</v>
      </c>
      <c r="L47" s="195">
        <f>3944+1062</f>
        <v>5006</v>
      </c>
      <c r="M47" s="171">
        <f>424+116</f>
        <v>540</v>
      </c>
      <c r="N47" s="318">
        <f>+L47/M47</f>
        <v>9.27037037037037</v>
      </c>
      <c r="O47" s="301"/>
      <c r="P47" s="220"/>
    </row>
    <row r="48" spans="1:16" s="4" customFormat="1" ht="15">
      <c r="A48" s="92">
        <v>44</v>
      </c>
      <c r="B48" s="207" t="s">
        <v>206</v>
      </c>
      <c r="C48" s="166">
        <v>40550</v>
      </c>
      <c r="D48" s="244" t="s">
        <v>26</v>
      </c>
      <c r="E48" s="243">
        <v>238</v>
      </c>
      <c r="F48" s="243">
        <v>4</v>
      </c>
      <c r="G48" s="243">
        <v>10</v>
      </c>
      <c r="H48" s="188">
        <v>911</v>
      </c>
      <c r="I48" s="180">
        <v>161</v>
      </c>
      <c r="J48" s="172">
        <f>(I48/F48)</f>
        <v>40.25</v>
      </c>
      <c r="K48" s="194">
        <f>H48/I48</f>
        <v>5.658385093167702</v>
      </c>
      <c r="L48" s="189">
        <f>3050831.5+2178855.5+1196710.5+496983-200+210922.5+72277.5+4+43197.5+17348.5+5963-21+911</f>
        <v>7273783.5</v>
      </c>
      <c r="M48" s="176">
        <f>393137+282255+156413+64920+60+27548+10641+7089+3227+1196+161</f>
        <v>946647</v>
      </c>
      <c r="N48" s="212">
        <f>L48/M48</f>
        <v>7.683733746581355</v>
      </c>
      <c r="O48" s="301">
        <v>1</v>
      </c>
      <c r="P48" s="220"/>
    </row>
    <row r="49" spans="1:16" s="4" customFormat="1" ht="15">
      <c r="A49" s="92">
        <v>45</v>
      </c>
      <c r="B49" s="207" t="s">
        <v>21</v>
      </c>
      <c r="C49" s="166">
        <v>40480</v>
      </c>
      <c r="D49" s="244" t="s">
        <v>119</v>
      </c>
      <c r="E49" s="243">
        <v>100</v>
      </c>
      <c r="F49" s="243">
        <v>1</v>
      </c>
      <c r="G49" s="243">
        <v>17</v>
      </c>
      <c r="H49" s="193">
        <v>670</v>
      </c>
      <c r="I49" s="179">
        <v>109</v>
      </c>
      <c r="J49" s="172">
        <f>(I49/F49)</f>
        <v>109</v>
      </c>
      <c r="K49" s="194">
        <f>H49/I49</f>
        <v>6.146788990825688</v>
      </c>
      <c r="L49" s="195">
        <f>1221166+429124.5+378100+240009.5+108018.5+26890.5+15319+16968+7345.5+4160+1262+1510+3920.5+2732.5+8910+571+670</f>
        <v>2466677.5</v>
      </c>
      <c r="M49" s="171">
        <f>114702+40612+35598+23284+12543+4168+3055+2661+1161+850+210+377+981+684+2228+92+109</f>
        <v>243315</v>
      </c>
      <c r="N49" s="212">
        <f>L49/M49</f>
        <v>10.13779462836241</v>
      </c>
      <c r="O49" s="301"/>
      <c r="P49" s="220"/>
    </row>
    <row r="50" spans="1:16" s="4" customFormat="1" ht="15">
      <c r="A50" s="93">
        <v>46</v>
      </c>
      <c r="B50" s="207" t="s">
        <v>179</v>
      </c>
      <c r="C50" s="166">
        <v>40102</v>
      </c>
      <c r="D50" s="244" t="s">
        <v>119</v>
      </c>
      <c r="E50" s="243">
        <v>9</v>
      </c>
      <c r="F50" s="243">
        <v>1</v>
      </c>
      <c r="G50" s="243">
        <v>12</v>
      </c>
      <c r="H50" s="193">
        <v>670</v>
      </c>
      <c r="I50" s="179">
        <v>67</v>
      </c>
      <c r="J50" s="172">
        <f>(I50/F50)</f>
        <v>67</v>
      </c>
      <c r="K50" s="194">
        <f>H50/I50</f>
        <v>10</v>
      </c>
      <c r="L50" s="195">
        <f>140093+133065.5+53545.5+8843.5+1143.5+938+558+224+456+4065+1500+670</f>
        <v>345102</v>
      </c>
      <c r="M50" s="171">
        <f>10984+10700+4415+806+91+134+57+28+33+335+150+67</f>
        <v>27800</v>
      </c>
      <c r="N50" s="216">
        <f>L50/M50</f>
        <v>12.413741007194245</v>
      </c>
      <c r="O50" s="301"/>
      <c r="P50" s="220"/>
    </row>
    <row r="51" spans="1:16" s="4" customFormat="1" ht="15">
      <c r="A51" s="93">
        <v>47</v>
      </c>
      <c r="B51" s="211" t="s">
        <v>86</v>
      </c>
      <c r="C51" s="175">
        <v>40543</v>
      </c>
      <c r="D51" s="248" t="s">
        <v>171</v>
      </c>
      <c r="E51" s="243">
        <v>2</v>
      </c>
      <c r="F51" s="243">
        <v>1</v>
      </c>
      <c r="G51" s="243">
        <v>10</v>
      </c>
      <c r="H51" s="201">
        <v>337</v>
      </c>
      <c r="I51" s="180">
        <v>46</v>
      </c>
      <c r="J51" s="168">
        <f>I51/F51</f>
        <v>46</v>
      </c>
      <c r="K51" s="202">
        <f>H51/I51</f>
        <v>7.326086956521739</v>
      </c>
      <c r="L51" s="203">
        <v>66408.5</v>
      </c>
      <c r="M51" s="168">
        <v>4999</v>
      </c>
      <c r="N51" s="318">
        <f>+L51/M51</f>
        <v>13.284356871374275</v>
      </c>
      <c r="O51" s="301"/>
      <c r="P51" s="220"/>
    </row>
    <row r="52" spans="1:16" s="4" customFormat="1" ht="15">
      <c r="A52" s="92">
        <v>48</v>
      </c>
      <c r="B52" s="213" t="s">
        <v>207</v>
      </c>
      <c r="C52" s="163">
        <v>40592</v>
      </c>
      <c r="D52" s="247" t="s">
        <v>27</v>
      </c>
      <c r="E52" s="233">
        <v>68</v>
      </c>
      <c r="F52" s="233">
        <v>1</v>
      </c>
      <c r="G52" s="233">
        <v>4</v>
      </c>
      <c r="H52" s="196">
        <v>291</v>
      </c>
      <c r="I52" s="182">
        <v>41</v>
      </c>
      <c r="J52" s="170">
        <f>+I52/F52</f>
        <v>41</v>
      </c>
      <c r="K52" s="197">
        <f>+H52/I52</f>
        <v>7.097560975609756</v>
      </c>
      <c r="L52" s="198">
        <v>148048</v>
      </c>
      <c r="M52" s="169">
        <v>15260</v>
      </c>
      <c r="N52" s="214">
        <f>+L52/M52</f>
        <v>9.701703800786369</v>
      </c>
      <c r="O52" s="301"/>
      <c r="P52" s="220"/>
    </row>
    <row r="53" spans="1:16" s="4" customFormat="1" ht="15">
      <c r="A53" s="92">
        <v>49</v>
      </c>
      <c r="B53" s="213" t="s">
        <v>37</v>
      </c>
      <c r="C53" s="163">
        <v>40480</v>
      </c>
      <c r="D53" s="247" t="s">
        <v>27</v>
      </c>
      <c r="E53" s="233">
        <v>21</v>
      </c>
      <c r="F53" s="233">
        <v>1</v>
      </c>
      <c r="G53" s="233">
        <v>16</v>
      </c>
      <c r="H53" s="196">
        <v>273</v>
      </c>
      <c r="I53" s="182">
        <v>53</v>
      </c>
      <c r="J53" s="170">
        <f>+I53/F53</f>
        <v>53</v>
      </c>
      <c r="K53" s="197">
        <f>+H53/I53</f>
        <v>5.150943396226415</v>
      </c>
      <c r="L53" s="198">
        <v>303859</v>
      </c>
      <c r="M53" s="169">
        <v>27922</v>
      </c>
      <c r="N53" s="214">
        <f>+L53/M53</f>
        <v>10.882422462574315</v>
      </c>
      <c r="O53" s="301"/>
      <c r="P53" s="220"/>
    </row>
    <row r="54" spans="1:16" s="4" customFormat="1" ht="15">
      <c r="A54" s="92">
        <v>50</v>
      </c>
      <c r="B54" s="207" t="s">
        <v>208</v>
      </c>
      <c r="C54" s="166">
        <v>40564</v>
      </c>
      <c r="D54" s="244" t="s">
        <v>119</v>
      </c>
      <c r="E54" s="243">
        <v>160</v>
      </c>
      <c r="F54" s="243">
        <v>1</v>
      </c>
      <c r="G54" s="243">
        <v>8</v>
      </c>
      <c r="H54" s="193">
        <v>220</v>
      </c>
      <c r="I54" s="179">
        <v>29</v>
      </c>
      <c r="J54" s="172">
        <f>(I54/F54)</f>
        <v>29</v>
      </c>
      <c r="K54" s="194">
        <f>H54/I54</f>
        <v>7.586206896551724</v>
      </c>
      <c r="L54" s="195">
        <f>1102015+435620.5+74279.5+50432+22961.5+6480+10204+220</f>
        <v>1702212.5</v>
      </c>
      <c r="M54" s="171">
        <f>144071+60233+10598+7830+4045+1284+2234+29</f>
        <v>230324</v>
      </c>
      <c r="N54" s="212">
        <f>L54/M54</f>
        <v>7.390512929612198</v>
      </c>
      <c r="O54" s="301">
        <v>1</v>
      </c>
      <c r="P54" s="220"/>
    </row>
    <row r="55" spans="1:16" s="4" customFormat="1" ht="15">
      <c r="A55" s="93">
        <v>51</v>
      </c>
      <c r="B55" s="207" t="s">
        <v>177</v>
      </c>
      <c r="C55" s="166">
        <v>40459</v>
      </c>
      <c r="D55" s="244" t="s">
        <v>119</v>
      </c>
      <c r="E55" s="243">
        <v>142</v>
      </c>
      <c r="F55" s="243">
        <v>1</v>
      </c>
      <c r="G55" s="243">
        <v>18</v>
      </c>
      <c r="H55" s="193">
        <v>151</v>
      </c>
      <c r="I55" s="179">
        <v>24</v>
      </c>
      <c r="J55" s="172">
        <f>(I55/F55)</f>
        <v>24</v>
      </c>
      <c r="K55" s="194">
        <f>H55/I55</f>
        <v>6.291666666666667</v>
      </c>
      <c r="L55" s="195">
        <f>569713+434829.5+295345.5+223420+26108+12415.5+5998+1904+1368+799+648+306+1782+594+1782+1425.5+3089+151</f>
        <v>1581678</v>
      </c>
      <c r="M55" s="171">
        <f>61050+47827+36467+29781+4601+2405+1000+284+287+123+103+51+445+113+446+267+708+24</f>
        <v>185982</v>
      </c>
      <c r="N55" s="212">
        <f>L55/M55</f>
        <v>8.504468174339452</v>
      </c>
      <c r="O55" s="301">
        <v>1</v>
      </c>
      <c r="P55" s="220"/>
    </row>
    <row r="56" spans="1:16" s="4" customFormat="1" ht="15">
      <c r="A56" s="93">
        <v>52</v>
      </c>
      <c r="B56" s="317" t="s">
        <v>61</v>
      </c>
      <c r="C56" s="302">
        <v>40515</v>
      </c>
      <c r="D56" s="303" t="s">
        <v>23</v>
      </c>
      <c r="E56" s="304">
        <v>122</v>
      </c>
      <c r="F56" s="304">
        <v>1</v>
      </c>
      <c r="G56" s="304">
        <v>14</v>
      </c>
      <c r="H56" s="305">
        <v>147</v>
      </c>
      <c r="I56" s="306">
        <v>21</v>
      </c>
      <c r="J56" s="307">
        <f>I56/F56</f>
        <v>21</v>
      </c>
      <c r="K56" s="308">
        <f>+H56/I56</f>
        <v>7</v>
      </c>
      <c r="L56" s="309">
        <v>613933</v>
      </c>
      <c r="M56" s="310">
        <v>73244</v>
      </c>
      <c r="N56" s="318">
        <f>+L56/M56</f>
        <v>8.382024466167877</v>
      </c>
      <c r="O56" s="301">
        <v>1</v>
      </c>
      <c r="P56" s="220"/>
    </row>
    <row r="57" spans="1:16" s="4" customFormat="1" ht="15">
      <c r="A57" s="92">
        <v>53</v>
      </c>
      <c r="B57" s="317" t="s">
        <v>216</v>
      </c>
      <c r="C57" s="302">
        <v>40543</v>
      </c>
      <c r="D57" s="303" t="s">
        <v>23</v>
      </c>
      <c r="E57" s="304">
        <v>118</v>
      </c>
      <c r="F57" s="304">
        <v>1</v>
      </c>
      <c r="G57" s="304">
        <v>11</v>
      </c>
      <c r="H57" s="305">
        <v>101</v>
      </c>
      <c r="I57" s="306">
        <v>20</v>
      </c>
      <c r="J57" s="307">
        <f>I57/F57</f>
        <v>20</v>
      </c>
      <c r="K57" s="308">
        <f>+H57/I57</f>
        <v>5.05</v>
      </c>
      <c r="L57" s="309">
        <v>201844</v>
      </c>
      <c r="M57" s="310">
        <v>22349</v>
      </c>
      <c r="N57" s="318">
        <f>+L57/M57</f>
        <v>9.031455546109445</v>
      </c>
      <c r="O57" s="301">
        <v>1</v>
      </c>
      <c r="P57" s="220"/>
    </row>
    <row r="58" spans="1:16" s="4" customFormat="1" ht="15">
      <c r="A58" s="92">
        <v>54</v>
      </c>
      <c r="B58" s="207" t="s">
        <v>121</v>
      </c>
      <c r="C58" s="166">
        <v>40557</v>
      </c>
      <c r="D58" s="244" t="s">
        <v>103</v>
      </c>
      <c r="E58" s="243">
        <v>12</v>
      </c>
      <c r="F58" s="243">
        <v>1</v>
      </c>
      <c r="G58" s="243">
        <v>5</v>
      </c>
      <c r="H58" s="236">
        <v>98</v>
      </c>
      <c r="I58" s="237">
        <v>14</v>
      </c>
      <c r="J58" s="253">
        <v>14</v>
      </c>
      <c r="K58" s="254">
        <v>7</v>
      </c>
      <c r="L58" s="239">
        <v>21553</v>
      </c>
      <c r="M58" s="238">
        <v>2076</v>
      </c>
      <c r="N58" s="271">
        <v>10.381984585741812</v>
      </c>
      <c r="O58" s="301"/>
      <c r="P58" s="220"/>
    </row>
    <row r="59" spans="1:16" s="4" customFormat="1" ht="15.75" thickBot="1">
      <c r="A59" s="92">
        <v>55</v>
      </c>
      <c r="B59" s="321" t="s">
        <v>89</v>
      </c>
      <c r="C59" s="322">
        <v>40543</v>
      </c>
      <c r="D59" s="323" t="s">
        <v>17</v>
      </c>
      <c r="E59" s="324">
        <v>20</v>
      </c>
      <c r="F59" s="324">
        <v>1</v>
      </c>
      <c r="G59" s="324">
        <v>8</v>
      </c>
      <c r="H59" s="325">
        <v>96</v>
      </c>
      <c r="I59" s="326">
        <v>16</v>
      </c>
      <c r="J59" s="327">
        <f>IF(H59&lt;&gt;0,I59/F59,"")</f>
        <v>16</v>
      </c>
      <c r="K59" s="328">
        <f>IF(H59&lt;&gt;0,H59/I59,"")</f>
        <v>6</v>
      </c>
      <c r="L59" s="329">
        <f>66843.5+17122+2473.5+3354+459+3105+2586+96</f>
        <v>96039</v>
      </c>
      <c r="M59" s="330">
        <f>6779+1684+271+528+66+413+401+16</f>
        <v>10158</v>
      </c>
      <c r="N59" s="331">
        <f>IF(L59&lt;&gt;0,L59/M59,"")</f>
        <v>9.454518606024807</v>
      </c>
      <c r="O59" s="301"/>
      <c r="P59" s="220"/>
    </row>
    <row r="60" spans="1:16" s="4" customFormat="1" ht="15">
      <c r="A60" s="620"/>
      <c r="B60" s="621"/>
      <c r="C60" s="6"/>
      <c r="D60" s="7"/>
      <c r="E60" s="20"/>
      <c r="F60" s="21"/>
      <c r="G60" s="20"/>
      <c r="H60" s="8"/>
      <c r="I60" s="9"/>
      <c r="J60" s="12"/>
      <c r="K60" s="13"/>
      <c r="L60" s="14"/>
      <c r="M60" s="15"/>
      <c r="N60" s="59"/>
      <c r="O60" s="64"/>
      <c r="P60" s="64"/>
    </row>
    <row r="61" spans="1:16" s="4" customFormat="1" ht="13.5">
      <c r="A61" s="75"/>
      <c r="B61" s="23"/>
      <c r="C61" s="24"/>
      <c r="D61" s="25"/>
      <c r="E61" s="26"/>
      <c r="F61" s="26"/>
      <c r="G61" s="26"/>
      <c r="H61" s="27"/>
      <c r="I61" s="28"/>
      <c r="J61" s="29"/>
      <c r="K61" s="30"/>
      <c r="L61" s="31"/>
      <c r="M61" s="32"/>
      <c r="N61" s="30"/>
      <c r="O61" s="64"/>
      <c r="P61" s="64"/>
    </row>
    <row r="62" spans="1:52" s="118" customFormat="1" ht="21.75" customHeight="1">
      <c r="A62" s="617" t="s">
        <v>56</v>
      </c>
      <c r="B62" s="618"/>
      <c r="C62" s="618"/>
      <c r="D62" s="618"/>
      <c r="E62" s="618"/>
      <c r="F62" s="618"/>
      <c r="G62" s="618"/>
      <c r="H62" s="618"/>
      <c r="I62" s="618"/>
      <c r="J62" s="618"/>
      <c r="K62" s="618"/>
      <c r="L62" s="618"/>
      <c r="M62" s="618"/>
      <c r="N62" s="618"/>
      <c r="O62" s="150"/>
      <c r="P62" s="218"/>
      <c r="Q62" s="123"/>
      <c r="R62" s="123"/>
      <c r="S62" s="123"/>
      <c r="T62" s="123"/>
      <c r="U62" s="123"/>
      <c r="V62" s="123"/>
      <c r="W62" s="141"/>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38"/>
    </row>
    <row r="63" spans="1:256" s="118" customFormat="1" ht="18" customHeight="1">
      <c r="A63" s="617" t="s">
        <v>28</v>
      </c>
      <c r="B63" s="618"/>
      <c r="C63" s="618"/>
      <c r="D63" s="618"/>
      <c r="E63" s="618"/>
      <c r="F63" s="618"/>
      <c r="G63" s="618"/>
      <c r="H63" s="618"/>
      <c r="I63" s="618"/>
      <c r="J63" s="618"/>
      <c r="K63" s="618"/>
      <c r="L63" s="618"/>
      <c r="M63" s="618"/>
      <c r="N63" s="618"/>
      <c r="O63" s="150"/>
      <c r="P63" s="218"/>
      <c r="Q63" s="123"/>
      <c r="R63" s="123"/>
      <c r="S63" s="123"/>
      <c r="T63" s="123"/>
      <c r="U63" s="123"/>
      <c r="V63" s="123"/>
      <c r="W63" s="143"/>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3"/>
      <c r="AT63" s="144"/>
      <c r="AU63" s="144"/>
      <c r="AV63" s="144"/>
      <c r="AW63" s="144"/>
      <c r="AX63" s="144"/>
      <c r="AY63" s="144"/>
      <c r="AZ63" s="139"/>
      <c r="BA63" s="120"/>
      <c r="BB63" s="120"/>
      <c r="BC63" s="120"/>
      <c r="BD63" s="120"/>
      <c r="BE63" s="120"/>
      <c r="BF63" s="120"/>
      <c r="BG63" s="120"/>
      <c r="BH63" s="120"/>
      <c r="BI63" s="120"/>
      <c r="BJ63" s="120"/>
      <c r="BK63" s="120"/>
      <c r="BL63" s="120"/>
      <c r="BM63" s="120"/>
      <c r="BN63" s="120"/>
      <c r="BO63" s="119"/>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19"/>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19"/>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19"/>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19"/>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19"/>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19"/>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19"/>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19"/>
      <c r="IJ63" s="120"/>
      <c r="IK63" s="120"/>
      <c r="IL63" s="120"/>
      <c r="IM63" s="120"/>
      <c r="IN63" s="120"/>
      <c r="IO63" s="120"/>
      <c r="IP63" s="120"/>
      <c r="IQ63" s="120"/>
      <c r="IR63" s="120"/>
      <c r="IS63" s="120"/>
      <c r="IT63" s="120"/>
      <c r="IU63" s="120"/>
      <c r="IV63" s="120"/>
    </row>
    <row r="64" spans="1:256" s="118" customFormat="1" ht="18" customHeight="1">
      <c r="A64" s="618"/>
      <c r="B64" s="618"/>
      <c r="C64" s="618"/>
      <c r="D64" s="618"/>
      <c r="E64" s="618"/>
      <c r="F64" s="618"/>
      <c r="G64" s="618"/>
      <c r="H64" s="618"/>
      <c r="I64" s="618"/>
      <c r="J64" s="618"/>
      <c r="K64" s="618"/>
      <c r="L64" s="618"/>
      <c r="M64" s="618"/>
      <c r="N64" s="618"/>
      <c r="O64" s="150"/>
      <c r="P64" s="218"/>
      <c r="Q64" s="123"/>
      <c r="R64" s="123"/>
      <c r="S64" s="123"/>
      <c r="T64" s="123"/>
      <c r="U64" s="123"/>
      <c r="V64" s="123"/>
      <c r="W64" s="143"/>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3"/>
      <c r="AT64" s="144"/>
      <c r="AU64" s="144"/>
      <c r="AV64" s="144"/>
      <c r="AW64" s="144"/>
      <c r="AX64" s="144"/>
      <c r="AY64" s="144"/>
      <c r="AZ64" s="139"/>
      <c r="BA64" s="120"/>
      <c r="BB64" s="120"/>
      <c r="BC64" s="120"/>
      <c r="BD64" s="120"/>
      <c r="BE64" s="120"/>
      <c r="BF64" s="120"/>
      <c r="BG64" s="120"/>
      <c r="BH64" s="120"/>
      <c r="BI64" s="120"/>
      <c r="BJ64" s="120"/>
      <c r="BK64" s="120"/>
      <c r="BL64" s="120"/>
      <c r="BM64" s="120"/>
      <c r="BN64" s="120"/>
      <c r="BO64" s="119"/>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19"/>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19"/>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19"/>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19"/>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19"/>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19"/>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19"/>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19"/>
      <c r="IJ64" s="120"/>
      <c r="IK64" s="120"/>
      <c r="IL64" s="120"/>
      <c r="IM64" s="120"/>
      <c r="IN64" s="120"/>
      <c r="IO64" s="120"/>
      <c r="IP64" s="120"/>
      <c r="IQ64" s="120"/>
      <c r="IR64" s="120"/>
      <c r="IS64" s="120"/>
      <c r="IT64" s="120"/>
      <c r="IU64" s="120"/>
      <c r="IV64" s="120"/>
    </row>
    <row r="65" spans="1:256" s="118" customFormat="1" ht="18" customHeight="1">
      <c r="A65" s="618"/>
      <c r="B65" s="618"/>
      <c r="C65" s="618"/>
      <c r="D65" s="618"/>
      <c r="E65" s="618"/>
      <c r="F65" s="618"/>
      <c r="G65" s="618"/>
      <c r="H65" s="618"/>
      <c r="I65" s="618"/>
      <c r="J65" s="618"/>
      <c r="K65" s="618"/>
      <c r="L65" s="618"/>
      <c r="M65" s="618"/>
      <c r="N65" s="618"/>
      <c r="O65" s="150"/>
      <c r="P65" s="218"/>
      <c r="Q65" s="123"/>
      <c r="R65" s="123"/>
      <c r="S65" s="123"/>
      <c r="T65" s="123"/>
      <c r="U65" s="123"/>
      <c r="V65" s="123"/>
      <c r="W65" s="143"/>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3"/>
      <c r="AT65" s="144"/>
      <c r="AU65" s="144"/>
      <c r="AV65" s="144"/>
      <c r="AW65" s="144"/>
      <c r="AX65" s="144"/>
      <c r="AY65" s="144"/>
      <c r="AZ65" s="139"/>
      <c r="BA65" s="120"/>
      <c r="BB65" s="120"/>
      <c r="BC65" s="120"/>
      <c r="BD65" s="120"/>
      <c r="BE65" s="120"/>
      <c r="BF65" s="120"/>
      <c r="BG65" s="120"/>
      <c r="BH65" s="120"/>
      <c r="BI65" s="120"/>
      <c r="BJ65" s="120"/>
      <c r="BK65" s="120"/>
      <c r="BL65" s="120"/>
      <c r="BM65" s="120"/>
      <c r="BN65" s="120"/>
      <c r="BO65" s="119"/>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19"/>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19"/>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19"/>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19"/>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19"/>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19"/>
      <c r="GR65" s="120"/>
      <c r="GS65" s="120"/>
      <c r="GT65" s="120"/>
      <c r="GU65" s="120"/>
      <c r="GV65" s="120"/>
      <c r="GW65" s="120"/>
      <c r="GX65" s="120"/>
      <c r="GY65" s="120"/>
      <c r="GZ65" s="120"/>
      <c r="HA65" s="120"/>
      <c r="HB65" s="120"/>
      <c r="HC65" s="120"/>
      <c r="HD65" s="120"/>
      <c r="HE65" s="120"/>
      <c r="HF65" s="120"/>
      <c r="HG65" s="120"/>
      <c r="HH65" s="120"/>
      <c r="HI65" s="120"/>
      <c r="HJ65" s="120"/>
      <c r="HK65" s="120"/>
      <c r="HL65" s="120"/>
      <c r="HM65" s="119"/>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19"/>
      <c r="IJ65" s="120"/>
      <c r="IK65" s="120"/>
      <c r="IL65" s="120"/>
      <c r="IM65" s="120"/>
      <c r="IN65" s="120"/>
      <c r="IO65" s="120"/>
      <c r="IP65" s="120"/>
      <c r="IQ65" s="120"/>
      <c r="IR65" s="120"/>
      <c r="IS65" s="120"/>
      <c r="IT65" s="120"/>
      <c r="IU65" s="120"/>
      <c r="IV65" s="120"/>
    </row>
    <row r="66" spans="1:256" s="118" customFormat="1" ht="15" customHeight="1">
      <c r="A66" s="617" t="s">
        <v>54</v>
      </c>
      <c r="B66" s="619"/>
      <c r="C66" s="619"/>
      <c r="D66" s="619"/>
      <c r="E66" s="619"/>
      <c r="F66" s="619"/>
      <c r="G66" s="619"/>
      <c r="H66" s="619"/>
      <c r="I66" s="619"/>
      <c r="J66" s="619"/>
      <c r="K66" s="619"/>
      <c r="L66" s="619"/>
      <c r="M66" s="619"/>
      <c r="N66" s="619"/>
      <c r="O66" s="151"/>
      <c r="P66" s="219"/>
      <c r="Q66" s="124"/>
      <c r="R66" s="124"/>
      <c r="S66" s="124"/>
      <c r="T66" s="124"/>
      <c r="U66" s="124"/>
      <c r="V66" s="124"/>
      <c r="W66" s="143"/>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3"/>
      <c r="AT66" s="144"/>
      <c r="AU66" s="144"/>
      <c r="AV66" s="144"/>
      <c r="AW66" s="144"/>
      <c r="AX66" s="144"/>
      <c r="AY66" s="144"/>
      <c r="AZ66" s="139"/>
      <c r="BA66" s="120"/>
      <c r="BB66" s="120"/>
      <c r="BC66" s="120"/>
      <c r="BD66" s="120"/>
      <c r="BE66" s="120"/>
      <c r="BF66" s="120"/>
      <c r="BG66" s="120"/>
      <c r="BH66" s="120"/>
      <c r="BI66" s="120"/>
      <c r="BJ66" s="120"/>
      <c r="BK66" s="120"/>
      <c r="BL66" s="120"/>
      <c r="BM66" s="120"/>
      <c r="BN66" s="120"/>
      <c r="BO66" s="119"/>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19"/>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19"/>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19"/>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19"/>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19"/>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19"/>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19"/>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19"/>
      <c r="IJ66" s="120"/>
      <c r="IK66" s="120"/>
      <c r="IL66" s="120"/>
      <c r="IM66" s="120"/>
      <c r="IN66" s="120"/>
      <c r="IO66" s="120"/>
      <c r="IP66" s="120"/>
      <c r="IQ66" s="120"/>
      <c r="IR66" s="120"/>
      <c r="IS66" s="120"/>
      <c r="IT66" s="120"/>
      <c r="IU66" s="120"/>
      <c r="IV66" s="120"/>
    </row>
    <row r="67" spans="1:256" s="118" customFormat="1" ht="15" customHeight="1">
      <c r="A67" s="619"/>
      <c r="B67" s="619"/>
      <c r="C67" s="619"/>
      <c r="D67" s="619"/>
      <c r="E67" s="619"/>
      <c r="F67" s="619"/>
      <c r="G67" s="619"/>
      <c r="H67" s="619"/>
      <c r="I67" s="619"/>
      <c r="J67" s="619"/>
      <c r="K67" s="619"/>
      <c r="L67" s="619"/>
      <c r="M67" s="619"/>
      <c r="N67" s="619"/>
      <c r="O67" s="151"/>
      <c r="P67" s="219"/>
      <c r="Q67" s="124"/>
      <c r="R67" s="124"/>
      <c r="S67" s="124"/>
      <c r="T67" s="124"/>
      <c r="U67" s="124"/>
      <c r="V67" s="124"/>
      <c r="W67" s="143"/>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3"/>
      <c r="AT67" s="144"/>
      <c r="AU67" s="144"/>
      <c r="AV67" s="144"/>
      <c r="AW67" s="144"/>
      <c r="AX67" s="144"/>
      <c r="AY67" s="144"/>
      <c r="AZ67" s="139"/>
      <c r="BA67" s="120"/>
      <c r="BB67" s="120"/>
      <c r="BC67" s="120"/>
      <c r="BD67" s="120"/>
      <c r="BE67" s="120"/>
      <c r="BF67" s="120"/>
      <c r="BG67" s="120"/>
      <c r="BH67" s="120"/>
      <c r="BI67" s="120"/>
      <c r="BJ67" s="120"/>
      <c r="BK67" s="120"/>
      <c r="BL67" s="120"/>
      <c r="BM67" s="120"/>
      <c r="BN67" s="120"/>
      <c r="BO67" s="119"/>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19"/>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19"/>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19"/>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19"/>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19"/>
      <c r="FV67" s="120"/>
      <c r="FW67" s="120"/>
      <c r="FX67" s="120"/>
      <c r="FY67" s="120"/>
      <c r="FZ67" s="120"/>
      <c r="GA67" s="120"/>
      <c r="GB67" s="120"/>
      <c r="GC67" s="120"/>
      <c r="GD67" s="120"/>
      <c r="GE67" s="120"/>
      <c r="GF67" s="120"/>
      <c r="GG67" s="120"/>
      <c r="GH67" s="120"/>
      <c r="GI67" s="120"/>
      <c r="GJ67" s="120"/>
      <c r="GK67" s="120"/>
      <c r="GL67" s="120"/>
      <c r="GM67" s="120"/>
      <c r="GN67" s="120"/>
      <c r="GO67" s="120"/>
      <c r="GP67" s="120"/>
      <c r="GQ67" s="119"/>
      <c r="GR67" s="120"/>
      <c r="GS67" s="120"/>
      <c r="GT67" s="120"/>
      <c r="GU67" s="120"/>
      <c r="GV67" s="120"/>
      <c r="GW67" s="120"/>
      <c r="GX67" s="120"/>
      <c r="GY67" s="120"/>
      <c r="GZ67" s="120"/>
      <c r="HA67" s="120"/>
      <c r="HB67" s="120"/>
      <c r="HC67" s="120"/>
      <c r="HD67" s="120"/>
      <c r="HE67" s="120"/>
      <c r="HF67" s="120"/>
      <c r="HG67" s="120"/>
      <c r="HH67" s="120"/>
      <c r="HI67" s="120"/>
      <c r="HJ67" s="120"/>
      <c r="HK67" s="120"/>
      <c r="HL67" s="120"/>
      <c r="HM67" s="119"/>
      <c r="HN67" s="120"/>
      <c r="HO67" s="120"/>
      <c r="HP67" s="120"/>
      <c r="HQ67" s="120"/>
      <c r="HR67" s="120"/>
      <c r="HS67" s="120"/>
      <c r="HT67" s="120"/>
      <c r="HU67" s="120"/>
      <c r="HV67" s="120"/>
      <c r="HW67" s="120"/>
      <c r="HX67" s="120"/>
      <c r="HY67" s="120"/>
      <c r="HZ67" s="120"/>
      <c r="IA67" s="120"/>
      <c r="IB67" s="120"/>
      <c r="IC67" s="120"/>
      <c r="ID67" s="120"/>
      <c r="IE67" s="120"/>
      <c r="IF67" s="120"/>
      <c r="IG67" s="120"/>
      <c r="IH67" s="120"/>
      <c r="II67" s="119"/>
      <c r="IJ67" s="120"/>
      <c r="IK67" s="120"/>
      <c r="IL67" s="120"/>
      <c r="IM67" s="120"/>
      <c r="IN67" s="120"/>
      <c r="IO67" s="120"/>
      <c r="IP67" s="120"/>
      <c r="IQ67" s="120"/>
      <c r="IR67" s="120"/>
      <c r="IS67" s="120"/>
      <c r="IT67" s="120"/>
      <c r="IU67" s="120"/>
      <c r="IV67" s="120"/>
    </row>
    <row r="68" spans="1:256" s="118" customFormat="1" ht="15" customHeight="1">
      <c r="A68" s="619"/>
      <c r="B68" s="619"/>
      <c r="C68" s="619"/>
      <c r="D68" s="619"/>
      <c r="E68" s="619"/>
      <c r="F68" s="619"/>
      <c r="G68" s="619"/>
      <c r="H68" s="619"/>
      <c r="I68" s="619"/>
      <c r="J68" s="619"/>
      <c r="K68" s="619"/>
      <c r="L68" s="619"/>
      <c r="M68" s="619"/>
      <c r="N68" s="619"/>
      <c r="O68" s="151"/>
      <c r="P68" s="219"/>
      <c r="Q68" s="124"/>
      <c r="R68" s="124"/>
      <c r="S68" s="124"/>
      <c r="T68" s="124"/>
      <c r="U68" s="124"/>
      <c r="V68" s="124"/>
      <c r="W68" s="143"/>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3"/>
      <c r="AT68" s="144"/>
      <c r="AU68" s="144"/>
      <c r="AV68" s="144"/>
      <c r="AW68" s="144"/>
      <c r="AX68" s="144"/>
      <c r="AY68" s="144"/>
      <c r="AZ68" s="139"/>
      <c r="BA68" s="120"/>
      <c r="BB68" s="120"/>
      <c r="BC68" s="120"/>
      <c r="BD68" s="120"/>
      <c r="BE68" s="120"/>
      <c r="BF68" s="120"/>
      <c r="BG68" s="120"/>
      <c r="BH68" s="120"/>
      <c r="BI68" s="120"/>
      <c r="BJ68" s="120"/>
      <c r="BK68" s="120"/>
      <c r="BL68" s="120"/>
      <c r="BM68" s="120"/>
      <c r="BN68" s="120"/>
      <c r="BO68" s="119"/>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19"/>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19"/>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19"/>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19"/>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19"/>
      <c r="FV68" s="120"/>
      <c r="FW68" s="120"/>
      <c r="FX68" s="120"/>
      <c r="FY68" s="120"/>
      <c r="FZ68" s="120"/>
      <c r="GA68" s="120"/>
      <c r="GB68" s="120"/>
      <c r="GC68" s="120"/>
      <c r="GD68" s="120"/>
      <c r="GE68" s="120"/>
      <c r="GF68" s="120"/>
      <c r="GG68" s="120"/>
      <c r="GH68" s="120"/>
      <c r="GI68" s="120"/>
      <c r="GJ68" s="120"/>
      <c r="GK68" s="120"/>
      <c r="GL68" s="120"/>
      <c r="GM68" s="120"/>
      <c r="GN68" s="120"/>
      <c r="GO68" s="120"/>
      <c r="GP68" s="120"/>
      <c r="GQ68" s="119"/>
      <c r="GR68" s="120"/>
      <c r="GS68" s="120"/>
      <c r="GT68" s="120"/>
      <c r="GU68" s="120"/>
      <c r="GV68" s="120"/>
      <c r="GW68" s="120"/>
      <c r="GX68" s="120"/>
      <c r="GY68" s="120"/>
      <c r="GZ68" s="120"/>
      <c r="HA68" s="120"/>
      <c r="HB68" s="120"/>
      <c r="HC68" s="120"/>
      <c r="HD68" s="120"/>
      <c r="HE68" s="120"/>
      <c r="HF68" s="120"/>
      <c r="HG68" s="120"/>
      <c r="HH68" s="120"/>
      <c r="HI68" s="120"/>
      <c r="HJ68" s="120"/>
      <c r="HK68" s="120"/>
      <c r="HL68" s="120"/>
      <c r="HM68" s="119"/>
      <c r="HN68" s="120"/>
      <c r="HO68" s="120"/>
      <c r="HP68" s="120"/>
      <c r="HQ68" s="120"/>
      <c r="HR68" s="120"/>
      <c r="HS68" s="120"/>
      <c r="HT68" s="120"/>
      <c r="HU68" s="120"/>
      <c r="HV68" s="120"/>
      <c r="HW68" s="120"/>
      <c r="HX68" s="120"/>
      <c r="HY68" s="120"/>
      <c r="HZ68" s="120"/>
      <c r="IA68" s="120"/>
      <c r="IB68" s="120"/>
      <c r="IC68" s="120"/>
      <c r="ID68" s="120"/>
      <c r="IE68" s="120"/>
      <c r="IF68" s="120"/>
      <c r="IG68" s="120"/>
      <c r="IH68" s="120"/>
      <c r="II68" s="119"/>
      <c r="IJ68" s="120"/>
      <c r="IK68" s="120"/>
      <c r="IL68" s="120"/>
      <c r="IM68" s="120"/>
      <c r="IN68" s="120"/>
      <c r="IO68" s="120"/>
      <c r="IP68" s="120"/>
      <c r="IQ68" s="120"/>
      <c r="IR68" s="120"/>
      <c r="IS68" s="120"/>
      <c r="IT68" s="120"/>
      <c r="IU68" s="120"/>
      <c r="IV68" s="120"/>
    </row>
    <row r="69" spans="1:52" s="121" customFormat="1" ht="15" customHeight="1">
      <c r="A69" s="619"/>
      <c r="B69" s="619"/>
      <c r="C69" s="619"/>
      <c r="D69" s="619"/>
      <c r="E69" s="619"/>
      <c r="F69" s="619"/>
      <c r="G69" s="619"/>
      <c r="H69" s="619"/>
      <c r="I69" s="619"/>
      <c r="J69" s="619"/>
      <c r="K69" s="619"/>
      <c r="L69" s="619"/>
      <c r="M69" s="619"/>
      <c r="N69" s="619"/>
      <c r="O69" s="151"/>
      <c r="P69" s="219"/>
      <c r="Q69" s="124"/>
      <c r="R69" s="124"/>
      <c r="S69" s="124"/>
      <c r="T69" s="124"/>
      <c r="U69" s="124"/>
      <c r="V69" s="124"/>
      <c r="W69" s="145"/>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0"/>
    </row>
    <row r="70" spans="2:15" ht="18">
      <c r="B70" s="33"/>
      <c r="C70" s="34"/>
      <c r="D70" s="35"/>
      <c r="E70" s="22"/>
      <c r="F70" s="22"/>
      <c r="G70" s="22"/>
      <c r="H70" s="36"/>
      <c r="I70" s="37"/>
      <c r="J70" s="38"/>
      <c r="K70" s="39"/>
      <c r="L70" s="40"/>
      <c r="M70" s="41"/>
      <c r="N70" s="39"/>
      <c r="O70" s="148"/>
    </row>
    <row r="71" spans="2:15" ht="18">
      <c r="B71" s="33"/>
      <c r="C71" s="34"/>
      <c r="D71" s="35"/>
      <c r="E71" s="22"/>
      <c r="F71" s="22"/>
      <c r="G71" s="22"/>
      <c r="H71" s="36"/>
      <c r="I71" s="37"/>
      <c r="J71" s="38"/>
      <c r="K71" s="39"/>
      <c r="L71" s="40"/>
      <c r="M71" s="41"/>
      <c r="N71" s="39"/>
      <c r="O71" s="148"/>
    </row>
    <row r="72" spans="6:15" ht="22.5">
      <c r="F72" s="22"/>
      <c r="G72" s="22"/>
      <c r="H72" s="36"/>
      <c r="I72" s="37"/>
      <c r="J72" s="38"/>
      <c r="K72" s="39"/>
      <c r="L72" s="40"/>
      <c r="M72" s="41"/>
      <c r="N72" s="39"/>
      <c r="O72" s="148"/>
    </row>
    <row r="73" spans="6:15" ht="22.5">
      <c r="F73" s="22"/>
      <c r="G73" s="22"/>
      <c r="H73" s="36"/>
      <c r="I73" s="37"/>
      <c r="J73" s="38"/>
      <c r="K73" s="39"/>
      <c r="L73" s="40"/>
      <c r="M73" s="41"/>
      <c r="N73" s="39"/>
      <c r="O73" s="148"/>
    </row>
    <row r="74" spans="6:15" ht="22.5">
      <c r="F74" s="22"/>
      <c r="G74" s="22"/>
      <c r="H74" s="36"/>
      <c r="I74" s="37"/>
      <c r="J74" s="38"/>
      <c r="K74" s="39"/>
      <c r="L74" s="40"/>
      <c r="M74" s="41"/>
      <c r="N74" s="39"/>
      <c r="O74" s="148"/>
    </row>
    <row r="75" spans="6:15" ht="22.5">
      <c r="F75" s="22"/>
      <c r="G75" s="22"/>
      <c r="H75" s="36"/>
      <c r="I75" s="37"/>
      <c r="J75" s="38"/>
      <c r="K75" s="39"/>
      <c r="L75" s="40"/>
      <c r="M75" s="41"/>
      <c r="N75" s="39"/>
      <c r="O75" s="148"/>
    </row>
    <row r="76" spans="6:15" ht="22.5">
      <c r="F76" s="22"/>
      <c r="G76" s="22"/>
      <c r="H76" s="36"/>
      <c r="I76" s="37"/>
      <c r="J76" s="38"/>
      <c r="K76" s="39"/>
      <c r="L76" s="40"/>
      <c r="M76" s="41"/>
      <c r="N76" s="39"/>
      <c r="O76" s="148"/>
    </row>
    <row r="77" spans="6:15" ht="22.5">
      <c r="F77" s="22"/>
      <c r="G77" s="22"/>
      <c r="H77" s="36"/>
      <c r="I77" s="37"/>
      <c r="J77" s="38"/>
      <c r="K77" s="39"/>
      <c r="L77" s="40"/>
      <c r="M77" s="41"/>
      <c r="N77" s="39"/>
      <c r="O77" s="148"/>
    </row>
    <row r="78" spans="14:15" ht="22.5">
      <c r="N78" s="30"/>
      <c r="O78" s="148"/>
    </row>
    <row r="79" spans="14:15" ht="22.5">
      <c r="N79" s="30"/>
      <c r="O79" s="137"/>
    </row>
    <row r="80" spans="14:15" ht="22.5">
      <c r="N80" s="30"/>
      <c r="O80" s="137"/>
    </row>
    <row r="81" spans="14:15" ht="22.5">
      <c r="N81" s="30"/>
      <c r="O81" s="137"/>
    </row>
    <row r="82" spans="14:15" ht="22.5">
      <c r="N82" s="30"/>
      <c r="O82" s="137"/>
    </row>
    <row r="83" spans="14:15" ht="22.5">
      <c r="N83" s="30"/>
      <c r="O83" s="137"/>
    </row>
    <row r="84" spans="14:15" ht="22.5">
      <c r="N84" s="30"/>
      <c r="O84" s="137"/>
    </row>
    <row r="85" spans="1:14" ht="22.5">
      <c r="A85" s="125"/>
      <c r="B85" s="126"/>
      <c r="C85" s="127"/>
      <c r="D85" s="128"/>
      <c r="E85" s="129"/>
      <c r="F85" s="129"/>
      <c r="G85" s="129"/>
      <c r="H85" s="130"/>
      <c r="I85" s="131"/>
      <c r="J85" s="132"/>
      <c r="K85" s="133"/>
      <c r="L85" s="134"/>
      <c r="M85" s="135"/>
      <c r="N85" s="136"/>
    </row>
  </sheetData>
  <sheetProtection insertRows="0" deleteRows="0" sort="0"/>
  <mergeCells count="13">
    <mergeCell ref="G3:G4"/>
    <mergeCell ref="H3:K3"/>
    <mergeCell ref="C3:C4"/>
    <mergeCell ref="A63:N65"/>
    <mergeCell ref="A66:N69"/>
    <mergeCell ref="A60:B60"/>
    <mergeCell ref="A62:N62"/>
    <mergeCell ref="A2:N2"/>
    <mergeCell ref="L3:N3"/>
    <mergeCell ref="F3:F4"/>
    <mergeCell ref="E3:E4"/>
    <mergeCell ref="B3:B4"/>
    <mergeCell ref="D3:D4"/>
  </mergeCells>
  <printOptions horizontalCentered="1" verticalCentered="1"/>
  <pageMargins left="0.53" right="0.19" top="0.5905511811023623" bottom="0.5" header="0.5118110236220472" footer="0.45"/>
  <pageSetup orientation="portrait" paperSize="9" scale="45" r:id="rId2"/>
  <ignoredErrors>
    <ignoredError sqref="K60:M61 J12:J30 M11:N11 K31:K32 K11:L11 K12:K30 K33:K42 L57:M57 K52:K57 N33:N40 N58:N59 K58:K59 L58:M59 N52:N57 O43:O57 N43:N51" formula="1"/>
    <ignoredError sqref="E43:J51" numberStoredAsText="1"/>
    <ignoredError sqref="L31:L32 M12:N32 L12:L30 L52:M56 L33:M42 K43:K51 L43:M51" formula="1" unlockedFormula="1"/>
    <ignoredError sqref="K43:K51" numberStoredAsText="1" formula="1"/>
    <ignoredError sqref="L43:M51"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IV68"/>
  <sheetViews>
    <sheetView zoomScale="130" zoomScaleNormal="130" zoomScalePageLayoutView="0" workbookViewId="0" topLeftCell="A1">
      <selection activeCell="A2" sqref="A2:I2"/>
    </sheetView>
  </sheetViews>
  <sheetFormatPr defaultColWidth="17.421875" defaultRowHeight="12.75"/>
  <cols>
    <col min="1" max="1" width="4.421875" style="73" bestFit="1" customWidth="1"/>
    <col min="2" max="2" width="52.140625" style="69" bestFit="1" customWidth="1"/>
    <col min="3" max="3" width="9.7109375" style="153" customWidth="1"/>
    <col min="4" max="4" width="22.00390625" style="70" bestFit="1" customWidth="1"/>
    <col min="5" max="5" width="7.421875" style="83" customWidth="1"/>
    <col min="6" max="6" width="8.421875" style="83" customWidth="1"/>
    <col min="7" max="7" width="14.7109375" style="36" bestFit="1" customWidth="1"/>
    <col min="8" max="8" width="10.421875" style="71" bestFit="1" customWidth="1"/>
    <col min="9" max="9" width="7.00390625" style="72" customWidth="1"/>
    <col min="10" max="10" width="2.140625" style="612" bestFit="1" customWidth="1"/>
    <col min="11" max="11" width="17.421875" style="161"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4"/>
      <c r="B1" s="95"/>
      <c r="C1" s="96"/>
      <c r="D1" s="97"/>
      <c r="E1" s="98"/>
      <c r="F1" s="98"/>
      <c r="G1" s="98"/>
      <c r="H1" s="99"/>
      <c r="I1" s="100"/>
      <c r="J1" s="609"/>
      <c r="K1" s="156"/>
      <c r="L1" s="103"/>
      <c r="M1" s="104"/>
      <c r="N1" s="105"/>
      <c r="O1" s="62"/>
    </row>
    <row r="2" spans="1:15" s="5" customFormat="1" ht="22.5" customHeight="1">
      <c r="A2" s="640" t="s">
        <v>83</v>
      </c>
      <c r="B2" s="641"/>
      <c r="C2" s="641"/>
      <c r="D2" s="641"/>
      <c r="E2" s="641"/>
      <c r="F2" s="641"/>
      <c r="G2" s="641"/>
      <c r="H2" s="641"/>
      <c r="I2" s="641"/>
      <c r="J2" s="610"/>
      <c r="K2" s="157"/>
      <c r="L2" s="106"/>
      <c r="M2" s="106"/>
      <c r="N2" s="106"/>
      <c r="O2" s="63"/>
    </row>
    <row r="3" spans="1:13" s="111" customFormat="1" ht="12.75">
      <c r="A3" s="108"/>
      <c r="B3" s="635" t="s">
        <v>6</v>
      </c>
      <c r="C3" s="636" t="s">
        <v>39</v>
      </c>
      <c r="D3" s="637" t="s">
        <v>42</v>
      </c>
      <c r="E3" s="638" t="s">
        <v>44</v>
      </c>
      <c r="F3" s="638" t="s">
        <v>40</v>
      </c>
      <c r="G3" s="638" t="s">
        <v>46</v>
      </c>
      <c r="H3" s="638"/>
      <c r="I3" s="639" t="s">
        <v>41</v>
      </c>
      <c r="J3" s="611"/>
      <c r="K3" s="158"/>
      <c r="L3" s="109"/>
      <c r="M3" s="110"/>
    </row>
    <row r="4" spans="1:13" s="115" customFormat="1" ht="13.5" thickBot="1">
      <c r="A4" s="112"/>
      <c r="B4" s="635"/>
      <c r="C4" s="636"/>
      <c r="D4" s="637"/>
      <c r="E4" s="638"/>
      <c r="F4" s="638"/>
      <c r="G4" s="184" t="s">
        <v>7</v>
      </c>
      <c r="H4" s="185" t="s">
        <v>5</v>
      </c>
      <c r="I4" s="639"/>
      <c r="J4" s="611"/>
      <c r="K4" s="159"/>
      <c r="L4" s="113"/>
      <c r="M4" s="114"/>
    </row>
    <row r="5" spans="1:11" ht="13.5" customHeight="1">
      <c r="A5" s="107">
        <v>1</v>
      </c>
      <c r="B5" s="587" t="s">
        <v>182</v>
      </c>
      <c r="C5" s="588">
        <v>40550</v>
      </c>
      <c r="D5" s="589" t="s">
        <v>23</v>
      </c>
      <c r="E5" s="590">
        <v>356</v>
      </c>
      <c r="F5" s="590">
        <v>10</v>
      </c>
      <c r="G5" s="591">
        <v>36500480</v>
      </c>
      <c r="H5" s="592">
        <v>3910639</v>
      </c>
      <c r="I5" s="593">
        <f>+G5/H5</f>
        <v>9.333635756202503</v>
      </c>
      <c r="J5" s="614">
        <v>1</v>
      </c>
      <c r="K5" s="160"/>
    </row>
    <row r="6" spans="1:11" ht="13.5" customHeight="1">
      <c r="A6" s="107">
        <v>2</v>
      </c>
      <c r="B6" s="594" t="s">
        <v>183</v>
      </c>
      <c r="C6" s="595">
        <v>40578</v>
      </c>
      <c r="D6" s="596" t="s">
        <v>23</v>
      </c>
      <c r="E6" s="597">
        <v>224</v>
      </c>
      <c r="F6" s="597">
        <v>6</v>
      </c>
      <c r="G6" s="598">
        <v>20484475</v>
      </c>
      <c r="H6" s="599">
        <v>2205612</v>
      </c>
      <c r="I6" s="600">
        <f>+G6/H6</f>
        <v>9.287433601195495</v>
      </c>
      <c r="J6" s="614">
        <v>1</v>
      </c>
      <c r="K6" s="160"/>
    </row>
    <row r="7" spans="1:11" ht="13.5" customHeight="1">
      <c r="A7" s="601">
        <v>3</v>
      </c>
      <c r="B7" s="607" t="s">
        <v>184</v>
      </c>
      <c r="C7" s="603">
        <v>40571</v>
      </c>
      <c r="D7" s="602" t="s">
        <v>26</v>
      </c>
      <c r="E7" s="604">
        <v>364</v>
      </c>
      <c r="F7" s="604">
        <v>7</v>
      </c>
      <c r="G7" s="605">
        <f>9270289+4217769.25+1762200.5+76.25+863944.5+635392-7+421743.5+30+17848</f>
        <v>17189286</v>
      </c>
      <c r="H7" s="606">
        <f>1060415+493112+207846+16+104665+81570-1+60457+6+2952</f>
        <v>2011038</v>
      </c>
      <c r="I7" s="608">
        <f>G7/H7</f>
        <v>8.547469515742616</v>
      </c>
      <c r="J7" s="614">
        <v>1</v>
      </c>
      <c r="K7" s="160"/>
    </row>
    <row r="8" spans="1:11" ht="13.5" customHeight="1">
      <c r="A8" s="107">
        <v>4</v>
      </c>
      <c r="B8" s="276" t="s">
        <v>185</v>
      </c>
      <c r="C8" s="277">
        <v>40550</v>
      </c>
      <c r="D8" s="278" t="s">
        <v>26</v>
      </c>
      <c r="E8" s="279">
        <v>238</v>
      </c>
      <c r="F8" s="279">
        <v>10</v>
      </c>
      <c r="G8" s="287">
        <f>3050831.5+2178855.5+1196710.5+496983-200+210922.5+72277.5+4+43197.5+17348.5+5963-21+911</f>
        <v>7273783.5</v>
      </c>
      <c r="H8" s="288">
        <f>393137+282255+156413+64920+60+27548+10641+7089+3227+1196+161</f>
        <v>946647</v>
      </c>
      <c r="I8" s="280">
        <f>G8/H8</f>
        <v>7.683733746581355</v>
      </c>
      <c r="J8" s="614">
        <v>1</v>
      </c>
      <c r="K8" s="160"/>
    </row>
    <row r="9" spans="1:11" ht="13.5" customHeight="1">
      <c r="A9" s="107">
        <v>5</v>
      </c>
      <c r="B9" s="209" t="s">
        <v>186</v>
      </c>
      <c r="C9" s="163">
        <v>40599</v>
      </c>
      <c r="D9" s="246" t="s">
        <v>24</v>
      </c>
      <c r="E9" s="245">
        <v>246</v>
      </c>
      <c r="F9" s="245">
        <v>3</v>
      </c>
      <c r="G9" s="192">
        <v>6161472</v>
      </c>
      <c r="H9" s="164">
        <v>675673</v>
      </c>
      <c r="I9" s="210">
        <f>+G9/H9</f>
        <v>9.119014671298098</v>
      </c>
      <c r="J9" s="614">
        <v>1</v>
      </c>
      <c r="K9" s="160"/>
    </row>
    <row r="10" spans="1:11" ht="13.5" customHeight="1">
      <c r="A10" s="107">
        <v>6</v>
      </c>
      <c r="B10" s="209" t="s">
        <v>128</v>
      </c>
      <c r="C10" s="163">
        <v>40564</v>
      </c>
      <c r="D10" s="246" t="s">
        <v>24</v>
      </c>
      <c r="E10" s="245">
        <v>109</v>
      </c>
      <c r="F10" s="245">
        <v>8</v>
      </c>
      <c r="G10" s="192">
        <v>3897836</v>
      </c>
      <c r="H10" s="164">
        <v>386480</v>
      </c>
      <c r="I10" s="210">
        <f>+G10/H10</f>
        <v>10.085479196853653</v>
      </c>
      <c r="J10" s="614"/>
      <c r="K10" s="160"/>
    </row>
    <row r="11" spans="1:11" ht="13.5" customHeight="1">
      <c r="A11" s="107">
        <v>7</v>
      </c>
      <c r="B11" s="240" t="s">
        <v>178</v>
      </c>
      <c r="C11" s="226">
        <v>40905</v>
      </c>
      <c r="D11" s="227" t="s">
        <v>23</v>
      </c>
      <c r="E11" s="228">
        <v>200</v>
      </c>
      <c r="F11" s="228">
        <v>7</v>
      </c>
      <c r="G11" s="229">
        <v>2971546</v>
      </c>
      <c r="H11" s="230">
        <v>242202</v>
      </c>
      <c r="I11" s="241">
        <f>+G11/H11</f>
        <v>12.268874740918736</v>
      </c>
      <c r="J11" s="614"/>
      <c r="K11" s="160"/>
    </row>
    <row r="12" spans="1:11" ht="13.5" customHeight="1">
      <c r="A12" s="107">
        <v>8</v>
      </c>
      <c r="B12" s="258" t="s">
        <v>141</v>
      </c>
      <c r="C12" s="163">
        <v>40578</v>
      </c>
      <c r="D12" s="246" t="s">
        <v>17</v>
      </c>
      <c r="E12" s="245">
        <v>79</v>
      </c>
      <c r="F12" s="245">
        <v>6</v>
      </c>
      <c r="G12" s="200">
        <f>1249630.5+757498.5+406869.5+134568.5+85119.5+22643</f>
        <v>2656329.5</v>
      </c>
      <c r="H12" s="167">
        <f>100473+61059+33287+10889+9516+2692</f>
        <v>217916</v>
      </c>
      <c r="I12" s="214">
        <f>IF(G12&lt;&gt;0,G12/H12,"")</f>
        <v>12.189694652985555</v>
      </c>
      <c r="J12" s="614"/>
      <c r="K12" s="160"/>
    </row>
    <row r="13" spans="1:11" ht="13.5" customHeight="1">
      <c r="A13" s="107">
        <v>9</v>
      </c>
      <c r="B13" s="213" t="s">
        <v>116</v>
      </c>
      <c r="C13" s="163">
        <v>40557</v>
      </c>
      <c r="D13" s="247" t="s">
        <v>27</v>
      </c>
      <c r="E13" s="233">
        <v>66</v>
      </c>
      <c r="F13" s="233">
        <v>9</v>
      </c>
      <c r="G13" s="198">
        <v>2595033</v>
      </c>
      <c r="H13" s="169">
        <v>250953</v>
      </c>
      <c r="I13" s="214">
        <f>+G13/H13</f>
        <v>10.340713201276733</v>
      </c>
      <c r="J13" s="614"/>
      <c r="K13" s="160"/>
    </row>
    <row r="14" spans="1:11" ht="13.5" customHeight="1">
      <c r="A14" s="107">
        <v>10</v>
      </c>
      <c r="B14" s="209" t="s">
        <v>219</v>
      </c>
      <c r="C14" s="163">
        <v>40613</v>
      </c>
      <c r="D14" s="246" t="s">
        <v>24</v>
      </c>
      <c r="E14" s="245">
        <v>280</v>
      </c>
      <c r="F14" s="245">
        <v>1</v>
      </c>
      <c r="G14" s="192">
        <v>2402015</v>
      </c>
      <c r="H14" s="164">
        <v>264008</v>
      </c>
      <c r="I14" s="210">
        <f>+G14/H14</f>
        <v>9.098265961637527</v>
      </c>
      <c r="J14" s="614">
        <v>1</v>
      </c>
      <c r="K14" s="160"/>
    </row>
    <row r="15" spans="1:11" ht="13.5" customHeight="1">
      <c r="A15" s="107">
        <v>11</v>
      </c>
      <c r="B15" s="207" t="s">
        <v>172</v>
      </c>
      <c r="C15" s="166">
        <v>40599</v>
      </c>
      <c r="D15" s="244" t="s">
        <v>119</v>
      </c>
      <c r="E15" s="243">
        <v>58</v>
      </c>
      <c r="F15" s="243">
        <v>3</v>
      </c>
      <c r="G15" s="195">
        <f>949627.55+646695.25+355755.95</f>
        <v>1952078.75</v>
      </c>
      <c r="H15" s="171">
        <f>77399+54036+29350</f>
        <v>160785</v>
      </c>
      <c r="I15" s="212">
        <f>G15/H15</f>
        <v>12.140925770438784</v>
      </c>
      <c r="J15" s="614"/>
      <c r="K15" s="160"/>
    </row>
    <row r="16" spans="1:11" ht="13.5" customHeight="1">
      <c r="A16" s="107">
        <v>12</v>
      </c>
      <c r="B16" s="207" t="s">
        <v>220</v>
      </c>
      <c r="C16" s="166">
        <v>40564</v>
      </c>
      <c r="D16" s="244" t="s">
        <v>119</v>
      </c>
      <c r="E16" s="243">
        <v>160</v>
      </c>
      <c r="F16" s="243">
        <v>8</v>
      </c>
      <c r="G16" s="195">
        <f>1102015+435620.5+74279.5+50432+22961.5+6480+10204+220</f>
        <v>1702212.5</v>
      </c>
      <c r="H16" s="171">
        <f>144071+60233+10598+7830+4045+1284+2234+29</f>
        <v>230324</v>
      </c>
      <c r="I16" s="212">
        <f>G16/H16</f>
        <v>7.390512929612198</v>
      </c>
      <c r="J16" s="614">
        <v>1</v>
      </c>
      <c r="K16" s="160"/>
    </row>
    <row r="17" spans="1:11" ht="13.5" customHeight="1">
      <c r="A17" s="107">
        <v>13</v>
      </c>
      <c r="B17" s="240" t="s">
        <v>175</v>
      </c>
      <c r="C17" s="226">
        <v>40592</v>
      </c>
      <c r="D17" s="227" t="s">
        <v>23</v>
      </c>
      <c r="E17" s="228">
        <v>27</v>
      </c>
      <c r="F17" s="228">
        <v>4</v>
      </c>
      <c r="G17" s="229">
        <v>1687039</v>
      </c>
      <c r="H17" s="230">
        <v>126999</v>
      </c>
      <c r="I17" s="241">
        <f>+G17/H17</f>
        <v>13.283876250994103</v>
      </c>
      <c r="J17" s="614"/>
      <c r="K17" s="160"/>
    </row>
    <row r="18" spans="1:11" ht="13.5" customHeight="1">
      <c r="A18" s="107">
        <v>14</v>
      </c>
      <c r="B18" s="258" t="s">
        <v>221</v>
      </c>
      <c r="C18" s="163">
        <v>40606</v>
      </c>
      <c r="D18" s="246" t="s">
        <v>17</v>
      </c>
      <c r="E18" s="245">
        <v>152</v>
      </c>
      <c r="F18" s="245">
        <v>2</v>
      </c>
      <c r="G18" s="200">
        <f>1064857.25+602581.25</f>
        <v>1667438.5</v>
      </c>
      <c r="H18" s="167">
        <f>118954+67997</f>
        <v>186951</v>
      </c>
      <c r="I18" s="214">
        <f>IF(G18&lt;&gt;0,G18/H18,"")</f>
        <v>8.919120518210654</v>
      </c>
      <c r="J18" s="614">
        <v>1</v>
      </c>
      <c r="K18" s="160"/>
    </row>
    <row r="19" spans="1:11" ht="13.5" customHeight="1">
      <c r="A19" s="107">
        <v>15</v>
      </c>
      <c r="B19" s="209" t="s">
        <v>148</v>
      </c>
      <c r="C19" s="163">
        <v>40585</v>
      </c>
      <c r="D19" s="246" t="s">
        <v>24</v>
      </c>
      <c r="E19" s="245">
        <v>89</v>
      </c>
      <c r="F19" s="245">
        <v>5</v>
      </c>
      <c r="G19" s="192">
        <v>1414660</v>
      </c>
      <c r="H19" s="164">
        <v>141159</v>
      </c>
      <c r="I19" s="210">
        <f>+G19/H19</f>
        <v>10.021748524713267</v>
      </c>
      <c r="J19" s="614"/>
      <c r="K19" s="160"/>
    </row>
    <row r="20" spans="1:11" ht="13.5" customHeight="1">
      <c r="A20" s="107">
        <v>16</v>
      </c>
      <c r="B20" s="207" t="s">
        <v>60</v>
      </c>
      <c r="C20" s="166">
        <v>40543</v>
      </c>
      <c r="D20" s="244" t="s">
        <v>119</v>
      </c>
      <c r="E20" s="243">
        <v>99</v>
      </c>
      <c r="F20" s="243">
        <v>11</v>
      </c>
      <c r="G20" s="195">
        <f>74157.5+721285.5+410076+112730.5+28262.5+6646+19483.5+940+1245+2674.5+7128+1782</f>
        <v>1386411</v>
      </c>
      <c r="H20" s="171">
        <f>7361+62279+35611+10987+4077+689+3901+125+178+502+1781+445</f>
        <v>127936</v>
      </c>
      <c r="I20" s="212">
        <f>G20/H20</f>
        <v>10.836754314657329</v>
      </c>
      <c r="J20" s="614"/>
      <c r="K20" s="160"/>
    </row>
    <row r="21" spans="1:11" ht="13.5" customHeight="1">
      <c r="A21" s="107">
        <v>17</v>
      </c>
      <c r="B21" s="240" t="s">
        <v>117</v>
      </c>
      <c r="C21" s="226">
        <v>40557</v>
      </c>
      <c r="D21" s="227" t="s">
        <v>23</v>
      </c>
      <c r="E21" s="228">
        <v>129</v>
      </c>
      <c r="F21" s="228">
        <v>9</v>
      </c>
      <c r="G21" s="229">
        <v>1368288</v>
      </c>
      <c r="H21" s="230">
        <v>120027</v>
      </c>
      <c r="I21" s="241">
        <f>+G21/H21</f>
        <v>11.399835037116649</v>
      </c>
      <c r="J21" s="614"/>
      <c r="K21" s="160"/>
    </row>
    <row r="22" spans="1:11" ht="13.5" customHeight="1">
      <c r="A22" s="107">
        <v>18</v>
      </c>
      <c r="B22" s="207" t="s">
        <v>118</v>
      </c>
      <c r="C22" s="166">
        <v>40557</v>
      </c>
      <c r="D22" s="244" t="s">
        <v>119</v>
      </c>
      <c r="E22" s="243">
        <v>50</v>
      </c>
      <c r="F22" s="243">
        <v>8</v>
      </c>
      <c r="G22" s="195">
        <f>462199.75+464711.5+220315+61757.25+29707.5+19286.5+8649+8790</f>
        <v>1275416.5</v>
      </c>
      <c r="H22" s="171">
        <f>36851+37511+17353+5020+3902+3186+1212+1112</f>
        <v>106147</v>
      </c>
      <c r="I22" s="212">
        <f>G22/H22</f>
        <v>12.015568033010824</v>
      </c>
      <c r="J22" s="615"/>
      <c r="K22" s="160"/>
    </row>
    <row r="23" spans="1:11" ht="13.5" customHeight="1">
      <c r="A23" s="107">
        <v>19</v>
      </c>
      <c r="B23" s="240" t="s">
        <v>217</v>
      </c>
      <c r="C23" s="226">
        <v>40606</v>
      </c>
      <c r="D23" s="227" t="s">
        <v>23</v>
      </c>
      <c r="E23" s="228">
        <v>93</v>
      </c>
      <c r="F23" s="228">
        <v>2</v>
      </c>
      <c r="G23" s="229">
        <v>964150</v>
      </c>
      <c r="H23" s="230">
        <v>83176</v>
      </c>
      <c r="I23" s="241">
        <f>+G23/H23</f>
        <v>11.591685101471578</v>
      </c>
      <c r="J23" s="614"/>
      <c r="K23" s="160"/>
    </row>
    <row r="24" spans="1:11" ht="13.5" customHeight="1">
      <c r="A24" s="107">
        <v>20</v>
      </c>
      <c r="B24" s="240" t="s">
        <v>212</v>
      </c>
      <c r="C24" s="226">
        <v>40606</v>
      </c>
      <c r="D24" s="227" t="s">
        <v>23</v>
      </c>
      <c r="E24" s="228">
        <v>104</v>
      </c>
      <c r="F24" s="228">
        <v>2</v>
      </c>
      <c r="G24" s="229">
        <v>962001</v>
      </c>
      <c r="H24" s="230">
        <v>91718</v>
      </c>
      <c r="I24" s="241">
        <f>+G24/H24</f>
        <v>10.488682701323622</v>
      </c>
      <c r="J24" s="614"/>
      <c r="K24" s="160"/>
    </row>
    <row r="25" spans="1:11" ht="13.5" customHeight="1">
      <c r="A25" s="107">
        <v>21</v>
      </c>
      <c r="B25" s="207" t="s">
        <v>138</v>
      </c>
      <c r="C25" s="166">
        <v>40571</v>
      </c>
      <c r="D25" s="244" t="s">
        <v>103</v>
      </c>
      <c r="E25" s="243">
        <v>20</v>
      </c>
      <c r="F25" s="243">
        <v>7</v>
      </c>
      <c r="G25" s="239">
        <v>755747</v>
      </c>
      <c r="H25" s="238">
        <v>61406</v>
      </c>
      <c r="I25" s="271">
        <v>12.307380386281471</v>
      </c>
      <c r="J25" s="614"/>
      <c r="K25" s="160"/>
    </row>
    <row r="26" spans="1:11" ht="13.5" customHeight="1">
      <c r="A26" s="107">
        <v>22</v>
      </c>
      <c r="B26" s="215" t="s">
        <v>187</v>
      </c>
      <c r="C26" s="166">
        <v>40585</v>
      </c>
      <c r="D26" s="244" t="s">
        <v>119</v>
      </c>
      <c r="E26" s="243">
        <v>58</v>
      </c>
      <c r="F26" s="243">
        <v>5</v>
      </c>
      <c r="G26" s="195">
        <f>236018+209847.25+105622+138051.5+64189.5</f>
        <v>753728.25</v>
      </c>
      <c r="H26" s="171">
        <f>25731+24506+13184+19079+9581</f>
        <v>92081</v>
      </c>
      <c r="I26" s="212">
        <f>G26/H26</f>
        <v>8.185491578067136</v>
      </c>
      <c r="J26" s="614">
        <v>1</v>
      </c>
      <c r="K26" s="160"/>
    </row>
    <row r="27" spans="1:11" ht="13.5" customHeight="1">
      <c r="A27" s="107">
        <v>23</v>
      </c>
      <c r="B27" s="258" t="s">
        <v>222</v>
      </c>
      <c r="C27" s="163">
        <v>40613</v>
      </c>
      <c r="D27" s="246" t="s">
        <v>17</v>
      </c>
      <c r="E27" s="245">
        <v>89</v>
      </c>
      <c r="F27" s="245">
        <v>1</v>
      </c>
      <c r="G27" s="200">
        <v>621196.5</v>
      </c>
      <c r="H27" s="167">
        <v>55015</v>
      </c>
      <c r="I27" s="214">
        <f>IF(G27&lt;&gt;0,G27/H27,"")</f>
        <v>11.291402344815051</v>
      </c>
      <c r="J27" s="614"/>
      <c r="K27" s="160"/>
    </row>
    <row r="28" spans="1:11" ht="13.5" customHeight="1">
      <c r="A28" s="107">
        <v>24</v>
      </c>
      <c r="B28" s="209" t="s">
        <v>164</v>
      </c>
      <c r="C28" s="163">
        <v>40592</v>
      </c>
      <c r="D28" s="246" t="s">
        <v>24</v>
      </c>
      <c r="E28" s="245">
        <v>168</v>
      </c>
      <c r="F28" s="245">
        <v>3</v>
      </c>
      <c r="G28" s="192">
        <v>572572</v>
      </c>
      <c r="H28" s="164">
        <v>51135</v>
      </c>
      <c r="I28" s="210">
        <f>+G28/H28</f>
        <v>11.197262149212868</v>
      </c>
      <c r="J28" s="615"/>
      <c r="K28" s="160"/>
    </row>
    <row r="29" spans="1:11" ht="13.5" customHeight="1">
      <c r="A29" s="107">
        <v>25</v>
      </c>
      <c r="B29" s="215" t="s">
        <v>173</v>
      </c>
      <c r="C29" s="166">
        <v>40599</v>
      </c>
      <c r="D29" s="244" t="s">
        <v>119</v>
      </c>
      <c r="E29" s="243">
        <v>60</v>
      </c>
      <c r="F29" s="243">
        <v>3</v>
      </c>
      <c r="G29" s="195">
        <f>324952+205669.75+36076.25</f>
        <v>566698</v>
      </c>
      <c r="H29" s="171">
        <f>28582+18445+3670</f>
        <v>50697</v>
      </c>
      <c r="I29" s="212">
        <f>G29/H29</f>
        <v>11.178136773379096</v>
      </c>
      <c r="J29" s="614"/>
      <c r="K29" s="160"/>
    </row>
    <row r="30" spans="1:11" ht="13.5" customHeight="1">
      <c r="A30" s="107">
        <v>26</v>
      </c>
      <c r="B30" s="240" t="s">
        <v>189</v>
      </c>
      <c r="C30" s="226">
        <v>40592</v>
      </c>
      <c r="D30" s="227" t="s">
        <v>23</v>
      </c>
      <c r="E30" s="228">
        <v>80</v>
      </c>
      <c r="F30" s="228">
        <v>4</v>
      </c>
      <c r="G30" s="229">
        <v>512484</v>
      </c>
      <c r="H30" s="230">
        <v>58562</v>
      </c>
      <c r="I30" s="241">
        <f>+G30/H30</f>
        <v>8.751135548649295</v>
      </c>
      <c r="J30" s="614">
        <v>1</v>
      </c>
      <c r="K30" s="160"/>
    </row>
    <row r="31" spans="1:11" ht="13.5" customHeight="1">
      <c r="A31" s="107">
        <v>27</v>
      </c>
      <c r="B31" s="209" t="s">
        <v>188</v>
      </c>
      <c r="C31" s="163">
        <v>40564</v>
      </c>
      <c r="D31" s="246" t="s">
        <v>17</v>
      </c>
      <c r="E31" s="245">
        <v>100</v>
      </c>
      <c r="F31" s="245">
        <v>7</v>
      </c>
      <c r="G31" s="200">
        <f>351928.5+109593.5+20592.5+6351+8236+2820+477</f>
        <v>499998.5</v>
      </c>
      <c r="H31" s="176">
        <f>40887+13714+2624+866+1497+479+81</f>
        <v>60148</v>
      </c>
      <c r="I31" s="214">
        <f>IF(G31&lt;&gt;0,G31/H31,"")</f>
        <v>8.31280341823502</v>
      </c>
      <c r="J31" s="615">
        <v>1</v>
      </c>
      <c r="K31" s="160"/>
    </row>
    <row r="32" spans="1:11" ht="13.5" customHeight="1">
      <c r="A32" s="107">
        <v>28</v>
      </c>
      <c r="B32" s="213" t="s">
        <v>223</v>
      </c>
      <c r="C32" s="163">
        <v>40613</v>
      </c>
      <c r="D32" s="234" t="s">
        <v>25</v>
      </c>
      <c r="E32" s="233">
        <v>105</v>
      </c>
      <c r="F32" s="233">
        <v>1</v>
      </c>
      <c r="G32" s="206">
        <v>493990</v>
      </c>
      <c r="H32" s="173">
        <v>51293</v>
      </c>
      <c r="I32" s="217">
        <f>+G32/H32</f>
        <v>9.6307488351237</v>
      </c>
      <c r="J32" s="614">
        <v>1</v>
      </c>
      <c r="K32" s="160"/>
    </row>
    <row r="33" spans="1:11" ht="13.5" customHeight="1">
      <c r="A33" s="107">
        <v>29</v>
      </c>
      <c r="B33" s="207" t="s">
        <v>165</v>
      </c>
      <c r="C33" s="166">
        <v>40592</v>
      </c>
      <c r="D33" s="244" t="s">
        <v>119</v>
      </c>
      <c r="E33" s="243">
        <v>26</v>
      </c>
      <c r="F33" s="243">
        <v>4</v>
      </c>
      <c r="G33" s="195">
        <f>237198+117355.25+39279+7609</f>
        <v>401441.25</v>
      </c>
      <c r="H33" s="171">
        <f>20106+9312+4270+1420</f>
        <v>35108</v>
      </c>
      <c r="I33" s="212">
        <f>G33/H33</f>
        <v>11.434466503361058</v>
      </c>
      <c r="J33" s="614"/>
      <c r="K33" s="160"/>
    </row>
    <row r="34" spans="1:11" ht="13.5" customHeight="1">
      <c r="A34" s="107">
        <v>30</v>
      </c>
      <c r="B34" s="213" t="s">
        <v>149</v>
      </c>
      <c r="C34" s="163">
        <v>40585</v>
      </c>
      <c r="D34" s="247" t="s">
        <v>27</v>
      </c>
      <c r="E34" s="233">
        <v>41</v>
      </c>
      <c r="F34" s="233">
        <v>5</v>
      </c>
      <c r="G34" s="198">
        <v>343128</v>
      </c>
      <c r="H34" s="169">
        <v>28624</v>
      </c>
      <c r="I34" s="214">
        <f>+G34/H34</f>
        <v>11.987423141419788</v>
      </c>
      <c r="J34" s="614"/>
      <c r="K34" s="160"/>
    </row>
    <row r="35" spans="1:11" ht="13.5" customHeight="1">
      <c r="A35" s="107">
        <v>31</v>
      </c>
      <c r="B35" s="240" t="s">
        <v>213</v>
      </c>
      <c r="C35" s="226">
        <v>40606</v>
      </c>
      <c r="D35" s="227" t="s">
        <v>23</v>
      </c>
      <c r="E35" s="228">
        <v>52</v>
      </c>
      <c r="F35" s="228">
        <v>2</v>
      </c>
      <c r="G35" s="229">
        <v>319572</v>
      </c>
      <c r="H35" s="230">
        <v>25372</v>
      </c>
      <c r="I35" s="241">
        <f>+G35/H35</f>
        <v>12.595459561721583</v>
      </c>
      <c r="J35" s="614"/>
      <c r="K35" s="160"/>
    </row>
    <row r="36" spans="1:11" ht="13.5" customHeight="1">
      <c r="A36" s="107">
        <v>32</v>
      </c>
      <c r="B36" s="240" t="s">
        <v>176</v>
      </c>
      <c r="C36" s="226">
        <v>40599</v>
      </c>
      <c r="D36" s="227" t="s">
        <v>23</v>
      </c>
      <c r="E36" s="228">
        <v>30</v>
      </c>
      <c r="F36" s="228">
        <v>3</v>
      </c>
      <c r="G36" s="229">
        <v>267582</v>
      </c>
      <c r="H36" s="230">
        <v>21631</v>
      </c>
      <c r="I36" s="241">
        <f>+G36/H36</f>
        <v>12.370301881558873</v>
      </c>
      <c r="J36" s="614"/>
      <c r="K36" s="160"/>
    </row>
    <row r="37" spans="1:11" ht="13.5" customHeight="1">
      <c r="A37" s="107">
        <v>33</v>
      </c>
      <c r="B37" s="272" t="s">
        <v>85</v>
      </c>
      <c r="C37" s="163">
        <v>40543</v>
      </c>
      <c r="D37" s="247" t="s">
        <v>104</v>
      </c>
      <c r="E37" s="270" t="s">
        <v>74</v>
      </c>
      <c r="F37" s="270" t="s">
        <v>203</v>
      </c>
      <c r="G37" s="198">
        <v>235108</v>
      </c>
      <c r="H37" s="169">
        <v>19357</v>
      </c>
      <c r="I37" s="212">
        <f>G37/H37</f>
        <v>12.145890375574728</v>
      </c>
      <c r="J37" s="614"/>
      <c r="K37" s="160"/>
    </row>
    <row r="38" spans="1:11" ht="13.5" customHeight="1">
      <c r="A38" s="107">
        <v>34</v>
      </c>
      <c r="B38" s="242" t="s">
        <v>190</v>
      </c>
      <c r="C38" s="259">
        <v>40543</v>
      </c>
      <c r="D38" s="231" t="s">
        <v>119</v>
      </c>
      <c r="E38" s="232">
        <v>77</v>
      </c>
      <c r="F38" s="232">
        <v>9</v>
      </c>
      <c r="G38" s="186">
        <f>163528+30551+13366.5+447+2034+736+438+615.5+1401.5</f>
        <v>213117.5</v>
      </c>
      <c r="H38" s="269">
        <f>16190+3500+1888+71+488+168+61+118+314</f>
        <v>22798</v>
      </c>
      <c r="I38" s="187">
        <f>G38/H38</f>
        <v>9.348078778840248</v>
      </c>
      <c r="J38" s="616">
        <v>1</v>
      </c>
      <c r="K38" s="160"/>
    </row>
    <row r="39" spans="1:11" ht="13.5" customHeight="1">
      <c r="A39" s="107">
        <v>35</v>
      </c>
      <c r="B39" s="213" t="s">
        <v>191</v>
      </c>
      <c r="C39" s="163">
        <v>40557</v>
      </c>
      <c r="D39" s="247" t="s">
        <v>27</v>
      </c>
      <c r="E39" s="233">
        <v>66</v>
      </c>
      <c r="F39" s="233">
        <v>8</v>
      </c>
      <c r="G39" s="198">
        <v>207906</v>
      </c>
      <c r="H39" s="169">
        <v>24812</v>
      </c>
      <c r="I39" s="214">
        <f>+G39/H39</f>
        <v>8.37925197485088</v>
      </c>
      <c r="J39" s="615">
        <v>1</v>
      </c>
      <c r="K39" s="160"/>
    </row>
    <row r="40" spans="1:11" ht="13.5" customHeight="1">
      <c r="A40" s="107">
        <v>36</v>
      </c>
      <c r="B40" s="240" t="s">
        <v>142</v>
      </c>
      <c r="C40" s="226">
        <v>40543</v>
      </c>
      <c r="D40" s="227" t="s">
        <v>23</v>
      </c>
      <c r="E40" s="228">
        <v>118</v>
      </c>
      <c r="F40" s="228">
        <v>11</v>
      </c>
      <c r="G40" s="229">
        <v>201844</v>
      </c>
      <c r="H40" s="230">
        <v>22349</v>
      </c>
      <c r="I40" s="241">
        <f>+G40/H40</f>
        <v>9.031455546109445</v>
      </c>
      <c r="J40" s="614">
        <v>1</v>
      </c>
      <c r="K40" s="160"/>
    </row>
    <row r="41" spans="1:11" ht="13.5" customHeight="1">
      <c r="A41" s="107">
        <v>37</v>
      </c>
      <c r="B41" s="213" t="s">
        <v>207</v>
      </c>
      <c r="C41" s="163">
        <v>40592</v>
      </c>
      <c r="D41" s="247" t="s">
        <v>27</v>
      </c>
      <c r="E41" s="233">
        <v>68</v>
      </c>
      <c r="F41" s="233">
        <v>4</v>
      </c>
      <c r="G41" s="198">
        <v>148048</v>
      </c>
      <c r="H41" s="169">
        <v>15260</v>
      </c>
      <c r="I41" s="214">
        <f>+G41/H41</f>
        <v>9.701703800786369</v>
      </c>
      <c r="J41" s="614"/>
      <c r="K41" s="160"/>
    </row>
    <row r="42" spans="1:11" ht="13.5" customHeight="1">
      <c r="A42" s="107">
        <v>38</v>
      </c>
      <c r="B42" s="215" t="s">
        <v>224</v>
      </c>
      <c r="C42" s="177">
        <v>40613</v>
      </c>
      <c r="D42" s="244" t="s">
        <v>119</v>
      </c>
      <c r="E42" s="249">
        <v>22</v>
      </c>
      <c r="F42" s="249">
        <v>1</v>
      </c>
      <c r="G42" s="195">
        <f>116753</f>
        <v>116753</v>
      </c>
      <c r="H42" s="171">
        <f>8727</f>
        <v>8727</v>
      </c>
      <c r="I42" s="212">
        <f>G42/H42</f>
        <v>13.378365990603873</v>
      </c>
      <c r="J42" s="614"/>
      <c r="K42" s="160"/>
    </row>
    <row r="43" spans="1:11" ht="13.5" customHeight="1">
      <c r="A43" s="107">
        <v>39</v>
      </c>
      <c r="B43" s="258" t="s">
        <v>89</v>
      </c>
      <c r="C43" s="163">
        <v>40543</v>
      </c>
      <c r="D43" s="246" t="s">
        <v>17</v>
      </c>
      <c r="E43" s="245">
        <v>20</v>
      </c>
      <c r="F43" s="245">
        <v>8</v>
      </c>
      <c r="G43" s="200">
        <f>66843.5+17122+2473.5+3354+459+3105+2586+96</f>
        <v>96039</v>
      </c>
      <c r="H43" s="176">
        <f>6779+1684+271+528+66+413+401+16</f>
        <v>10158</v>
      </c>
      <c r="I43" s="214">
        <f>IF(G43&lt;&gt;0,G43/H43,"")</f>
        <v>9.454518606024807</v>
      </c>
      <c r="J43" s="614"/>
      <c r="K43" s="160"/>
    </row>
    <row r="44" spans="1:11" ht="13.5" customHeight="1">
      <c r="A44" s="107">
        <v>40</v>
      </c>
      <c r="B44" s="242" t="s">
        <v>120</v>
      </c>
      <c r="C44" s="261">
        <v>40557</v>
      </c>
      <c r="D44" s="248" t="s">
        <v>171</v>
      </c>
      <c r="E44" s="235">
        <v>7</v>
      </c>
      <c r="F44" s="235">
        <v>7</v>
      </c>
      <c r="G44" s="255">
        <v>94349</v>
      </c>
      <c r="H44" s="268">
        <v>6902</v>
      </c>
      <c r="I44" s="256">
        <f aca="true" t="shared" si="0" ref="I44:I49">G44/H44</f>
        <v>13.669805853375832</v>
      </c>
      <c r="J44" s="616"/>
      <c r="K44" s="160"/>
    </row>
    <row r="45" spans="1:11" ht="13.5" customHeight="1">
      <c r="A45" s="107">
        <v>41</v>
      </c>
      <c r="B45" s="215" t="s">
        <v>129</v>
      </c>
      <c r="C45" s="166">
        <v>40564</v>
      </c>
      <c r="D45" s="244" t="s">
        <v>119</v>
      </c>
      <c r="E45" s="243">
        <v>13</v>
      </c>
      <c r="F45" s="243">
        <v>6</v>
      </c>
      <c r="G45" s="195">
        <f>64028+21223+629+205+489+141</f>
        <v>86715</v>
      </c>
      <c r="H45" s="171">
        <f>5321+1577+38+24+63+17</f>
        <v>7040</v>
      </c>
      <c r="I45" s="212">
        <f t="shared" si="0"/>
        <v>12.317471590909092</v>
      </c>
      <c r="J45" s="615"/>
      <c r="K45" s="160"/>
    </row>
    <row r="46" spans="1:11" ht="13.5" customHeight="1">
      <c r="A46" s="107">
        <v>42</v>
      </c>
      <c r="B46" s="207" t="s">
        <v>225</v>
      </c>
      <c r="C46" s="166">
        <v>40613</v>
      </c>
      <c r="D46" s="244" t="s">
        <v>119</v>
      </c>
      <c r="E46" s="243">
        <v>25</v>
      </c>
      <c r="F46" s="243">
        <v>1</v>
      </c>
      <c r="G46" s="195">
        <f>75934</f>
        <v>75934</v>
      </c>
      <c r="H46" s="171">
        <f>9554</f>
        <v>9554</v>
      </c>
      <c r="I46" s="212">
        <f t="shared" si="0"/>
        <v>7.947875235503454</v>
      </c>
      <c r="J46" s="614">
        <v>1</v>
      </c>
      <c r="K46" s="160"/>
    </row>
    <row r="47" spans="1:11" ht="13.5" customHeight="1">
      <c r="A47" s="107">
        <v>43</v>
      </c>
      <c r="B47" s="211" t="s">
        <v>86</v>
      </c>
      <c r="C47" s="175">
        <v>40543</v>
      </c>
      <c r="D47" s="248" t="s">
        <v>197</v>
      </c>
      <c r="E47" s="243">
        <v>2</v>
      </c>
      <c r="F47" s="243">
        <v>10</v>
      </c>
      <c r="G47" s="203">
        <v>66408.5</v>
      </c>
      <c r="H47" s="168">
        <v>4999</v>
      </c>
      <c r="I47" s="216">
        <f t="shared" si="0"/>
        <v>13.284356871374275</v>
      </c>
      <c r="J47" s="614"/>
      <c r="K47" s="160"/>
    </row>
    <row r="48" spans="1:11" ht="13.5" customHeight="1">
      <c r="A48" s="107">
        <v>44</v>
      </c>
      <c r="B48" s="207" t="s">
        <v>192</v>
      </c>
      <c r="C48" s="166">
        <v>40592</v>
      </c>
      <c r="D48" s="244" t="s">
        <v>31</v>
      </c>
      <c r="E48" s="243">
        <v>37</v>
      </c>
      <c r="F48" s="243">
        <v>9</v>
      </c>
      <c r="G48" s="189">
        <v>66374.5</v>
      </c>
      <c r="H48" s="167">
        <v>9255</v>
      </c>
      <c r="I48" s="208">
        <f t="shared" si="0"/>
        <v>7.171745002701242</v>
      </c>
      <c r="J48" s="615">
        <v>1</v>
      </c>
      <c r="K48" s="160"/>
    </row>
    <row r="49" spans="1:11" ht="13.5" customHeight="1">
      <c r="A49" s="107">
        <v>45</v>
      </c>
      <c r="B49" s="211" t="s">
        <v>226</v>
      </c>
      <c r="C49" s="175">
        <v>40613</v>
      </c>
      <c r="D49" s="248" t="s">
        <v>171</v>
      </c>
      <c r="E49" s="243">
        <v>25</v>
      </c>
      <c r="F49" s="243">
        <v>1</v>
      </c>
      <c r="G49" s="203">
        <v>64211.5</v>
      </c>
      <c r="H49" s="168">
        <v>7042</v>
      </c>
      <c r="I49" s="216">
        <f t="shared" si="0"/>
        <v>9.118361261005397</v>
      </c>
      <c r="J49" s="614">
        <v>1</v>
      </c>
      <c r="K49" s="160"/>
    </row>
    <row r="50" spans="1:11" ht="13.5" customHeight="1">
      <c r="A50" s="107">
        <v>46</v>
      </c>
      <c r="B50" s="242" t="s">
        <v>150</v>
      </c>
      <c r="C50" s="166">
        <v>40585</v>
      </c>
      <c r="D50" s="231" t="s">
        <v>23</v>
      </c>
      <c r="E50" s="235">
        <v>13</v>
      </c>
      <c r="F50" s="235">
        <v>2</v>
      </c>
      <c r="G50" s="189">
        <v>60408</v>
      </c>
      <c r="H50" s="176">
        <v>4591</v>
      </c>
      <c r="I50" s="208">
        <f>+G50/H50</f>
        <v>13.157917664996733</v>
      </c>
      <c r="J50" s="616"/>
      <c r="K50" s="160"/>
    </row>
    <row r="51" spans="1:11" ht="13.5" customHeight="1">
      <c r="A51" s="107">
        <v>47</v>
      </c>
      <c r="B51" s="207" t="s">
        <v>227</v>
      </c>
      <c r="C51" s="166">
        <v>40606</v>
      </c>
      <c r="D51" s="244" t="s">
        <v>26</v>
      </c>
      <c r="E51" s="243">
        <v>30</v>
      </c>
      <c r="F51" s="243">
        <v>2</v>
      </c>
      <c r="G51" s="189">
        <f>19586+10137</f>
        <v>29723</v>
      </c>
      <c r="H51" s="176">
        <f>3031+1660</f>
        <v>4691</v>
      </c>
      <c r="I51" s="212">
        <f>G51/H51</f>
        <v>6.336175655510552</v>
      </c>
      <c r="J51" s="614">
        <v>1</v>
      </c>
      <c r="K51" s="160"/>
    </row>
    <row r="52" spans="1:11" ht="13.5" customHeight="1">
      <c r="A52" s="107">
        <v>48</v>
      </c>
      <c r="B52" s="215" t="s">
        <v>200</v>
      </c>
      <c r="C52" s="166">
        <v>40606</v>
      </c>
      <c r="D52" s="244" t="s">
        <v>119</v>
      </c>
      <c r="E52" s="243">
        <v>6</v>
      </c>
      <c r="F52" s="243">
        <v>2</v>
      </c>
      <c r="G52" s="195">
        <f>23509.5+4775.5</f>
        <v>28285</v>
      </c>
      <c r="H52" s="171">
        <f>1642+339</f>
        <v>1981</v>
      </c>
      <c r="I52" s="212">
        <f>G52/H52</f>
        <v>14.278142352347299</v>
      </c>
      <c r="J52" s="614"/>
      <c r="K52" s="160"/>
    </row>
    <row r="53" spans="1:11" ht="13.5" customHeight="1">
      <c r="A53" s="107">
        <v>49</v>
      </c>
      <c r="B53" s="207" t="s">
        <v>121</v>
      </c>
      <c r="C53" s="166">
        <v>40557</v>
      </c>
      <c r="D53" s="244" t="s">
        <v>103</v>
      </c>
      <c r="E53" s="243">
        <v>12</v>
      </c>
      <c r="F53" s="243">
        <v>5</v>
      </c>
      <c r="G53" s="239">
        <v>21553</v>
      </c>
      <c r="H53" s="238">
        <v>2076</v>
      </c>
      <c r="I53" s="271">
        <v>10.381984585741812</v>
      </c>
      <c r="J53" s="614"/>
      <c r="K53" s="160"/>
    </row>
    <row r="54" spans="1:11" ht="13.5" customHeight="1">
      <c r="A54" s="107">
        <v>50</v>
      </c>
      <c r="B54" s="242" t="s">
        <v>102</v>
      </c>
      <c r="C54" s="166">
        <v>40550</v>
      </c>
      <c r="D54" s="260" t="s">
        <v>119</v>
      </c>
      <c r="E54" s="232">
        <v>2</v>
      </c>
      <c r="F54" s="232">
        <v>6</v>
      </c>
      <c r="G54" s="195">
        <f>8356+3109+3208+1189+694+1140</f>
        <v>17696</v>
      </c>
      <c r="H54" s="171">
        <f>789+330+327+132+146+315</f>
        <v>2039</v>
      </c>
      <c r="I54" s="212">
        <f>G54/H54</f>
        <v>8.678764100049044</v>
      </c>
      <c r="J54" s="616"/>
      <c r="K54" s="160"/>
    </row>
    <row r="55" spans="1:11" ht="13.5" customHeight="1">
      <c r="A55" s="107">
        <v>51</v>
      </c>
      <c r="B55" s="211" t="s">
        <v>137</v>
      </c>
      <c r="C55" s="175">
        <v>40564</v>
      </c>
      <c r="D55" s="248" t="s">
        <v>171</v>
      </c>
      <c r="E55" s="243">
        <v>1</v>
      </c>
      <c r="F55" s="243">
        <v>5</v>
      </c>
      <c r="G55" s="203">
        <v>10397</v>
      </c>
      <c r="H55" s="168">
        <v>1133</v>
      </c>
      <c r="I55" s="216">
        <f>G55/H55</f>
        <v>9.176522506619595</v>
      </c>
      <c r="J55" s="614"/>
      <c r="K55" s="160"/>
    </row>
    <row r="56" spans="1:11" ht="13.5" customHeight="1">
      <c r="A56" s="107">
        <v>52</v>
      </c>
      <c r="B56" s="207" t="s">
        <v>193</v>
      </c>
      <c r="C56" s="166">
        <v>40592</v>
      </c>
      <c r="D56" s="244" t="s">
        <v>31</v>
      </c>
      <c r="E56" s="243">
        <v>3</v>
      </c>
      <c r="F56" s="243">
        <v>3</v>
      </c>
      <c r="G56" s="189">
        <v>8010</v>
      </c>
      <c r="H56" s="167">
        <v>1122</v>
      </c>
      <c r="I56" s="208">
        <f>G56/H56</f>
        <v>7.13903743315508</v>
      </c>
      <c r="J56" s="615">
        <v>1</v>
      </c>
      <c r="K56" s="160"/>
    </row>
    <row r="57" spans="1:11" ht="13.5" customHeight="1" thickBot="1">
      <c r="A57" s="107">
        <v>53</v>
      </c>
      <c r="B57" s="289" t="s">
        <v>205</v>
      </c>
      <c r="C57" s="273">
        <v>40606</v>
      </c>
      <c r="D57" s="274" t="s">
        <v>119</v>
      </c>
      <c r="E57" s="275">
        <v>3</v>
      </c>
      <c r="F57" s="275">
        <v>2</v>
      </c>
      <c r="G57" s="281">
        <f>3944+1062</f>
        <v>5006</v>
      </c>
      <c r="H57" s="282">
        <f>424+116</f>
        <v>540</v>
      </c>
      <c r="I57" s="283">
        <f>G57/H57</f>
        <v>9.27037037037037</v>
      </c>
      <c r="J57" s="614"/>
      <c r="K57" s="160"/>
    </row>
    <row r="58" spans="2:9" ht="12.75">
      <c r="B58" s="76"/>
      <c r="C58" s="152"/>
      <c r="D58" s="77"/>
      <c r="E58" s="82"/>
      <c r="F58" s="82"/>
      <c r="G58" s="78"/>
      <c r="H58" s="79"/>
      <c r="I58" s="80"/>
    </row>
    <row r="59" spans="1:52" s="118" customFormat="1" ht="21.75" customHeight="1">
      <c r="A59" s="617" t="s">
        <v>55</v>
      </c>
      <c r="B59" s="618"/>
      <c r="C59" s="618"/>
      <c r="D59" s="618"/>
      <c r="E59" s="618"/>
      <c r="F59" s="618"/>
      <c r="G59" s="618"/>
      <c r="H59" s="618"/>
      <c r="I59" s="618"/>
      <c r="J59" s="618"/>
      <c r="K59" s="618"/>
      <c r="L59" s="618"/>
      <c r="M59" s="618"/>
      <c r="N59" s="618"/>
      <c r="O59" s="122"/>
      <c r="P59" s="123"/>
      <c r="Q59" s="123"/>
      <c r="R59" s="123"/>
      <c r="S59" s="123"/>
      <c r="T59" s="123"/>
      <c r="U59" s="123"/>
      <c r="V59" s="123"/>
      <c r="W59" s="141"/>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38"/>
    </row>
    <row r="60" spans="1:256" s="118" customFormat="1" ht="18" customHeight="1">
      <c r="A60" s="617" t="s">
        <v>28</v>
      </c>
      <c r="B60" s="618"/>
      <c r="C60" s="618"/>
      <c r="D60" s="618"/>
      <c r="E60" s="618"/>
      <c r="F60" s="618"/>
      <c r="G60" s="618"/>
      <c r="H60" s="618"/>
      <c r="I60" s="618"/>
      <c r="J60" s="618"/>
      <c r="K60" s="618"/>
      <c r="L60" s="618"/>
      <c r="M60" s="618"/>
      <c r="N60" s="618"/>
      <c r="O60" s="122"/>
      <c r="P60" s="123"/>
      <c r="Q60" s="123"/>
      <c r="R60" s="123"/>
      <c r="S60" s="123"/>
      <c r="T60" s="123"/>
      <c r="U60" s="123"/>
      <c r="V60" s="123"/>
      <c r="W60" s="143"/>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3"/>
      <c r="AT60" s="144"/>
      <c r="AU60" s="144"/>
      <c r="AV60" s="144"/>
      <c r="AW60" s="144"/>
      <c r="AX60" s="144"/>
      <c r="AY60" s="144"/>
      <c r="AZ60" s="139"/>
      <c r="BA60" s="120"/>
      <c r="BB60" s="120"/>
      <c r="BC60" s="120"/>
      <c r="BD60" s="120"/>
      <c r="BE60" s="120"/>
      <c r="BF60" s="120"/>
      <c r="BG60" s="120"/>
      <c r="BH60" s="120"/>
      <c r="BI60" s="120"/>
      <c r="BJ60" s="120"/>
      <c r="BK60" s="120"/>
      <c r="BL60" s="120"/>
      <c r="BM60" s="120"/>
      <c r="BN60" s="120"/>
      <c r="BO60" s="119"/>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19"/>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19"/>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19"/>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19"/>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19"/>
      <c r="FV60" s="120"/>
      <c r="FW60" s="120"/>
      <c r="FX60" s="120"/>
      <c r="FY60" s="120"/>
      <c r="FZ60" s="120"/>
      <c r="GA60" s="120"/>
      <c r="GB60" s="120"/>
      <c r="GC60" s="120"/>
      <c r="GD60" s="120"/>
      <c r="GE60" s="120"/>
      <c r="GF60" s="120"/>
      <c r="GG60" s="120"/>
      <c r="GH60" s="120"/>
      <c r="GI60" s="120"/>
      <c r="GJ60" s="120"/>
      <c r="GK60" s="120"/>
      <c r="GL60" s="120"/>
      <c r="GM60" s="120"/>
      <c r="GN60" s="120"/>
      <c r="GO60" s="120"/>
      <c r="GP60" s="120"/>
      <c r="GQ60" s="119"/>
      <c r="GR60" s="120"/>
      <c r="GS60" s="120"/>
      <c r="GT60" s="120"/>
      <c r="GU60" s="120"/>
      <c r="GV60" s="120"/>
      <c r="GW60" s="120"/>
      <c r="GX60" s="120"/>
      <c r="GY60" s="120"/>
      <c r="GZ60" s="120"/>
      <c r="HA60" s="120"/>
      <c r="HB60" s="120"/>
      <c r="HC60" s="120"/>
      <c r="HD60" s="120"/>
      <c r="HE60" s="120"/>
      <c r="HF60" s="120"/>
      <c r="HG60" s="120"/>
      <c r="HH60" s="120"/>
      <c r="HI60" s="120"/>
      <c r="HJ60" s="120"/>
      <c r="HK60" s="120"/>
      <c r="HL60" s="120"/>
      <c r="HM60" s="119"/>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19"/>
      <c r="IJ60" s="120"/>
      <c r="IK60" s="120"/>
      <c r="IL60" s="120"/>
      <c r="IM60" s="120"/>
      <c r="IN60" s="120"/>
      <c r="IO60" s="120"/>
      <c r="IP60" s="120"/>
      <c r="IQ60" s="120"/>
      <c r="IR60" s="120"/>
      <c r="IS60" s="120"/>
      <c r="IT60" s="120"/>
      <c r="IU60" s="120"/>
      <c r="IV60" s="120"/>
    </row>
    <row r="61" spans="1:256" s="118" customFormat="1" ht="18" customHeight="1">
      <c r="A61" s="618"/>
      <c r="B61" s="618"/>
      <c r="C61" s="618"/>
      <c r="D61" s="618"/>
      <c r="E61" s="618"/>
      <c r="F61" s="618"/>
      <c r="G61" s="618"/>
      <c r="H61" s="618"/>
      <c r="I61" s="618"/>
      <c r="J61" s="618"/>
      <c r="K61" s="618"/>
      <c r="L61" s="618"/>
      <c r="M61" s="618"/>
      <c r="N61" s="618"/>
      <c r="O61" s="122"/>
      <c r="P61" s="123"/>
      <c r="Q61" s="123"/>
      <c r="R61" s="123"/>
      <c r="S61" s="123"/>
      <c r="T61" s="123"/>
      <c r="U61" s="123"/>
      <c r="V61" s="123"/>
      <c r="W61" s="143"/>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3"/>
      <c r="AT61" s="144"/>
      <c r="AU61" s="144"/>
      <c r="AV61" s="144"/>
      <c r="AW61" s="144"/>
      <c r="AX61" s="144"/>
      <c r="AY61" s="144"/>
      <c r="AZ61" s="139"/>
      <c r="BA61" s="120"/>
      <c r="BB61" s="120"/>
      <c r="BC61" s="120"/>
      <c r="BD61" s="120"/>
      <c r="BE61" s="120"/>
      <c r="BF61" s="120"/>
      <c r="BG61" s="120"/>
      <c r="BH61" s="120"/>
      <c r="BI61" s="120"/>
      <c r="BJ61" s="120"/>
      <c r="BK61" s="120"/>
      <c r="BL61" s="120"/>
      <c r="BM61" s="120"/>
      <c r="BN61" s="120"/>
      <c r="BO61" s="119"/>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19"/>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19"/>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19"/>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19"/>
      <c r="EZ61" s="120"/>
      <c r="FA61" s="120"/>
      <c r="FB61" s="120"/>
      <c r="FC61" s="120"/>
      <c r="FD61" s="120"/>
      <c r="FE61" s="120"/>
      <c r="FF61" s="120"/>
      <c r="FG61" s="120"/>
      <c r="FH61" s="120"/>
      <c r="FI61" s="120"/>
      <c r="FJ61" s="120"/>
      <c r="FK61" s="120"/>
      <c r="FL61" s="120"/>
      <c r="FM61" s="120"/>
      <c r="FN61" s="120"/>
      <c r="FO61" s="120"/>
      <c r="FP61" s="120"/>
      <c r="FQ61" s="120"/>
      <c r="FR61" s="120"/>
      <c r="FS61" s="120"/>
      <c r="FT61" s="120"/>
      <c r="FU61" s="119"/>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19"/>
      <c r="GR61" s="120"/>
      <c r="GS61" s="120"/>
      <c r="GT61" s="120"/>
      <c r="GU61" s="120"/>
      <c r="GV61" s="120"/>
      <c r="GW61" s="120"/>
      <c r="GX61" s="120"/>
      <c r="GY61" s="120"/>
      <c r="GZ61" s="120"/>
      <c r="HA61" s="120"/>
      <c r="HB61" s="120"/>
      <c r="HC61" s="120"/>
      <c r="HD61" s="120"/>
      <c r="HE61" s="120"/>
      <c r="HF61" s="120"/>
      <c r="HG61" s="120"/>
      <c r="HH61" s="120"/>
      <c r="HI61" s="120"/>
      <c r="HJ61" s="120"/>
      <c r="HK61" s="120"/>
      <c r="HL61" s="120"/>
      <c r="HM61" s="119"/>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19"/>
      <c r="IJ61" s="120"/>
      <c r="IK61" s="120"/>
      <c r="IL61" s="120"/>
      <c r="IM61" s="120"/>
      <c r="IN61" s="120"/>
      <c r="IO61" s="120"/>
      <c r="IP61" s="120"/>
      <c r="IQ61" s="120"/>
      <c r="IR61" s="120"/>
      <c r="IS61" s="120"/>
      <c r="IT61" s="120"/>
      <c r="IU61" s="120"/>
      <c r="IV61" s="120"/>
    </row>
    <row r="62" spans="1:256" s="118" customFormat="1" ht="18" customHeight="1">
      <c r="A62" s="618"/>
      <c r="B62" s="618"/>
      <c r="C62" s="618"/>
      <c r="D62" s="618"/>
      <c r="E62" s="618"/>
      <c r="F62" s="618"/>
      <c r="G62" s="618"/>
      <c r="H62" s="618"/>
      <c r="I62" s="618"/>
      <c r="J62" s="618"/>
      <c r="K62" s="618"/>
      <c r="L62" s="618"/>
      <c r="M62" s="618"/>
      <c r="N62" s="618"/>
      <c r="O62" s="122"/>
      <c r="P62" s="123"/>
      <c r="Q62" s="123"/>
      <c r="R62" s="123"/>
      <c r="S62" s="123"/>
      <c r="T62" s="123"/>
      <c r="U62" s="123"/>
      <c r="V62" s="123"/>
      <c r="W62" s="143"/>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3"/>
      <c r="AT62" s="144"/>
      <c r="AU62" s="144"/>
      <c r="AV62" s="144"/>
      <c r="AW62" s="144"/>
      <c r="AX62" s="144"/>
      <c r="AY62" s="144"/>
      <c r="AZ62" s="139"/>
      <c r="BA62" s="120"/>
      <c r="BB62" s="120"/>
      <c r="BC62" s="120"/>
      <c r="BD62" s="120"/>
      <c r="BE62" s="120"/>
      <c r="BF62" s="120"/>
      <c r="BG62" s="120"/>
      <c r="BH62" s="120"/>
      <c r="BI62" s="120"/>
      <c r="BJ62" s="120"/>
      <c r="BK62" s="120"/>
      <c r="BL62" s="120"/>
      <c r="BM62" s="120"/>
      <c r="BN62" s="120"/>
      <c r="BO62" s="119"/>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19"/>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19"/>
      <c r="DH62" s="120"/>
      <c r="DI62" s="120"/>
      <c r="DJ62" s="120"/>
      <c r="DK62" s="120"/>
      <c r="DL62" s="120"/>
      <c r="DM62" s="120"/>
      <c r="DN62" s="120"/>
      <c r="DO62" s="120"/>
      <c r="DP62" s="120"/>
      <c r="DQ62" s="120"/>
      <c r="DR62" s="120"/>
      <c r="DS62" s="120"/>
      <c r="DT62" s="120"/>
      <c r="DU62" s="120"/>
      <c r="DV62" s="120"/>
      <c r="DW62" s="120"/>
      <c r="DX62" s="120"/>
      <c r="DY62" s="120"/>
      <c r="DZ62" s="120"/>
      <c r="EA62" s="120"/>
      <c r="EB62" s="120"/>
      <c r="EC62" s="119"/>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19"/>
      <c r="EZ62" s="120"/>
      <c r="FA62" s="120"/>
      <c r="FB62" s="120"/>
      <c r="FC62" s="120"/>
      <c r="FD62" s="120"/>
      <c r="FE62" s="120"/>
      <c r="FF62" s="120"/>
      <c r="FG62" s="120"/>
      <c r="FH62" s="120"/>
      <c r="FI62" s="120"/>
      <c r="FJ62" s="120"/>
      <c r="FK62" s="120"/>
      <c r="FL62" s="120"/>
      <c r="FM62" s="120"/>
      <c r="FN62" s="120"/>
      <c r="FO62" s="120"/>
      <c r="FP62" s="120"/>
      <c r="FQ62" s="120"/>
      <c r="FR62" s="120"/>
      <c r="FS62" s="120"/>
      <c r="FT62" s="120"/>
      <c r="FU62" s="119"/>
      <c r="FV62" s="120"/>
      <c r="FW62" s="120"/>
      <c r="FX62" s="120"/>
      <c r="FY62" s="120"/>
      <c r="FZ62" s="120"/>
      <c r="GA62" s="120"/>
      <c r="GB62" s="120"/>
      <c r="GC62" s="120"/>
      <c r="GD62" s="120"/>
      <c r="GE62" s="120"/>
      <c r="GF62" s="120"/>
      <c r="GG62" s="120"/>
      <c r="GH62" s="120"/>
      <c r="GI62" s="120"/>
      <c r="GJ62" s="120"/>
      <c r="GK62" s="120"/>
      <c r="GL62" s="120"/>
      <c r="GM62" s="120"/>
      <c r="GN62" s="120"/>
      <c r="GO62" s="120"/>
      <c r="GP62" s="120"/>
      <c r="GQ62" s="119"/>
      <c r="GR62" s="120"/>
      <c r="GS62" s="120"/>
      <c r="GT62" s="120"/>
      <c r="GU62" s="120"/>
      <c r="GV62" s="120"/>
      <c r="GW62" s="120"/>
      <c r="GX62" s="120"/>
      <c r="GY62" s="120"/>
      <c r="GZ62" s="120"/>
      <c r="HA62" s="120"/>
      <c r="HB62" s="120"/>
      <c r="HC62" s="120"/>
      <c r="HD62" s="120"/>
      <c r="HE62" s="120"/>
      <c r="HF62" s="120"/>
      <c r="HG62" s="120"/>
      <c r="HH62" s="120"/>
      <c r="HI62" s="120"/>
      <c r="HJ62" s="120"/>
      <c r="HK62" s="120"/>
      <c r="HL62" s="120"/>
      <c r="HM62" s="119"/>
      <c r="HN62" s="120"/>
      <c r="HO62" s="120"/>
      <c r="HP62" s="120"/>
      <c r="HQ62" s="120"/>
      <c r="HR62" s="120"/>
      <c r="HS62" s="120"/>
      <c r="HT62" s="120"/>
      <c r="HU62" s="120"/>
      <c r="HV62" s="120"/>
      <c r="HW62" s="120"/>
      <c r="HX62" s="120"/>
      <c r="HY62" s="120"/>
      <c r="HZ62" s="120"/>
      <c r="IA62" s="120"/>
      <c r="IB62" s="120"/>
      <c r="IC62" s="120"/>
      <c r="ID62" s="120"/>
      <c r="IE62" s="120"/>
      <c r="IF62" s="120"/>
      <c r="IG62" s="120"/>
      <c r="IH62" s="120"/>
      <c r="II62" s="119"/>
      <c r="IJ62" s="120"/>
      <c r="IK62" s="120"/>
      <c r="IL62" s="120"/>
      <c r="IM62" s="120"/>
      <c r="IN62" s="120"/>
      <c r="IO62" s="120"/>
      <c r="IP62" s="120"/>
      <c r="IQ62" s="120"/>
      <c r="IR62" s="120"/>
      <c r="IS62" s="120"/>
      <c r="IT62" s="120"/>
      <c r="IU62" s="120"/>
      <c r="IV62" s="120"/>
    </row>
    <row r="63" spans="1:256" s="118" customFormat="1" ht="15" customHeight="1">
      <c r="A63" s="617" t="s">
        <v>54</v>
      </c>
      <c r="B63" s="619"/>
      <c r="C63" s="619"/>
      <c r="D63" s="619"/>
      <c r="E63" s="619"/>
      <c r="F63" s="619"/>
      <c r="G63" s="619"/>
      <c r="H63" s="619"/>
      <c r="I63" s="619"/>
      <c r="J63" s="619"/>
      <c r="K63" s="619"/>
      <c r="L63" s="619"/>
      <c r="M63" s="619"/>
      <c r="N63" s="619"/>
      <c r="O63" s="147"/>
      <c r="P63" s="124"/>
      <c r="Q63" s="124"/>
      <c r="R63" s="124"/>
      <c r="S63" s="124"/>
      <c r="T63" s="124"/>
      <c r="U63" s="124"/>
      <c r="V63" s="124"/>
      <c r="W63" s="143"/>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3"/>
      <c r="AT63" s="144"/>
      <c r="AU63" s="144"/>
      <c r="AV63" s="144"/>
      <c r="AW63" s="144"/>
      <c r="AX63" s="144"/>
      <c r="AY63" s="144"/>
      <c r="AZ63" s="139"/>
      <c r="BA63" s="120"/>
      <c r="BB63" s="120"/>
      <c r="BC63" s="120"/>
      <c r="BD63" s="120"/>
      <c r="BE63" s="120"/>
      <c r="BF63" s="120"/>
      <c r="BG63" s="120"/>
      <c r="BH63" s="120"/>
      <c r="BI63" s="120"/>
      <c r="BJ63" s="120"/>
      <c r="BK63" s="120"/>
      <c r="BL63" s="120"/>
      <c r="BM63" s="120"/>
      <c r="BN63" s="120"/>
      <c r="BO63" s="119"/>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19"/>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19"/>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19"/>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19"/>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19"/>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19"/>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19"/>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19"/>
      <c r="IJ63" s="120"/>
      <c r="IK63" s="120"/>
      <c r="IL63" s="120"/>
      <c r="IM63" s="120"/>
      <c r="IN63" s="120"/>
      <c r="IO63" s="120"/>
      <c r="IP63" s="120"/>
      <c r="IQ63" s="120"/>
      <c r="IR63" s="120"/>
      <c r="IS63" s="120"/>
      <c r="IT63" s="120"/>
      <c r="IU63" s="120"/>
      <c r="IV63" s="120"/>
    </row>
    <row r="64" spans="1:256" s="118" customFormat="1" ht="15" customHeight="1">
      <c r="A64" s="619"/>
      <c r="B64" s="619"/>
      <c r="C64" s="619"/>
      <c r="D64" s="619"/>
      <c r="E64" s="619"/>
      <c r="F64" s="619"/>
      <c r="G64" s="619"/>
      <c r="H64" s="619"/>
      <c r="I64" s="619"/>
      <c r="J64" s="619"/>
      <c r="K64" s="619"/>
      <c r="L64" s="619"/>
      <c r="M64" s="619"/>
      <c r="N64" s="619"/>
      <c r="O64" s="147"/>
      <c r="P64" s="124"/>
      <c r="Q64" s="124"/>
      <c r="R64" s="124"/>
      <c r="S64" s="124"/>
      <c r="T64" s="124"/>
      <c r="U64" s="124"/>
      <c r="V64" s="124"/>
      <c r="W64" s="143"/>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3"/>
      <c r="AT64" s="144"/>
      <c r="AU64" s="144"/>
      <c r="AV64" s="144"/>
      <c r="AW64" s="144"/>
      <c r="AX64" s="144"/>
      <c r="AY64" s="144"/>
      <c r="AZ64" s="139"/>
      <c r="BA64" s="120"/>
      <c r="BB64" s="120"/>
      <c r="BC64" s="120"/>
      <c r="BD64" s="120"/>
      <c r="BE64" s="120"/>
      <c r="BF64" s="120"/>
      <c r="BG64" s="120"/>
      <c r="BH64" s="120"/>
      <c r="BI64" s="120"/>
      <c r="BJ64" s="120"/>
      <c r="BK64" s="120"/>
      <c r="BL64" s="120"/>
      <c r="BM64" s="120"/>
      <c r="BN64" s="120"/>
      <c r="BO64" s="119"/>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19"/>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19"/>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19"/>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19"/>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19"/>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19"/>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19"/>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19"/>
      <c r="IJ64" s="120"/>
      <c r="IK64" s="120"/>
      <c r="IL64" s="120"/>
      <c r="IM64" s="120"/>
      <c r="IN64" s="120"/>
      <c r="IO64" s="120"/>
      <c r="IP64" s="120"/>
      <c r="IQ64" s="120"/>
      <c r="IR64" s="120"/>
      <c r="IS64" s="120"/>
      <c r="IT64" s="120"/>
      <c r="IU64" s="120"/>
      <c r="IV64" s="120"/>
    </row>
    <row r="65" spans="1:256" s="118" customFormat="1" ht="15" customHeight="1">
      <c r="A65" s="619"/>
      <c r="B65" s="619"/>
      <c r="C65" s="619"/>
      <c r="D65" s="619"/>
      <c r="E65" s="619"/>
      <c r="F65" s="619"/>
      <c r="G65" s="619"/>
      <c r="H65" s="619"/>
      <c r="I65" s="619"/>
      <c r="J65" s="619"/>
      <c r="K65" s="619"/>
      <c r="L65" s="619"/>
      <c r="M65" s="619"/>
      <c r="N65" s="619"/>
      <c r="O65" s="147"/>
      <c r="P65" s="124"/>
      <c r="Q65" s="124"/>
      <c r="R65" s="124"/>
      <c r="S65" s="124"/>
      <c r="T65" s="124"/>
      <c r="U65" s="124"/>
      <c r="V65" s="124"/>
      <c r="W65" s="143"/>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3"/>
      <c r="AT65" s="144"/>
      <c r="AU65" s="144"/>
      <c r="AV65" s="144"/>
      <c r="AW65" s="144"/>
      <c r="AX65" s="144"/>
      <c r="AY65" s="144"/>
      <c r="AZ65" s="139"/>
      <c r="BA65" s="120"/>
      <c r="BB65" s="120"/>
      <c r="BC65" s="120"/>
      <c r="BD65" s="120"/>
      <c r="BE65" s="120"/>
      <c r="BF65" s="120"/>
      <c r="BG65" s="120"/>
      <c r="BH65" s="120"/>
      <c r="BI65" s="120"/>
      <c r="BJ65" s="120"/>
      <c r="BK65" s="120"/>
      <c r="BL65" s="120"/>
      <c r="BM65" s="120"/>
      <c r="BN65" s="120"/>
      <c r="BO65" s="119"/>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19"/>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19"/>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19"/>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19"/>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19"/>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19"/>
      <c r="GR65" s="120"/>
      <c r="GS65" s="120"/>
      <c r="GT65" s="120"/>
      <c r="GU65" s="120"/>
      <c r="GV65" s="120"/>
      <c r="GW65" s="120"/>
      <c r="GX65" s="120"/>
      <c r="GY65" s="120"/>
      <c r="GZ65" s="120"/>
      <c r="HA65" s="120"/>
      <c r="HB65" s="120"/>
      <c r="HC65" s="120"/>
      <c r="HD65" s="120"/>
      <c r="HE65" s="120"/>
      <c r="HF65" s="120"/>
      <c r="HG65" s="120"/>
      <c r="HH65" s="120"/>
      <c r="HI65" s="120"/>
      <c r="HJ65" s="120"/>
      <c r="HK65" s="120"/>
      <c r="HL65" s="120"/>
      <c r="HM65" s="119"/>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19"/>
      <c r="IJ65" s="120"/>
      <c r="IK65" s="120"/>
      <c r="IL65" s="120"/>
      <c r="IM65" s="120"/>
      <c r="IN65" s="120"/>
      <c r="IO65" s="120"/>
      <c r="IP65" s="120"/>
      <c r="IQ65" s="120"/>
      <c r="IR65" s="120"/>
      <c r="IS65" s="120"/>
      <c r="IT65" s="120"/>
      <c r="IU65" s="120"/>
      <c r="IV65" s="120"/>
    </row>
    <row r="66" spans="1:52" s="121" customFormat="1" ht="15" customHeight="1">
      <c r="A66" s="619"/>
      <c r="B66" s="619"/>
      <c r="C66" s="619"/>
      <c r="D66" s="619"/>
      <c r="E66" s="619"/>
      <c r="F66" s="619"/>
      <c r="G66" s="619"/>
      <c r="H66" s="619"/>
      <c r="I66" s="619"/>
      <c r="J66" s="619"/>
      <c r="K66" s="619"/>
      <c r="L66" s="619"/>
      <c r="M66" s="619"/>
      <c r="N66" s="619"/>
      <c r="O66" s="147"/>
      <c r="P66" s="124"/>
      <c r="Q66" s="124"/>
      <c r="R66" s="124"/>
      <c r="S66" s="124"/>
      <c r="T66" s="124"/>
      <c r="U66" s="124"/>
      <c r="V66" s="124"/>
      <c r="W66" s="145"/>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0"/>
    </row>
    <row r="67" spans="1:15" s="3" customFormat="1" ht="18">
      <c r="A67" s="75"/>
      <c r="B67" s="33"/>
      <c r="C67" s="34"/>
      <c r="D67" s="35"/>
      <c r="E67" s="22"/>
      <c r="F67" s="22"/>
      <c r="G67" s="22"/>
      <c r="H67" s="36"/>
      <c r="I67" s="37"/>
      <c r="J67" s="613"/>
      <c r="K67" s="162"/>
      <c r="L67" s="40"/>
      <c r="M67" s="41"/>
      <c r="N67" s="39"/>
      <c r="O67" s="148"/>
    </row>
    <row r="68" spans="1:15" s="3" customFormat="1" ht="18">
      <c r="A68" s="75"/>
      <c r="B68" s="33"/>
      <c r="C68" s="34"/>
      <c r="D68" s="35"/>
      <c r="E68" s="22"/>
      <c r="F68" s="22"/>
      <c r="G68" s="22"/>
      <c r="H68" s="36"/>
      <c r="I68" s="37"/>
      <c r="J68" s="613"/>
      <c r="K68" s="162"/>
      <c r="L68" s="40"/>
      <c r="M68" s="41"/>
      <c r="N68" s="39"/>
      <c r="O68" s="148"/>
    </row>
  </sheetData>
  <sheetProtection/>
  <mergeCells count="11">
    <mergeCell ref="A2:I2"/>
    <mergeCell ref="A59:N59"/>
    <mergeCell ref="A60:N62"/>
    <mergeCell ref="A63:N66"/>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G15:H25 G26:H36 I52:I57 G53:H57" unlockedFormula="1"/>
    <ignoredError sqref="E37:F52 G50:H51" numberStoredAsText="1"/>
    <ignoredError sqref="I12:I25 I29:I51" formula="1"/>
    <ignoredError sqref="G37:H49 G52:H52" numberStoredAsText="1" unlockedFormula="1"/>
  </ignoredErrors>
  <drawing r:id="rId1"/>
</worksheet>
</file>

<file path=xl/worksheets/sheet3.xml><?xml version="1.0" encoding="utf-8"?>
<worksheet xmlns="http://schemas.openxmlformats.org/spreadsheetml/2006/main" xmlns:r="http://schemas.openxmlformats.org/officeDocument/2006/relationships">
  <dimension ref="A1:T326"/>
  <sheetViews>
    <sheetView zoomScalePageLayoutView="0" workbookViewId="0" topLeftCell="A1">
      <selection activeCell="A2" sqref="A2:N2"/>
    </sheetView>
  </sheetViews>
  <sheetFormatPr defaultColWidth="8.8515625" defaultRowHeight="12.75"/>
  <cols>
    <col min="1" max="1" width="3.7109375" style="81" bestFit="1" customWidth="1"/>
    <col min="2" max="2" width="59.7109375" style="11" bestFit="1" customWidth="1"/>
    <col min="3" max="3" width="8.421875" style="16" bestFit="1" customWidth="1"/>
    <col min="4" max="4" width="22.00390625" style="10" bestFit="1" customWidth="1"/>
    <col min="5" max="5" width="6.8515625" style="250" customWidth="1"/>
    <col min="6" max="6" width="7.28125" style="251" customWidth="1"/>
    <col min="7" max="7" width="8.421875" style="252" customWidth="1"/>
    <col min="8" max="8" width="13.57421875" style="154" bestFit="1" customWidth="1"/>
    <col min="9" max="9" width="8.57421875" style="155"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286" bestFit="1" customWidth="1"/>
    <col min="16" max="16" width="2.140625" style="267" bestFit="1" customWidth="1"/>
    <col min="17" max="18" width="4.00390625" style="0" customWidth="1"/>
    <col min="19" max="19" width="9.7109375" style="0" bestFit="1" customWidth="1"/>
    <col min="20" max="20" width="6.00390625" style="0" bestFit="1" customWidth="1"/>
  </cols>
  <sheetData>
    <row r="1" spans="1:16" s="1" customFormat="1" ht="72.75" customHeight="1">
      <c r="A1" s="94"/>
      <c r="B1" s="95"/>
      <c r="C1" s="96"/>
      <c r="D1" s="97"/>
      <c r="E1" s="98"/>
      <c r="F1" s="98"/>
      <c r="G1" s="98"/>
      <c r="H1" s="99"/>
      <c r="I1" s="100"/>
      <c r="J1" s="101"/>
      <c r="K1" s="102"/>
      <c r="L1" s="103"/>
      <c r="M1" s="104"/>
      <c r="N1" s="105"/>
      <c r="O1" s="62"/>
      <c r="P1" s="263"/>
    </row>
    <row r="2" spans="1:16" s="5" customFormat="1" ht="22.5" customHeight="1" thickBot="1">
      <c r="A2" s="644" t="s">
        <v>84</v>
      </c>
      <c r="B2" s="645"/>
      <c r="C2" s="645"/>
      <c r="D2" s="645"/>
      <c r="E2" s="645"/>
      <c r="F2" s="645"/>
      <c r="G2" s="645"/>
      <c r="H2" s="645"/>
      <c r="I2" s="645"/>
      <c r="J2" s="645"/>
      <c r="K2" s="645"/>
      <c r="L2" s="645"/>
      <c r="M2" s="645"/>
      <c r="N2" s="645"/>
      <c r="O2" s="63"/>
      <c r="P2" s="264"/>
    </row>
    <row r="3" spans="1:20" s="86" customFormat="1" ht="12.75">
      <c r="A3" s="116"/>
      <c r="B3" s="630" t="s">
        <v>6</v>
      </c>
      <c r="C3" s="634" t="s">
        <v>43</v>
      </c>
      <c r="D3" s="632" t="s">
        <v>33</v>
      </c>
      <c r="E3" s="628" t="s">
        <v>44</v>
      </c>
      <c r="F3" s="628" t="s">
        <v>51</v>
      </c>
      <c r="G3" s="628" t="s">
        <v>32</v>
      </c>
      <c r="H3" s="642" t="s">
        <v>45</v>
      </c>
      <c r="I3" s="642"/>
      <c r="J3" s="642"/>
      <c r="K3" s="642"/>
      <c r="L3" s="642" t="s">
        <v>46</v>
      </c>
      <c r="M3" s="642"/>
      <c r="N3" s="643"/>
      <c r="O3" s="284"/>
      <c r="P3" s="265"/>
      <c r="Q3" s="149"/>
      <c r="R3" s="149"/>
      <c r="S3" s="149"/>
      <c r="T3" s="149"/>
    </row>
    <row r="4" spans="1:20" s="86" customFormat="1" ht="39" thickBot="1">
      <c r="A4" s="117"/>
      <c r="B4" s="647"/>
      <c r="C4" s="648"/>
      <c r="D4" s="646"/>
      <c r="E4" s="646"/>
      <c r="F4" s="646"/>
      <c r="G4" s="649"/>
      <c r="H4" s="221" t="s">
        <v>47</v>
      </c>
      <c r="I4" s="222" t="s">
        <v>48</v>
      </c>
      <c r="J4" s="222" t="s">
        <v>38</v>
      </c>
      <c r="K4" s="223" t="s">
        <v>49</v>
      </c>
      <c r="L4" s="221" t="s">
        <v>47</v>
      </c>
      <c r="M4" s="222" t="s">
        <v>48</v>
      </c>
      <c r="N4" s="224" t="s">
        <v>50</v>
      </c>
      <c r="O4" s="285"/>
      <c r="P4" s="266"/>
      <c r="Q4" s="149"/>
      <c r="R4" s="149"/>
      <c r="S4" s="149"/>
      <c r="T4" s="149"/>
    </row>
    <row r="5" spans="1:20" ht="13.5" customHeight="1">
      <c r="A5" s="225">
        <v>1</v>
      </c>
      <c r="B5" s="520" t="s">
        <v>155</v>
      </c>
      <c r="C5" s="521">
        <v>40095</v>
      </c>
      <c r="D5" s="522" t="s">
        <v>119</v>
      </c>
      <c r="E5" s="523">
        <v>22</v>
      </c>
      <c r="F5" s="523">
        <v>1</v>
      </c>
      <c r="G5" s="523">
        <v>20</v>
      </c>
      <c r="H5" s="524">
        <v>952</v>
      </c>
      <c r="I5" s="525">
        <v>238</v>
      </c>
      <c r="J5" s="526">
        <f aca="true" t="shared" si="0" ref="J5:J17">(I5/F5)</f>
        <v>238</v>
      </c>
      <c r="K5" s="527">
        <f aca="true" t="shared" si="1" ref="K5:K27">H5/I5</f>
        <v>4</v>
      </c>
      <c r="L5" s="528">
        <f>158809.5+140713.25+103696.25+38523+19360+17458+1188+196+2484+3158+1780+2933+1780+2461+6600.5+2668.5+440+441+476+952</f>
        <v>506118</v>
      </c>
      <c r="M5" s="529">
        <f>14214+13110+10683+4685+3074+2645+297+16+571+596+445+584+445+466+837+295+44+65+72+238</f>
        <v>53382</v>
      </c>
      <c r="N5" s="530">
        <f aca="true" t="shared" si="2" ref="N5:N17">L5/M5</f>
        <v>9.481061031808474</v>
      </c>
      <c r="O5" s="366"/>
      <c r="P5" s="354"/>
      <c r="Q5" s="66"/>
      <c r="R5" s="66"/>
      <c r="S5" s="66"/>
      <c r="T5" s="66"/>
    </row>
    <row r="6" spans="1:20" ht="13.5" customHeight="1">
      <c r="A6" s="225">
        <v>2</v>
      </c>
      <c r="B6" s="531" t="s">
        <v>201</v>
      </c>
      <c r="C6" s="419">
        <v>39493</v>
      </c>
      <c r="D6" s="374" t="s">
        <v>26</v>
      </c>
      <c r="E6" s="427">
        <v>179</v>
      </c>
      <c r="F6" s="427">
        <v>1</v>
      </c>
      <c r="G6" s="427">
        <v>47</v>
      </c>
      <c r="H6" s="421">
        <v>1919</v>
      </c>
      <c r="I6" s="422">
        <v>320</v>
      </c>
      <c r="J6" s="362">
        <f t="shared" si="0"/>
        <v>320</v>
      </c>
      <c r="K6" s="363">
        <f t="shared" si="1"/>
        <v>5.996875</v>
      </c>
      <c r="L6" s="425">
        <f>5039812.5+1919</f>
        <v>5041731.5</v>
      </c>
      <c r="M6" s="423">
        <f>1038442+320</f>
        <v>1038762</v>
      </c>
      <c r="N6" s="532">
        <f t="shared" si="2"/>
        <v>4.853596396479656</v>
      </c>
      <c r="O6" s="586">
        <v>1</v>
      </c>
      <c r="P6" s="355"/>
      <c r="Q6" s="66"/>
      <c r="R6" s="66"/>
      <c r="S6" s="66"/>
      <c r="T6" s="66"/>
    </row>
    <row r="7" spans="1:20" ht="13.5" customHeight="1">
      <c r="A7" s="225">
        <v>3</v>
      </c>
      <c r="B7" s="533" t="s">
        <v>16</v>
      </c>
      <c r="C7" s="368">
        <v>40417</v>
      </c>
      <c r="D7" s="357" t="s">
        <v>119</v>
      </c>
      <c r="E7" s="369">
        <v>25</v>
      </c>
      <c r="F7" s="369">
        <v>1</v>
      </c>
      <c r="G7" s="369">
        <v>15</v>
      </c>
      <c r="H7" s="370">
        <v>807</v>
      </c>
      <c r="I7" s="361">
        <v>102</v>
      </c>
      <c r="J7" s="362">
        <f t="shared" si="0"/>
        <v>102</v>
      </c>
      <c r="K7" s="371">
        <f t="shared" si="1"/>
        <v>7.911764705882353</v>
      </c>
      <c r="L7" s="372">
        <f>87475.5+57473+42134+23624+14854.5+21662+13363.5+5246+6057+2099+300.5+763+292.5+496.5+807</f>
        <v>276648</v>
      </c>
      <c r="M7" s="365">
        <f>7817+5228+5394+3109+2109+2845+2026+770+762+416+44+111+45+73+102</f>
        <v>30851</v>
      </c>
      <c r="N7" s="534">
        <f t="shared" si="2"/>
        <v>8.96722958737156</v>
      </c>
      <c r="O7" s="373"/>
      <c r="P7" s="355"/>
      <c r="Q7" s="66"/>
      <c r="R7" s="66"/>
      <c r="S7" s="66"/>
      <c r="T7" s="66"/>
    </row>
    <row r="8" spans="1:20" ht="13.5" customHeight="1">
      <c r="A8" s="225">
        <v>4</v>
      </c>
      <c r="B8" s="531" t="s">
        <v>130</v>
      </c>
      <c r="C8" s="368">
        <v>40172</v>
      </c>
      <c r="D8" s="374" t="s">
        <v>119</v>
      </c>
      <c r="E8" s="369">
        <v>60</v>
      </c>
      <c r="F8" s="369">
        <v>3</v>
      </c>
      <c r="G8" s="369">
        <v>32</v>
      </c>
      <c r="H8" s="360">
        <v>5074</v>
      </c>
      <c r="I8" s="361">
        <v>1267</v>
      </c>
      <c r="J8" s="362">
        <f t="shared" si="0"/>
        <v>422.3333333333333</v>
      </c>
      <c r="K8" s="363">
        <f t="shared" si="1"/>
        <v>4.004735595895817</v>
      </c>
      <c r="L8" s="364">
        <f>421775.5+397095.5+287050+215248.5+189819.5+180729.5+86816.5+23840+19148+14942.5+8798.5+9599+13618.5+4298+4028+3310+8547+6712.5+1803+1172+973+2291+380.5+3015+1103.5+65+2061.5+1262+1020+2232+2970+5074</f>
        <v>1920799.5</v>
      </c>
      <c r="M8" s="365">
        <f>43739+40732+31780+27356+25902+24895+12153+4496+3179+3069+1650+2236+3335+954+829+540+1945+1297+429+261+173+594+53+613+200+10+480+240+102+533+743+1267</f>
        <v>235785</v>
      </c>
      <c r="N8" s="532">
        <f t="shared" si="2"/>
        <v>8.146402442903492</v>
      </c>
      <c r="O8" s="373"/>
      <c r="P8" s="354"/>
      <c r="Q8" s="66"/>
      <c r="R8" s="66"/>
      <c r="S8" s="66"/>
      <c r="T8" s="66"/>
    </row>
    <row r="9" spans="1:20" ht="13.5" customHeight="1">
      <c r="A9" s="225">
        <v>5</v>
      </c>
      <c r="B9" s="531" t="s">
        <v>130</v>
      </c>
      <c r="C9" s="368">
        <v>40172</v>
      </c>
      <c r="D9" s="357" t="s">
        <v>119</v>
      </c>
      <c r="E9" s="359">
        <v>60</v>
      </c>
      <c r="F9" s="359">
        <v>2</v>
      </c>
      <c r="G9" s="359">
        <v>33</v>
      </c>
      <c r="H9" s="360">
        <v>2970</v>
      </c>
      <c r="I9" s="361">
        <v>742</v>
      </c>
      <c r="J9" s="362">
        <f t="shared" si="0"/>
        <v>371</v>
      </c>
      <c r="K9" s="363">
        <f t="shared" si="1"/>
        <v>4.002695417789758</v>
      </c>
      <c r="L9" s="364">
        <f>421775.5+397095.5+287050+215248.5+189819.5+180729.5+86816.5+23840+19148+14942.5+8798.5+9599+13618.5+4298+4028+3310+8547+6712.5+1803+1172+973+2291+380.5+3015+1103.5+65+2061.5+1262+1020+2232+2970+5074+2970</f>
        <v>1923769.5</v>
      </c>
      <c r="M9" s="365">
        <f>43739+40732+31780+27356+25902+24895+12153+4496+3179+3069+1650+2236+3335+954+829+540+1945+1297+429+261+173+594+53+613+200+10+480+240+102+533+743+1267+742</f>
        <v>236527</v>
      </c>
      <c r="N9" s="532">
        <f t="shared" si="2"/>
        <v>8.133403374667585</v>
      </c>
      <c r="O9" s="375"/>
      <c r="P9" s="355"/>
      <c r="Q9" s="66"/>
      <c r="R9" s="66"/>
      <c r="S9" s="66"/>
      <c r="T9" s="66"/>
    </row>
    <row r="10" spans="1:20" ht="13.5" customHeight="1">
      <c r="A10" s="225">
        <v>6</v>
      </c>
      <c r="B10" s="531" t="s">
        <v>130</v>
      </c>
      <c r="C10" s="358">
        <v>40172</v>
      </c>
      <c r="D10" s="357" t="s">
        <v>119</v>
      </c>
      <c r="E10" s="359">
        <v>60</v>
      </c>
      <c r="F10" s="359">
        <v>1</v>
      </c>
      <c r="G10" s="359">
        <v>34</v>
      </c>
      <c r="H10" s="370">
        <v>1188</v>
      </c>
      <c r="I10" s="376">
        <v>297</v>
      </c>
      <c r="J10" s="377">
        <f t="shared" si="0"/>
        <v>297</v>
      </c>
      <c r="K10" s="371">
        <f t="shared" si="1"/>
        <v>4</v>
      </c>
      <c r="L10" s="372">
        <f>421775.5+397095.5+287050+215248.5+189819.5+180729.5+86816.5+23840+19148+14942.5+8798.5+9599+13618.5+4298+4028+3310+8547+6712.5+1803+1172+973+2291+380.5+3015+1103.5+65+2061.5+1262+1020+2232+2970+5074+2970+1188</f>
        <v>1924957.5</v>
      </c>
      <c r="M10" s="378">
        <f>43739+40732+31780+27356+25902+24895+12153+4496+3179+3069+1650+2236+3335+954+829+540+1945+1297+429+261+173+594+53+613+200+10+480+240+102+533+743+1267+742+297</f>
        <v>236824</v>
      </c>
      <c r="N10" s="534">
        <f t="shared" si="2"/>
        <v>8.128219690571902</v>
      </c>
      <c r="O10" s="366"/>
      <c r="P10" s="354"/>
      <c r="Q10" s="66"/>
      <c r="R10" s="66"/>
      <c r="S10" s="66"/>
      <c r="T10" s="66"/>
    </row>
    <row r="11" spans="1:20" ht="13.5" customHeight="1">
      <c r="A11" s="225">
        <v>7</v>
      </c>
      <c r="B11" s="535" t="s">
        <v>113</v>
      </c>
      <c r="C11" s="379">
        <v>40228</v>
      </c>
      <c r="D11" s="357" t="s">
        <v>119</v>
      </c>
      <c r="E11" s="380">
        <v>17</v>
      </c>
      <c r="F11" s="380">
        <v>1</v>
      </c>
      <c r="G11" s="380">
        <v>33</v>
      </c>
      <c r="H11" s="381">
        <v>1188</v>
      </c>
      <c r="I11" s="382">
        <v>297</v>
      </c>
      <c r="J11" s="383">
        <f t="shared" si="0"/>
        <v>297</v>
      </c>
      <c r="K11" s="384">
        <f t="shared" si="1"/>
        <v>4</v>
      </c>
      <c r="L11" s="385">
        <f>289107+1009.5+669+336+323+699+1238+121+1782+1782+1188</f>
        <v>298254.5</v>
      </c>
      <c r="M11" s="386">
        <f>30560+127+85+56+54+123+217+22+445+445+297</f>
        <v>32431</v>
      </c>
      <c r="N11" s="536">
        <f t="shared" si="2"/>
        <v>9.196586599241467</v>
      </c>
      <c r="O11" s="387"/>
      <c r="P11" s="354"/>
      <c r="Q11" s="66"/>
      <c r="R11" s="66"/>
      <c r="S11" s="66"/>
      <c r="T11" s="66"/>
    </row>
    <row r="12" spans="1:20" ht="13.5" customHeight="1">
      <c r="A12" s="225">
        <v>8</v>
      </c>
      <c r="B12" s="531" t="s">
        <v>177</v>
      </c>
      <c r="C12" s="368">
        <v>40459</v>
      </c>
      <c r="D12" s="374" t="s">
        <v>119</v>
      </c>
      <c r="E12" s="369">
        <v>142</v>
      </c>
      <c r="F12" s="369">
        <v>2</v>
      </c>
      <c r="G12" s="369">
        <v>17</v>
      </c>
      <c r="H12" s="364">
        <v>3207.5</v>
      </c>
      <c r="I12" s="365">
        <v>725</v>
      </c>
      <c r="J12" s="362">
        <f t="shared" si="0"/>
        <v>362.5</v>
      </c>
      <c r="K12" s="363">
        <f t="shared" si="1"/>
        <v>4.424137931034482</v>
      </c>
      <c r="L12" s="364">
        <f>569713+434829.5+295345.5+223420+26108+12415.5+5998+1904+1368+799+648+306+1782+594+1782+1425.5+3207.5</f>
        <v>1581645.5</v>
      </c>
      <c r="M12" s="365">
        <f>61050+47827+36467+29781+4601+2405+1000+284+287+123+103+51+445+113+446+267+725</f>
        <v>185975</v>
      </c>
      <c r="N12" s="532">
        <f t="shared" si="2"/>
        <v>8.504613523323027</v>
      </c>
      <c r="O12" s="388">
        <v>1</v>
      </c>
      <c r="P12" s="354"/>
      <c r="Q12" s="66"/>
      <c r="R12" s="66"/>
      <c r="S12" s="66"/>
      <c r="T12" s="66"/>
    </row>
    <row r="13" spans="1:20" ht="13.5" customHeight="1">
      <c r="A13" s="225">
        <v>9</v>
      </c>
      <c r="B13" s="531" t="s">
        <v>79</v>
      </c>
      <c r="C13" s="368">
        <v>40459</v>
      </c>
      <c r="D13" s="357" t="s">
        <v>119</v>
      </c>
      <c r="E13" s="369">
        <v>142</v>
      </c>
      <c r="F13" s="369">
        <v>1</v>
      </c>
      <c r="G13" s="369">
        <v>15</v>
      </c>
      <c r="H13" s="360">
        <v>1782</v>
      </c>
      <c r="I13" s="361">
        <v>446</v>
      </c>
      <c r="J13" s="362">
        <f t="shared" si="0"/>
        <v>446</v>
      </c>
      <c r="K13" s="363">
        <f t="shared" si="1"/>
        <v>3.995515695067265</v>
      </c>
      <c r="L13" s="364">
        <f>569713+434829.5+295345.5+223420+26108+12415.5+5998+1904+1368+799+648+306+1782+594+1782</f>
        <v>1577012.5</v>
      </c>
      <c r="M13" s="365">
        <f>61050+47827+36467+29781+4601+2405+1000+284+287+123+103+51+445+113+446</f>
        <v>184983</v>
      </c>
      <c r="N13" s="532">
        <f t="shared" si="2"/>
        <v>8.525175286377667</v>
      </c>
      <c r="O13" s="373">
        <v>1</v>
      </c>
      <c r="P13" s="354"/>
      <c r="Q13" s="66"/>
      <c r="R13" s="66"/>
      <c r="S13" s="66"/>
      <c r="T13" s="66"/>
    </row>
    <row r="14" spans="1:20" ht="13.5" customHeight="1">
      <c r="A14" s="225">
        <v>10</v>
      </c>
      <c r="B14" s="533" t="s">
        <v>79</v>
      </c>
      <c r="C14" s="368">
        <v>40459</v>
      </c>
      <c r="D14" s="357" t="s">
        <v>119</v>
      </c>
      <c r="E14" s="369">
        <v>142</v>
      </c>
      <c r="F14" s="369">
        <v>1</v>
      </c>
      <c r="G14" s="369">
        <v>13</v>
      </c>
      <c r="H14" s="370">
        <v>1782</v>
      </c>
      <c r="I14" s="361">
        <v>445</v>
      </c>
      <c r="J14" s="362">
        <f t="shared" si="0"/>
        <v>445</v>
      </c>
      <c r="K14" s="371">
        <f t="shared" si="1"/>
        <v>4.004494382022472</v>
      </c>
      <c r="L14" s="372">
        <f>569713+434829.5+295345.5+223420+26108+12415.5+5998+1904+1368+799+648+306+1782</f>
        <v>1574636.5</v>
      </c>
      <c r="M14" s="365">
        <f>61050+47827+36467+29781+4601+2405+1000+284+287+123+103+51+445</f>
        <v>184424</v>
      </c>
      <c r="N14" s="534">
        <f t="shared" si="2"/>
        <v>8.538132238754175</v>
      </c>
      <c r="O14" s="373"/>
      <c r="P14" s="354"/>
      <c r="Q14" s="66"/>
      <c r="R14" s="66"/>
      <c r="S14" s="66"/>
      <c r="T14" s="66"/>
    </row>
    <row r="15" spans="1:20" ht="13.5" customHeight="1">
      <c r="A15" s="225">
        <v>11</v>
      </c>
      <c r="B15" s="537" t="s">
        <v>79</v>
      </c>
      <c r="C15" s="358">
        <v>40459</v>
      </c>
      <c r="D15" s="357" t="s">
        <v>119</v>
      </c>
      <c r="E15" s="359">
        <v>142</v>
      </c>
      <c r="F15" s="359">
        <v>1</v>
      </c>
      <c r="G15" s="359">
        <v>16</v>
      </c>
      <c r="H15" s="360">
        <v>1425.5</v>
      </c>
      <c r="I15" s="361">
        <v>267</v>
      </c>
      <c r="J15" s="362">
        <f t="shared" si="0"/>
        <v>267</v>
      </c>
      <c r="K15" s="363">
        <f t="shared" si="1"/>
        <v>5.3389513108614235</v>
      </c>
      <c r="L15" s="364">
        <f>569713+434829.5+295345.5+223420+26108+12415.5+5998+1904+1368+799+648+306+1782+594+1782+1425.5</f>
        <v>1578438</v>
      </c>
      <c r="M15" s="365">
        <f>61050+47827+36467+29781+4601+2405+1000+284+287+123+103+51+445+113+446+267</f>
        <v>185250</v>
      </c>
      <c r="N15" s="532">
        <f t="shared" si="2"/>
        <v>8.520582995951417</v>
      </c>
      <c r="O15" s="366">
        <v>1</v>
      </c>
      <c r="P15" s="354"/>
      <c r="Q15" s="66"/>
      <c r="R15" s="66"/>
      <c r="S15" s="66"/>
      <c r="T15" s="66"/>
    </row>
    <row r="16" spans="1:20" ht="13.5" customHeight="1">
      <c r="A16" s="225">
        <v>12</v>
      </c>
      <c r="B16" s="535" t="s">
        <v>79</v>
      </c>
      <c r="C16" s="379">
        <v>40459</v>
      </c>
      <c r="D16" s="357" t="s">
        <v>119</v>
      </c>
      <c r="E16" s="380">
        <v>142</v>
      </c>
      <c r="F16" s="380">
        <v>1</v>
      </c>
      <c r="G16" s="380">
        <v>14</v>
      </c>
      <c r="H16" s="381">
        <v>594</v>
      </c>
      <c r="I16" s="382">
        <v>113</v>
      </c>
      <c r="J16" s="383">
        <f t="shared" si="0"/>
        <v>113</v>
      </c>
      <c r="K16" s="384">
        <f t="shared" si="1"/>
        <v>5.256637168141593</v>
      </c>
      <c r="L16" s="385">
        <f>569713+434829.5+295345.5+223420+26108+12415.5+5998+1904+1368+799+648+306+1782+594</f>
        <v>1575230.5</v>
      </c>
      <c r="M16" s="386">
        <f>61050+47827+36467+29781+4601+2405+1000+284+287+123+103+51+445+113</f>
        <v>184537</v>
      </c>
      <c r="N16" s="536">
        <f t="shared" si="2"/>
        <v>8.53612283715461</v>
      </c>
      <c r="O16" s="387">
        <v>1</v>
      </c>
      <c r="P16" s="355"/>
      <c r="Q16" s="66"/>
      <c r="R16" s="66"/>
      <c r="S16" s="66"/>
      <c r="T16" s="66"/>
    </row>
    <row r="17" spans="1:20" ht="13.5" customHeight="1">
      <c r="A17" s="225">
        <v>13</v>
      </c>
      <c r="B17" s="531" t="s">
        <v>177</v>
      </c>
      <c r="C17" s="368">
        <v>40459</v>
      </c>
      <c r="D17" s="374" t="s">
        <v>119</v>
      </c>
      <c r="E17" s="369">
        <v>142</v>
      </c>
      <c r="F17" s="369">
        <v>1</v>
      </c>
      <c r="G17" s="369">
        <v>18</v>
      </c>
      <c r="H17" s="360">
        <v>151</v>
      </c>
      <c r="I17" s="361">
        <v>24</v>
      </c>
      <c r="J17" s="362">
        <f t="shared" si="0"/>
        <v>24</v>
      </c>
      <c r="K17" s="363">
        <f t="shared" si="1"/>
        <v>6.291666666666667</v>
      </c>
      <c r="L17" s="364">
        <f>569713+434829.5+295345.5+223420+26108+12415.5+5998+1904+1368+799+648+306+1782+594+1782+1425.5+3089+151</f>
        <v>1581678</v>
      </c>
      <c r="M17" s="365">
        <f>61050+47827+36467+29781+4601+2405+1000+284+287+123+103+51+445+113+446+267+708+24</f>
        <v>185982</v>
      </c>
      <c r="N17" s="532">
        <f t="shared" si="2"/>
        <v>8.504468174339452</v>
      </c>
      <c r="O17" s="586">
        <v>1</v>
      </c>
      <c r="P17" s="355"/>
      <c r="Q17" s="66"/>
      <c r="R17" s="66"/>
      <c r="S17" s="66"/>
      <c r="T17" s="66"/>
    </row>
    <row r="18" spans="1:20" ht="13.5" customHeight="1">
      <c r="A18" s="225">
        <v>14</v>
      </c>
      <c r="B18" s="538" t="s">
        <v>70</v>
      </c>
      <c r="C18" s="390">
        <v>40515</v>
      </c>
      <c r="D18" s="389" t="s">
        <v>24</v>
      </c>
      <c r="E18" s="391">
        <v>337</v>
      </c>
      <c r="F18" s="391">
        <v>349</v>
      </c>
      <c r="G18" s="391">
        <v>5</v>
      </c>
      <c r="H18" s="392">
        <v>1719523</v>
      </c>
      <c r="I18" s="393">
        <v>182375</v>
      </c>
      <c r="J18" s="394">
        <f aca="true" t="shared" si="3" ref="J18:J27">I18/F18</f>
        <v>522.5644699140402</v>
      </c>
      <c r="K18" s="395">
        <f t="shared" si="1"/>
        <v>9.4285017135024</v>
      </c>
      <c r="L18" s="396">
        <v>18655018</v>
      </c>
      <c r="M18" s="397">
        <v>1982618</v>
      </c>
      <c r="N18" s="539">
        <f aca="true" t="shared" si="4" ref="N18:N27">+L18/M18</f>
        <v>9.409285096776081</v>
      </c>
      <c r="O18" s="388">
        <v>1</v>
      </c>
      <c r="P18" s="354"/>
      <c r="Q18" s="66"/>
      <c r="R18" s="66"/>
      <c r="S18" s="66"/>
      <c r="T18" s="66"/>
    </row>
    <row r="19" spans="1:20" ht="13.5" customHeight="1">
      <c r="A19" s="225">
        <v>15</v>
      </c>
      <c r="B19" s="540" t="s">
        <v>87</v>
      </c>
      <c r="C19" s="390">
        <v>40515</v>
      </c>
      <c r="D19" s="389" t="s">
        <v>24</v>
      </c>
      <c r="E19" s="391">
        <v>337</v>
      </c>
      <c r="F19" s="391">
        <v>292</v>
      </c>
      <c r="G19" s="391">
        <v>6</v>
      </c>
      <c r="H19" s="399">
        <v>638062</v>
      </c>
      <c r="I19" s="393">
        <v>72167</v>
      </c>
      <c r="J19" s="394">
        <f t="shared" si="3"/>
        <v>247.1472602739726</v>
      </c>
      <c r="K19" s="400">
        <f t="shared" si="1"/>
        <v>8.841464935496834</v>
      </c>
      <c r="L19" s="401">
        <v>19293080</v>
      </c>
      <c r="M19" s="397">
        <v>2054938</v>
      </c>
      <c r="N19" s="541">
        <f t="shared" si="4"/>
        <v>9.388643355663286</v>
      </c>
      <c r="O19" s="388">
        <v>1</v>
      </c>
      <c r="P19" s="354"/>
      <c r="Q19" s="66"/>
      <c r="R19" s="66"/>
      <c r="S19" s="66"/>
      <c r="T19" s="66"/>
    </row>
    <row r="20" spans="1:20" ht="13.5" customHeight="1">
      <c r="A20" s="225">
        <v>16</v>
      </c>
      <c r="B20" s="542" t="s">
        <v>70</v>
      </c>
      <c r="C20" s="390">
        <v>40515</v>
      </c>
      <c r="D20" s="402" t="s">
        <v>24</v>
      </c>
      <c r="E20" s="403">
        <v>337</v>
      </c>
      <c r="F20" s="403">
        <v>128</v>
      </c>
      <c r="G20" s="403">
        <v>7</v>
      </c>
      <c r="H20" s="399">
        <v>271404</v>
      </c>
      <c r="I20" s="393">
        <v>30669</v>
      </c>
      <c r="J20" s="394">
        <f t="shared" si="3"/>
        <v>239.6015625</v>
      </c>
      <c r="K20" s="400">
        <f t="shared" si="1"/>
        <v>8.849457106524504</v>
      </c>
      <c r="L20" s="401">
        <v>19564484</v>
      </c>
      <c r="M20" s="397">
        <v>2085607</v>
      </c>
      <c r="N20" s="541">
        <f t="shared" si="4"/>
        <v>9.380714583332335</v>
      </c>
      <c r="O20" s="366">
        <v>1</v>
      </c>
      <c r="P20" s="354"/>
      <c r="Q20" s="66"/>
      <c r="R20" s="66"/>
      <c r="S20" s="66"/>
      <c r="T20" s="66"/>
    </row>
    <row r="21" spans="1:20" ht="13.5" customHeight="1">
      <c r="A21" s="225">
        <v>17</v>
      </c>
      <c r="B21" s="538" t="s">
        <v>87</v>
      </c>
      <c r="C21" s="390">
        <v>40515</v>
      </c>
      <c r="D21" s="398" t="s">
        <v>24</v>
      </c>
      <c r="E21" s="391">
        <v>337</v>
      </c>
      <c r="F21" s="391">
        <v>32</v>
      </c>
      <c r="G21" s="391">
        <v>8</v>
      </c>
      <c r="H21" s="399">
        <v>59187</v>
      </c>
      <c r="I21" s="393">
        <v>7792</v>
      </c>
      <c r="J21" s="394">
        <f t="shared" si="3"/>
        <v>243.5</v>
      </c>
      <c r="K21" s="400">
        <f t="shared" si="1"/>
        <v>7.595867556468172</v>
      </c>
      <c r="L21" s="401">
        <v>19623671</v>
      </c>
      <c r="M21" s="397">
        <v>2093399</v>
      </c>
      <c r="N21" s="541">
        <f t="shared" si="4"/>
        <v>9.374071068152798</v>
      </c>
      <c r="O21" s="373">
        <v>1</v>
      </c>
      <c r="P21" s="354"/>
      <c r="Q21" s="66"/>
      <c r="R21" s="66"/>
      <c r="S21" s="66"/>
      <c r="T21" s="66"/>
    </row>
    <row r="22" spans="1:20" ht="13.5" customHeight="1">
      <c r="A22" s="225">
        <v>18</v>
      </c>
      <c r="B22" s="542" t="s">
        <v>87</v>
      </c>
      <c r="C22" s="404">
        <v>40515</v>
      </c>
      <c r="D22" s="402" t="s">
        <v>24</v>
      </c>
      <c r="E22" s="403">
        <v>337</v>
      </c>
      <c r="F22" s="403">
        <v>3</v>
      </c>
      <c r="G22" s="403">
        <v>12</v>
      </c>
      <c r="H22" s="399">
        <v>7416</v>
      </c>
      <c r="I22" s="393">
        <v>1461</v>
      </c>
      <c r="J22" s="394">
        <f t="shared" si="3"/>
        <v>487</v>
      </c>
      <c r="K22" s="400">
        <f t="shared" si="1"/>
        <v>5.075975359342916</v>
      </c>
      <c r="L22" s="401">
        <v>19636508</v>
      </c>
      <c r="M22" s="397">
        <v>2095488</v>
      </c>
      <c r="N22" s="541">
        <f t="shared" si="4"/>
        <v>9.370852040193025</v>
      </c>
      <c r="O22" s="366">
        <v>1</v>
      </c>
      <c r="P22" s="354"/>
      <c r="Q22" s="66"/>
      <c r="R22" s="66"/>
      <c r="S22" s="66"/>
      <c r="T22" s="66"/>
    </row>
    <row r="23" spans="1:20" ht="13.5" customHeight="1">
      <c r="A23" s="225">
        <v>19</v>
      </c>
      <c r="B23" s="540" t="s">
        <v>87</v>
      </c>
      <c r="C23" s="390">
        <v>40515</v>
      </c>
      <c r="D23" s="398" t="s">
        <v>24</v>
      </c>
      <c r="E23" s="391">
        <v>337</v>
      </c>
      <c r="F23" s="391">
        <v>6</v>
      </c>
      <c r="G23" s="391">
        <v>9</v>
      </c>
      <c r="H23" s="399">
        <v>3519</v>
      </c>
      <c r="I23" s="393">
        <v>429</v>
      </c>
      <c r="J23" s="394">
        <f t="shared" si="3"/>
        <v>71.5</v>
      </c>
      <c r="K23" s="400">
        <f t="shared" si="1"/>
        <v>8.202797202797203</v>
      </c>
      <c r="L23" s="401">
        <v>19627190</v>
      </c>
      <c r="M23" s="397">
        <v>2093828</v>
      </c>
      <c r="N23" s="541">
        <f t="shared" si="4"/>
        <v>9.373831088322442</v>
      </c>
      <c r="O23" s="373">
        <v>1</v>
      </c>
      <c r="P23" s="354"/>
      <c r="Q23" s="66"/>
      <c r="R23" s="66"/>
      <c r="S23" s="66"/>
      <c r="T23" s="66"/>
    </row>
    <row r="24" spans="1:20" ht="13.5" customHeight="1">
      <c r="A24" s="225">
        <v>20</v>
      </c>
      <c r="B24" s="542" t="s">
        <v>70</v>
      </c>
      <c r="C24" s="404">
        <v>40515</v>
      </c>
      <c r="D24" s="402" t="s">
        <v>24</v>
      </c>
      <c r="E24" s="403">
        <v>337</v>
      </c>
      <c r="F24" s="403">
        <v>1</v>
      </c>
      <c r="G24" s="403">
        <v>13</v>
      </c>
      <c r="H24" s="392">
        <v>2380</v>
      </c>
      <c r="I24" s="405">
        <v>476</v>
      </c>
      <c r="J24" s="406">
        <f t="shared" si="3"/>
        <v>476</v>
      </c>
      <c r="K24" s="395">
        <f t="shared" si="1"/>
        <v>5</v>
      </c>
      <c r="L24" s="396">
        <v>19638888</v>
      </c>
      <c r="M24" s="407">
        <v>2095964</v>
      </c>
      <c r="N24" s="539">
        <f t="shared" si="4"/>
        <v>9.369859405982163</v>
      </c>
      <c r="O24" s="366">
        <v>1</v>
      </c>
      <c r="P24" s="355"/>
      <c r="Q24" s="66"/>
      <c r="R24" s="66"/>
      <c r="S24" s="66"/>
      <c r="T24" s="66"/>
    </row>
    <row r="25" spans="1:20" ht="13.5" customHeight="1">
      <c r="A25" s="225">
        <v>21</v>
      </c>
      <c r="B25" s="540" t="s">
        <v>87</v>
      </c>
      <c r="C25" s="390">
        <v>40515</v>
      </c>
      <c r="D25" s="398" t="s">
        <v>24</v>
      </c>
      <c r="E25" s="391">
        <v>337</v>
      </c>
      <c r="F25" s="391">
        <v>1</v>
      </c>
      <c r="G25" s="391">
        <v>14</v>
      </c>
      <c r="H25" s="401">
        <v>1781</v>
      </c>
      <c r="I25" s="397">
        <v>1306</v>
      </c>
      <c r="J25" s="394">
        <f t="shared" si="3"/>
        <v>1306</v>
      </c>
      <c r="K25" s="400">
        <f t="shared" si="1"/>
        <v>1.3637059724349159</v>
      </c>
      <c r="L25" s="401">
        <v>19640669</v>
      </c>
      <c r="M25" s="397">
        <v>2097270</v>
      </c>
      <c r="N25" s="541">
        <f t="shared" si="4"/>
        <v>9.364873859827298</v>
      </c>
      <c r="O25" s="388">
        <v>1</v>
      </c>
      <c r="P25" s="354"/>
      <c r="Q25" s="66"/>
      <c r="R25" s="66"/>
      <c r="S25" s="66"/>
      <c r="T25" s="66"/>
    </row>
    <row r="26" spans="1:20" ht="13.5" customHeight="1">
      <c r="A26" s="225">
        <v>22</v>
      </c>
      <c r="B26" s="542" t="s">
        <v>87</v>
      </c>
      <c r="C26" s="390">
        <v>40515</v>
      </c>
      <c r="D26" s="402" t="s">
        <v>24</v>
      </c>
      <c r="E26" s="403">
        <v>337</v>
      </c>
      <c r="F26" s="403">
        <v>3</v>
      </c>
      <c r="G26" s="403">
        <v>10</v>
      </c>
      <c r="H26" s="399">
        <v>1124</v>
      </c>
      <c r="I26" s="393">
        <v>121</v>
      </c>
      <c r="J26" s="394">
        <f t="shared" si="3"/>
        <v>40.333333333333336</v>
      </c>
      <c r="K26" s="400">
        <f t="shared" si="1"/>
        <v>9.289256198347108</v>
      </c>
      <c r="L26" s="401">
        <v>19628314</v>
      </c>
      <c r="M26" s="397">
        <v>2093949</v>
      </c>
      <c r="N26" s="541">
        <f t="shared" si="4"/>
        <v>9.37382620111569</v>
      </c>
      <c r="O26" s="375"/>
      <c r="P26" s="354"/>
      <c r="Q26" s="66"/>
      <c r="R26" s="66"/>
      <c r="S26" s="66"/>
      <c r="T26" s="66"/>
    </row>
    <row r="27" spans="1:20" ht="13.5" customHeight="1">
      <c r="A27" s="225">
        <v>23</v>
      </c>
      <c r="B27" s="540" t="s">
        <v>87</v>
      </c>
      <c r="C27" s="390">
        <v>40515</v>
      </c>
      <c r="D27" s="398" t="s">
        <v>24</v>
      </c>
      <c r="E27" s="391">
        <v>337</v>
      </c>
      <c r="F27" s="391">
        <v>2</v>
      </c>
      <c r="G27" s="391">
        <v>11</v>
      </c>
      <c r="H27" s="399">
        <v>778</v>
      </c>
      <c r="I27" s="393">
        <v>78</v>
      </c>
      <c r="J27" s="394">
        <f t="shared" si="3"/>
        <v>39</v>
      </c>
      <c r="K27" s="400">
        <f t="shared" si="1"/>
        <v>9.974358974358974</v>
      </c>
      <c r="L27" s="401">
        <v>19629092</v>
      </c>
      <c r="M27" s="397">
        <v>2094027</v>
      </c>
      <c r="N27" s="541">
        <f t="shared" si="4"/>
        <v>9.373848570242886</v>
      </c>
      <c r="O27" s="408">
        <v>1</v>
      </c>
      <c r="P27" s="354"/>
      <c r="Q27" s="66"/>
      <c r="R27" s="66"/>
      <c r="S27" s="66"/>
      <c r="T27" s="66"/>
    </row>
    <row r="28" spans="1:20" ht="13.5" customHeight="1">
      <c r="A28" s="225">
        <v>24</v>
      </c>
      <c r="B28" s="542" t="s">
        <v>106</v>
      </c>
      <c r="C28" s="390">
        <v>40249</v>
      </c>
      <c r="D28" s="402" t="s">
        <v>17</v>
      </c>
      <c r="E28" s="403">
        <v>116</v>
      </c>
      <c r="F28" s="403">
        <v>1</v>
      </c>
      <c r="G28" s="403">
        <v>30</v>
      </c>
      <c r="H28" s="409">
        <v>3020</v>
      </c>
      <c r="I28" s="410">
        <v>604</v>
      </c>
      <c r="J28" s="411">
        <f>+I28/F28</f>
        <v>604</v>
      </c>
      <c r="K28" s="412">
        <f>+H28/I28</f>
        <v>5</v>
      </c>
      <c r="L28" s="413">
        <f>1547543.25+3020+3020</f>
        <v>1553583.25</v>
      </c>
      <c r="M28" s="414">
        <f>209803+604+604</f>
        <v>211011</v>
      </c>
      <c r="N28" s="543">
        <f>IF(L28&lt;&gt;0,L28/M28,"")</f>
        <v>7.36256996080773</v>
      </c>
      <c r="O28" s="366">
        <v>1</v>
      </c>
      <c r="P28" s="354"/>
      <c r="Q28" s="66"/>
      <c r="R28" s="66"/>
      <c r="S28" s="66"/>
      <c r="T28" s="66"/>
    </row>
    <row r="29" spans="1:20" ht="13.5" customHeight="1">
      <c r="A29" s="225">
        <v>25</v>
      </c>
      <c r="B29" s="538" t="s">
        <v>12</v>
      </c>
      <c r="C29" s="390">
        <v>40466</v>
      </c>
      <c r="D29" s="389" t="s">
        <v>17</v>
      </c>
      <c r="E29" s="391">
        <v>10</v>
      </c>
      <c r="F29" s="391">
        <v>2</v>
      </c>
      <c r="G29" s="391">
        <v>7</v>
      </c>
      <c r="H29" s="415">
        <v>325</v>
      </c>
      <c r="I29" s="410">
        <v>44</v>
      </c>
      <c r="J29" s="411">
        <f>IF(H29&lt;&gt;0,I29/F29,"")</f>
        <v>22</v>
      </c>
      <c r="K29" s="416">
        <f>IF(H29&lt;&gt;0,H29/I29,"")</f>
        <v>7.386363636363637</v>
      </c>
      <c r="L29" s="417">
        <f>7088+2486+815+33+201+698+H29</f>
        <v>11646</v>
      </c>
      <c r="M29" s="414">
        <f>735+318+126+5+29+108+I29</f>
        <v>1365</v>
      </c>
      <c r="N29" s="544">
        <f>IF(L29&lt;&gt;0,L29/M29,"")</f>
        <v>8.531868131868132</v>
      </c>
      <c r="O29" s="373"/>
      <c r="P29" s="354"/>
      <c r="Q29" s="66"/>
      <c r="R29" s="66"/>
      <c r="S29" s="66"/>
      <c r="T29" s="66"/>
    </row>
    <row r="30" spans="1:20" ht="13.5" customHeight="1">
      <c r="A30" s="225">
        <v>26</v>
      </c>
      <c r="B30" s="542" t="s">
        <v>12</v>
      </c>
      <c r="C30" s="390">
        <v>40466</v>
      </c>
      <c r="D30" s="402" t="s">
        <v>17</v>
      </c>
      <c r="E30" s="403">
        <v>10</v>
      </c>
      <c r="F30" s="403">
        <v>1</v>
      </c>
      <c r="G30" s="403">
        <v>8</v>
      </c>
      <c r="H30" s="409">
        <v>251</v>
      </c>
      <c r="I30" s="410">
        <v>68</v>
      </c>
      <c r="J30" s="411">
        <f>IF(H30&lt;&gt;0,I30/F30,"")</f>
        <v>68</v>
      </c>
      <c r="K30" s="412">
        <f>IF(H30&lt;&gt;0,H30/I30,"")</f>
        <v>3.6911764705882355</v>
      </c>
      <c r="L30" s="413">
        <f>7088+2486+815+33+201+698+325+251</f>
        <v>11897</v>
      </c>
      <c r="M30" s="414">
        <f>735+318+126+5+29+108+44+68</f>
        <v>1433</v>
      </c>
      <c r="N30" s="543">
        <f>IF(L30&lt;&gt;0,L30/M30,"")</f>
        <v>8.302163293789253</v>
      </c>
      <c r="O30" s="366"/>
      <c r="P30" s="354"/>
      <c r="Q30" s="66"/>
      <c r="R30" s="66"/>
      <c r="S30" s="66"/>
      <c r="T30" s="66"/>
    </row>
    <row r="31" spans="1:20" ht="13.5" customHeight="1">
      <c r="A31" s="225">
        <v>27</v>
      </c>
      <c r="B31" s="545" t="s">
        <v>4</v>
      </c>
      <c r="C31" s="419">
        <v>40529</v>
      </c>
      <c r="D31" s="418" t="s">
        <v>90</v>
      </c>
      <c r="E31" s="420">
        <v>5</v>
      </c>
      <c r="F31" s="420">
        <v>5</v>
      </c>
      <c r="G31" s="420">
        <v>4</v>
      </c>
      <c r="H31" s="421">
        <v>4388</v>
      </c>
      <c r="I31" s="422">
        <v>375</v>
      </c>
      <c r="J31" s="423">
        <f aca="true" t="shared" si="5" ref="J31:J36">I31/F31</f>
        <v>75</v>
      </c>
      <c r="K31" s="424">
        <f aca="true" t="shared" si="6" ref="K31:K38">H31/I31</f>
        <v>11.701333333333332</v>
      </c>
      <c r="L31" s="425">
        <v>19557</v>
      </c>
      <c r="M31" s="423">
        <v>1795</v>
      </c>
      <c r="N31" s="546">
        <f aca="true" t="shared" si="7" ref="N31:N38">L31/M31</f>
        <v>10.895264623955432</v>
      </c>
      <c r="O31" s="366"/>
      <c r="P31" s="355"/>
      <c r="Q31" s="66"/>
      <c r="R31" s="66"/>
      <c r="S31" s="66"/>
      <c r="T31" s="66"/>
    </row>
    <row r="32" spans="1:20" ht="13.5" customHeight="1">
      <c r="A32" s="225">
        <v>28</v>
      </c>
      <c r="B32" s="547" t="s">
        <v>4</v>
      </c>
      <c r="C32" s="419">
        <v>40529</v>
      </c>
      <c r="D32" s="426" t="s">
        <v>90</v>
      </c>
      <c r="E32" s="427">
        <v>5</v>
      </c>
      <c r="F32" s="427">
        <v>3</v>
      </c>
      <c r="G32" s="427">
        <v>5</v>
      </c>
      <c r="H32" s="421">
        <v>3391</v>
      </c>
      <c r="I32" s="422">
        <v>400</v>
      </c>
      <c r="J32" s="423">
        <f t="shared" si="5"/>
        <v>133.33333333333334</v>
      </c>
      <c r="K32" s="424">
        <f t="shared" si="6"/>
        <v>8.4775</v>
      </c>
      <c r="L32" s="425">
        <v>22948</v>
      </c>
      <c r="M32" s="423">
        <v>2195</v>
      </c>
      <c r="N32" s="546">
        <f t="shared" si="7"/>
        <v>10.454669703872437</v>
      </c>
      <c r="O32" s="373"/>
      <c r="P32" s="355"/>
      <c r="Q32" s="66"/>
      <c r="R32" s="66"/>
      <c r="S32" s="66"/>
      <c r="T32" s="66"/>
    </row>
    <row r="33" spans="1:20" ht="13.5" customHeight="1">
      <c r="A33" s="225">
        <v>29</v>
      </c>
      <c r="B33" s="548" t="s">
        <v>4</v>
      </c>
      <c r="C33" s="428">
        <v>40529</v>
      </c>
      <c r="D33" s="418" t="s">
        <v>90</v>
      </c>
      <c r="E33" s="429">
        <v>5</v>
      </c>
      <c r="F33" s="429">
        <v>5</v>
      </c>
      <c r="G33" s="429">
        <v>6</v>
      </c>
      <c r="H33" s="430">
        <v>2708</v>
      </c>
      <c r="I33" s="431">
        <v>400</v>
      </c>
      <c r="J33" s="432">
        <f t="shared" si="5"/>
        <v>80</v>
      </c>
      <c r="K33" s="433">
        <f t="shared" si="6"/>
        <v>6.77</v>
      </c>
      <c r="L33" s="434">
        <v>25656</v>
      </c>
      <c r="M33" s="432">
        <v>2595</v>
      </c>
      <c r="N33" s="549">
        <f t="shared" si="7"/>
        <v>9.88670520231214</v>
      </c>
      <c r="O33" s="408"/>
      <c r="P33" s="354"/>
      <c r="Q33" s="66"/>
      <c r="R33" s="66"/>
      <c r="S33" s="66"/>
      <c r="T33" s="66"/>
    </row>
    <row r="34" spans="1:20" ht="13.5" customHeight="1">
      <c r="A34" s="225">
        <v>30</v>
      </c>
      <c r="B34" s="547" t="s">
        <v>4</v>
      </c>
      <c r="C34" s="419">
        <v>40529</v>
      </c>
      <c r="D34" s="418" t="s">
        <v>90</v>
      </c>
      <c r="E34" s="427">
        <v>5</v>
      </c>
      <c r="F34" s="427">
        <v>4</v>
      </c>
      <c r="G34" s="427">
        <v>3</v>
      </c>
      <c r="H34" s="435">
        <v>2473</v>
      </c>
      <c r="I34" s="422">
        <v>284</v>
      </c>
      <c r="J34" s="423">
        <f t="shared" si="5"/>
        <v>71</v>
      </c>
      <c r="K34" s="436">
        <f t="shared" si="6"/>
        <v>8.70774647887324</v>
      </c>
      <c r="L34" s="437">
        <v>15169</v>
      </c>
      <c r="M34" s="423">
        <v>1420</v>
      </c>
      <c r="N34" s="550">
        <f t="shared" si="7"/>
        <v>10.682394366197183</v>
      </c>
      <c r="O34" s="373"/>
      <c r="P34" s="354"/>
      <c r="Q34" s="66"/>
      <c r="R34" s="66"/>
      <c r="S34" s="66"/>
      <c r="T34" s="66"/>
    </row>
    <row r="35" spans="1:20" ht="13.5" customHeight="1">
      <c r="A35" s="225">
        <v>31</v>
      </c>
      <c r="B35" s="545" t="s">
        <v>4</v>
      </c>
      <c r="C35" s="438">
        <v>40529</v>
      </c>
      <c r="D35" s="418" t="s">
        <v>90</v>
      </c>
      <c r="E35" s="420">
        <v>5</v>
      </c>
      <c r="F35" s="420">
        <v>4</v>
      </c>
      <c r="G35" s="420">
        <v>7</v>
      </c>
      <c r="H35" s="421">
        <v>1031</v>
      </c>
      <c r="I35" s="422">
        <v>163</v>
      </c>
      <c r="J35" s="423">
        <f t="shared" si="5"/>
        <v>40.75</v>
      </c>
      <c r="K35" s="424">
        <f t="shared" si="6"/>
        <v>6.325153374233129</v>
      </c>
      <c r="L35" s="425">
        <v>26687</v>
      </c>
      <c r="M35" s="423">
        <v>2758</v>
      </c>
      <c r="N35" s="546">
        <f t="shared" si="7"/>
        <v>9.676214648295867</v>
      </c>
      <c r="O35" s="366"/>
      <c r="P35" s="354"/>
      <c r="Q35" s="66"/>
      <c r="R35" s="66"/>
      <c r="S35" s="66"/>
      <c r="T35" s="66"/>
    </row>
    <row r="36" spans="1:20" ht="13.5" customHeight="1">
      <c r="A36" s="225">
        <v>32</v>
      </c>
      <c r="B36" s="531" t="s">
        <v>4</v>
      </c>
      <c r="C36" s="419">
        <v>40529</v>
      </c>
      <c r="D36" s="426" t="s">
        <v>171</v>
      </c>
      <c r="E36" s="515">
        <v>5</v>
      </c>
      <c r="F36" s="427">
        <v>1</v>
      </c>
      <c r="G36" s="515">
        <v>8</v>
      </c>
      <c r="H36" s="425">
        <v>747</v>
      </c>
      <c r="I36" s="516">
        <v>103</v>
      </c>
      <c r="J36" s="423">
        <f t="shared" si="5"/>
        <v>103</v>
      </c>
      <c r="K36" s="518">
        <f t="shared" si="6"/>
        <v>7.252427184466019</v>
      </c>
      <c r="L36" s="425">
        <v>27434</v>
      </c>
      <c r="M36" s="516">
        <v>2861</v>
      </c>
      <c r="N36" s="546">
        <f t="shared" si="7"/>
        <v>9.588954910870324</v>
      </c>
      <c r="O36" s="388"/>
      <c r="P36" s="355"/>
      <c r="Q36" s="66"/>
      <c r="R36" s="66"/>
      <c r="S36" s="66"/>
      <c r="T36" s="66"/>
    </row>
    <row r="37" spans="1:20" ht="13.5" customHeight="1">
      <c r="A37" s="225">
        <v>33</v>
      </c>
      <c r="B37" s="537" t="s">
        <v>140</v>
      </c>
      <c r="C37" s="368">
        <v>40298</v>
      </c>
      <c r="D37" s="357" t="s">
        <v>119</v>
      </c>
      <c r="E37" s="359">
        <v>10</v>
      </c>
      <c r="F37" s="359">
        <v>1</v>
      </c>
      <c r="G37" s="359">
        <v>21</v>
      </c>
      <c r="H37" s="360">
        <v>1307</v>
      </c>
      <c r="I37" s="361">
        <v>327</v>
      </c>
      <c r="J37" s="362">
        <f>(I37/F37)</f>
        <v>327</v>
      </c>
      <c r="K37" s="363">
        <f t="shared" si="6"/>
        <v>3.996941896024465</v>
      </c>
      <c r="L37" s="364">
        <f>83892.5+865+192+477+220.5+1901+2138.5+1307</f>
        <v>90993.5</v>
      </c>
      <c r="M37" s="365">
        <f>10300+144+24+59+48+475+534+327</f>
        <v>11911</v>
      </c>
      <c r="N37" s="532">
        <f t="shared" si="7"/>
        <v>7.639450927713878</v>
      </c>
      <c r="O37" s="375"/>
      <c r="P37" s="355"/>
      <c r="Q37" s="66"/>
      <c r="R37" s="66"/>
      <c r="S37" s="66"/>
      <c r="T37" s="66"/>
    </row>
    <row r="38" spans="1:20" ht="13.5" customHeight="1">
      <c r="A38" s="225">
        <v>34</v>
      </c>
      <c r="B38" s="537" t="s">
        <v>140</v>
      </c>
      <c r="C38" s="358">
        <v>40298</v>
      </c>
      <c r="D38" s="357" t="s">
        <v>119</v>
      </c>
      <c r="E38" s="420">
        <v>10</v>
      </c>
      <c r="F38" s="359">
        <v>1</v>
      </c>
      <c r="G38" s="420">
        <v>22</v>
      </c>
      <c r="H38" s="360">
        <v>952</v>
      </c>
      <c r="I38" s="361">
        <v>238</v>
      </c>
      <c r="J38" s="362">
        <f>(I38/F38)</f>
        <v>238</v>
      </c>
      <c r="K38" s="363">
        <f t="shared" si="6"/>
        <v>4</v>
      </c>
      <c r="L38" s="364">
        <f>83892.5+865+192+477+220.5+1901+2138.5+1307+952</f>
        <v>91945.5</v>
      </c>
      <c r="M38" s="365">
        <f>10300+144+24+59+48+475+534+327+238</f>
        <v>12149</v>
      </c>
      <c r="N38" s="532">
        <f t="shared" si="7"/>
        <v>7.568153757510906</v>
      </c>
      <c r="O38" s="366"/>
      <c r="P38" s="354"/>
      <c r="Q38" s="66"/>
      <c r="R38" s="66"/>
      <c r="S38" s="66"/>
      <c r="T38" s="66"/>
    </row>
    <row r="39" spans="1:20" ht="13.5" customHeight="1">
      <c r="A39" s="225">
        <v>35</v>
      </c>
      <c r="B39" s="538" t="s">
        <v>64</v>
      </c>
      <c r="C39" s="390">
        <v>40452</v>
      </c>
      <c r="D39" s="389" t="s">
        <v>17</v>
      </c>
      <c r="E39" s="391">
        <v>148</v>
      </c>
      <c r="F39" s="391">
        <v>3</v>
      </c>
      <c r="G39" s="391">
        <v>14</v>
      </c>
      <c r="H39" s="415">
        <v>4104.5</v>
      </c>
      <c r="I39" s="410">
        <v>531</v>
      </c>
      <c r="J39" s="411">
        <f>IF(H39&lt;&gt;0,I39/F39,"")</f>
        <v>177</v>
      </c>
      <c r="K39" s="416">
        <f>IF(H39&lt;&gt;0,H39/I39,"")</f>
        <v>7.7297551789077215</v>
      </c>
      <c r="L39" s="417">
        <f>699440.5+93480+55329+21058.5+2054+5186.5+3036+2522+4090+1329+2064+2423+H39</f>
        <v>896117</v>
      </c>
      <c r="M39" s="414">
        <f>74937+13125+8283+3296+346+1058+497+365+749+203+322+349+531</f>
        <v>104061</v>
      </c>
      <c r="N39" s="544">
        <f>IF(L39&lt;&gt;0,L39/M39,"")</f>
        <v>8.611458663668426</v>
      </c>
      <c r="O39" s="373">
        <v>1</v>
      </c>
      <c r="P39" s="354"/>
      <c r="Q39" s="66"/>
      <c r="R39" s="66"/>
      <c r="S39" s="66"/>
      <c r="T39" s="66"/>
    </row>
    <row r="40" spans="1:20" ht="13.5" customHeight="1">
      <c r="A40" s="225">
        <v>36</v>
      </c>
      <c r="B40" s="540" t="s">
        <v>64</v>
      </c>
      <c r="C40" s="390">
        <v>40452</v>
      </c>
      <c r="D40" s="389" t="s">
        <v>17</v>
      </c>
      <c r="E40" s="391">
        <v>148</v>
      </c>
      <c r="F40" s="391">
        <v>1</v>
      </c>
      <c r="G40" s="391">
        <v>15</v>
      </c>
      <c r="H40" s="409">
        <v>528</v>
      </c>
      <c r="I40" s="410">
        <v>88</v>
      </c>
      <c r="J40" s="411">
        <f>IF(H40&lt;&gt;0,I40/F40,"")</f>
        <v>88</v>
      </c>
      <c r="K40" s="412">
        <f>IF(H40&lt;&gt;0,H40/I40,"")</f>
        <v>6</v>
      </c>
      <c r="L40" s="413">
        <f>896117+528</f>
        <v>896645</v>
      </c>
      <c r="M40" s="423">
        <f>104061+88</f>
        <v>104149</v>
      </c>
      <c r="N40" s="543">
        <f>IF(L40&lt;&gt;0,L40/M40,"")</f>
        <v>8.609252129161106</v>
      </c>
      <c r="O40" s="388">
        <v>1</v>
      </c>
      <c r="P40" s="354"/>
      <c r="Q40" s="66"/>
      <c r="R40" s="66"/>
      <c r="S40" s="66"/>
      <c r="T40" s="66"/>
    </row>
    <row r="41" spans="1:20" ht="13.5" customHeight="1">
      <c r="A41" s="225">
        <v>37</v>
      </c>
      <c r="B41" s="538" t="s">
        <v>64</v>
      </c>
      <c r="C41" s="390">
        <v>40452</v>
      </c>
      <c r="D41" s="398" t="s">
        <v>17</v>
      </c>
      <c r="E41" s="391">
        <v>148</v>
      </c>
      <c r="F41" s="391">
        <v>1</v>
      </c>
      <c r="G41" s="391">
        <v>17</v>
      </c>
      <c r="H41" s="409">
        <v>468</v>
      </c>
      <c r="I41" s="410">
        <v>78</v>
      </c>
      <c r="J41" s="411">
        <f>IF(H41&lt;&gt;0,I41/F41,"")</f>
        <v>78</v>
      </c>
      <c r="K41" s="412">
        <f>IF(H41&lt;&gt;0,H41/I41,"")</f>
        <v>6</v>
      </c>
      <c r="L41" s="413">
        <f>896117+528+390+468</f>
        <v>897503</v>
      </c>
      <c r="M41" s="414">
        <f>104061+88+65+78</f>
        <v>104292</v>
      </c>
      <c r="N41" s="543">
        <f>IF(L41&lt;&gt;0,L41/M41,"")</f>
        <v>8.605674452498754</v>
      </c>
      <c r="O41" s="388">
        <v>1</v>
      </c>
      <c r="P41" s="354"/>
      <c r="Q41" s="66"/>
      <c r="R41" s="66"/>
      <c r="S41" s="66"/>
      <c r="T41" s="66"/>
    </row>
    <row r="42" spans="1:20" ht="13.5" customHeight="1">
      <c r="A42" s="225">
        <v>38</v>
      </c>
      <c r="B42" s="542" t="s">
        <v>64</v>
      </c>
      <c r="C42" s="390">
        <v>40452</v>
      </c>
      <c r="D42" s="402" t="s">
        <v>17</v>
      </c>
      <c r="E42" s="403">
        <v>148</v>
      </c>
      <c r="F42" s="403">
        <v>1</v>
      </c>
      <c r="G42" s="403">
        <v>16</v>
      </c>
      <c r="H42" s="409">
        <v>390</v>
      </c>
      <c r="I42" s="410">
        <v>65</v>
      </c>
      <c r="J42" s="411">
        <f>+I42/F42</f>
        <v>65</v>
      </c>
      <c r="K42" s="412">
        <f>+H42/I42</f>
        <v>6</v>
      </c>
      <c r="L42" s="413">
        <f>896117+528+390</f>
        <v>897035</v>
      </c>
      <c r="M42" s="423">
        <f>104061+88+65</f>
        <v>104214</v>
      </c>
      <c r="N42" s="543">
        <f>IF(L42&lt;&gt;0,L42/M42,"")</f>
        <v>8.607624695338439</v>
      </c>
      <c r="O42" s="366">
        <v>1</v>
      </c>
      <c r="P42" s="354"/>
      <c r="Q42" s="66"/>
      <c r="R42" s="66"/>
      <c r="S42" s="66"/>
      <c r="T42" s="66"/>
    </row>
    <row r="43" spans="1:20" ht="13.5" customHeight="1">
      <c r="A43" s="225">
        <v>39</v>
      </c>
      <c r="B43" s="533" t="s">
        <v>14</v>
      </c>
      <c r="C43" s="368">
        <v>40473</v>
      </c>
      <c r="D43" s="357" t="s">
        <v>119</v>
      </c>
      <c r="E43" s="427">
        <v>28</v>
      </c>
      <c r="F43" s="369">
        <v>1</v>
      </c>
      <c r="G43" s="427">
        <v>12</v>
      </c>
      <c r="H43" s="360">
        <v>2675</v>
      </c>
      <c r="I43" s="361">
        <v>301</v>
      </c>
      <c r="J43" s="362">
        <f aca="true" t="shared" si="8" ref="J43:J48">(I43/F43)</f>
        <v>301</v>
      </c>
      <c r="K43" s="363">
        <f aca="true" t="shared" si="9" ref="K43:K66">H43/I43</f>
        <v>8.887043189368772</v>
      </c>
      <c r="L43" s="364">
        <f>152569.5+122205.5+10562+6863.5+9619+5655+1726.5+3593+4508+310+2166+2675</f>
        <v>322453</v>
      </c>
      <c r="M43" s="365">
        <f>12992+10278+1201+886+1535+877+246+644+1351+56+302+301</f>
        <v>30669</v>
      </c>
      <c r="N43" s="532">
        <f aca="true" t="shared" si="10" ref="N43:N48">L43/M43</f>
        <v>10.51397176301803</v>
      </c>
      <c r="O43" s="373"/>
      <c r="P43" s="355"/>
      <c r="Q43" s="66"/>
      <c r="R43" s="66"/>
      <c r="S43" s="66"/>
      <c r="T43" s="66"/>
    </row>
    <row r="44" spans="1:20" ht="13.5" customHeight="1">
      <c r="A44" s="225">
        <v>40</v>
      </c>
      <c r="B44" s="533" t="s">
        <v>14</v>
      </c>
      <c r="C44" s="368">
        <v>40473</v>
      </c>
      <c r="D44" s="357" t="s">
        <v>119</v>
      </c>
      <c r="E44" s="369">
        <v>28</v>
      </c>
      <c r="F44" s="369">
        <v>3</v>
      </c>
      <c r="G44" s="369">
        <v>11</v>
      </c>
      <c r="H44" s="370">
        <v>2166</v>
      </c>
      <c r="I44" s="361">
        <v>302</v>
      </c>
      <c r="J44" s="362">
        <f t="shared" si="8"/>
        <v>100.66666666666667</v>
      </c>
      <c r="K44" s="371">
        <f t="shared" si="9"/>
        <v>7.172185430463577</v>
      </c>
      <c r="L44" s="372">
        <f>152569.5+122205.5+10562+6863.5+9619+5655+1726.5+3593+4508+310+2166</f>
        <v>319778</v>
      </c>
      <c r="M44" s="365">
        <f>12992+10278+1201+886+1535+877+246+644+1351+56+302</f>
        <v>30368</v>
      </c>
      <c r="N44" s="534">
        <f t="shared" si="10"/>
        <v>10.53009747102213</v>
      </c>
      <c r="O44" s="373">
        <v>1</v>
      </c>
      <c r="P44" s="355"/>
      <c r="Q44" s="66"/>
      <c r="R44" s="66"/>
      <c r="S44" s="66"/>
      <c r="T44" s="66"/>
    </row>
    <row r="45" spans="1:20" ht="13.5" customHeight="1">
      <c r="A45" s="225">
        <v>41</v>
      </c>
      <c r="B45" s="531" t="s">
        <v>14</v>
      </c>
      <c r="C45" s="368">
        <v>40473</v>
      </c>
      <c r="D45" s="357" t="s">
        <v>119</v>
      </c>
      <c r="E45" s="369">
        <v>28</v>
      </c>
      <c r="F45" s="369">
        <v>1</v>
      </c>
      <c r="G45" s="369">
        <v>13</v>
      </c>
      <c r="H45" s="360">
        <v>594</v>
      </c>
      <c r="I45" s="361">
        <v>115</v>
      </c>
      <c r="J45" s="362">
        <f t="shared" si="8"/>
        <v>115</v>
      </c>
      <c r="K45" s="363">
        <f t="shared" si="9"/>
        <v>5.165217391304348</v>
      </c>
      <c r="L45" s="364">
        <f>152569.5+122205.5+10562+6863.5+9619+5655+1726.5+3593+4508+310+2166+2675+594</f>
        <v>323047</v>
      </c>
      <c r="M45" s="365">
        <f>12992+10278+1201+886+1535+877+246+644+1351+56+302+301+115</f>
        <v>30784</v>
      </c>
      <c r="N45" s="532">
        <f t="shared" si="10"/>
        <v>10.493990384615385</v>
      </c>
      <c r="O45" s="373"/>
      <c r="P45" s="354"/>
      <c r="Q45" s="66"/>
      <c r="R45" s="66"/>
      <c r="S45" s="66"/>
      <c r="T45" s="66"/>
    </row>
    <row r="46" spans="1:20" ht="13.5" customHeight="1">
      <c r="A46" s="225">
        <v>42</v>
      </c>
      <c r="B46" s="531" t="s">
        <v>14</v>
      </c>
      <c r="C46" s="368">
        <v>40473</v>
      </c>
      <c r="D46" s="374" t="s">
        <v>119</v>
      </c>
      <c r="E46" s="369">
        <v>28</v>
      </c>
      <c r="F46" s="369">
        <v>1</v>
      </c>
      <c r="G46" s="369">
        <v>14</v>
      </c>
      <c r="H46" s="364">
        <v>555.5</v>
      </c>
      <c r="I46" s="365">
        <v>69</v>
      </c>
      <c r="J46" s="362">
        <f t="shared" si="8"/>
        <v>69</v>
      </c>
      <c r="K46" s="363">
        <f t="shared" si="9"/>
        <v>8.05072463768116</v>
      </c>
      <c r="L46" s="364">
        <f>152569.5+122205.5+10562+6863.5+9619+5655+1726.5+3593+4508+310+2166+2675+594+555.5</f>
        <v>323602.5</v>
      </c>
      <c r="M46" s="365">
        <f>12992+10278+1201+886+1535+877+246+644+1351+56+302+301+115+69</f>
        <v>30853</v>
      </c>
      <c r="N46" s="532">
        <f t="shared" si="10"/>
        <v>10.488526237318899</v>
      </c>
      <c r="O46" s="388"/>
      <c r="P46" s="354"/>
      <c r="Q46" s="66"/>
      <c r="R46" s="66"/>
      <c r="S46" s="66"/>
      <c r="T46" s="66"/>
    </row>
    <row r="47" spans="1:20" ht="13.5" customHeight="1">
      <c r="A47" s="225">
        <v>43</v>
      </c>
      <c r="B47" s="531" t="s">
        <v>136</v>
      </c>
      <c r="C47" s="368">
        <v>40333</v>
      </c>
      <c r="D47" s="357" t="s">
        <v>119</v>
      </c>
      <c r="E47" s="369">
        <v>5</v>
      </c>
      <c r="F47" s="369">
        <v>1</v>
      </c>
      <c r="G47" s="369">
        <v>17</v>
      </c>
      <c r="H47" s="360">
        <v>950.5</v>
      </c>
      <c r="I47" s="361">
        <v>238</v>
      </c>
      <c r="J47" s="362">
        <f t="shared" si="8"/>
        <v>238</v>
      </c>
      <c r="K47" s="363">
        <f t="shared" si="9"/>
        <v>3.9936974789915967</v>
      </c>
      <c r="L47" s="364">
        <f>36730.5+564+1413+1445+1680+605+2036+437+950.5</f>
        <v>45861</v>
      </c>
      <c r="M47" s="365">
        <f>3877+97+237+234+280+110+317+78+238</f>
        <v>5468</v>
      </c>
      <c r="N47" s="532">
        <f t="shared" si="10"/>
        <v>8.38716166788588</v>
      </c>
      <c r="O47" s="373"/>
      <c r="P47" s="354"/>
      <c r="Q47" s="66"/>
      <c r="R47" s="66"/>
      <c r="S47" s="66"/>
      <c r="T47" s="66"/>
    </row>
    <row r="48" spans="1:20" ht="13.5" customHeight="1">
      <c r="A48" s="225">
        <v>44</v>
      </c>
      <c r="B48" s="537" t="s">
        <v>156</v>
      </c>
      <c r="C48" s="358">
        <v>40102</v>
      </c>
      <c r="D48" s="357" t="s">
        <v>119</v>
      </c>
      <c r="E48" s="359">
        <v>22</v>
      </c>
      <c r="F48" s="359">
        <v>1</v>
      </c>
      <c r="G48" s="359">
        <v>13</v>
      </c>
      <c r="H48" s="360">
        <v>952</v>
      </c>
      <c r="I48" s="361">
        <v>238</v>
      </c>
      <c r="J48" s="362">
        <f t="shared" si="8"/>
        <v>238</v>
      </c>
      <c r="K48" s="363">
        <f t="shared" si="9"/>
        <v>4</v>
      </c>
      <c r="L48" s="364">
        <f>129717.5+110957+18478+6527+6853.5+1081.5+738.5+250+165+404+829.5+186+952</f>
        <v>277139.5</v>
      </c>
      <c r="M48" s="365">
        <f>10402+8975+1885+691+1109+369+262+48+23+69+109+24+238</f>
        <v>24204</v>
      </c>
      <c r="N48" s="532">
        <f t="shared" si="10"/>
        <v>11.450152867294662</v>
      </c>
      <c r="O48" s="366"/>
      <c r="P48" s="354"/>
      <c r="Q48" s="66"/>
      <c r="R48" s="66"/>
      <c r="S48" s="66"/>
      <c r="T48" s="66"/>
    </row>
    <row r="49" spans="1:20" ht="13.5" customHeight="1">
      <c r="A49" s="225">
        <v>45</v>
      </c>
      <c r="B49" s="551" t="s">
        <v>67</v>
      </c>
      <c r="C49" s="390">
        <v>40529</v>
      </c>
      <c r="D49" s="439" t="s">
        <v>25</v>
      </c>
      <c r="E49" s="403">
        <v>81</v>
      </c>
      <c r="F49" s="403">
        <v>69</v>
      </c>
      <c r="G49" s="403">
        <v>3</v>
      </c>
      <c r="H49" s="440">
        <v>90040</v>
      </c>
      <c r="I49" s="441">
        <v>10688</v>
      </c>
      <c r="J49" s="442">
        <f>I49/F49</f>
        <v>154.8985507246377</v>
      </c>
      <c r="K49" s="443">
        <f t="shared" si="9"/>
        <v>8.42440119760479</v>
      </c>
      <c r="L49" s="444">
        <v>472298</v>
      </c>
      <c r="M49" s="445">
        <v>55934</v>
      </c>
      <c r="N49" s="552">
        <f>+L49/M49</f>
        <v>8.443844531054458</v>
      </c>
      <c r="O49" s="373"/>
      <c r="P49" s="354"/>
      <c r="Q49" s="66"/>
      <c r="R49" s="66"/>
      <c r="S49" s="66"/>
      <c r="T49" s="66"/>
    </row>
    <row r="50" spans="1:20" ht="13.5" customHeight="1">
      <c r="A50" s="225">
        <v>46</v>
      </c>
      <c r="B50" s="542" t="s">
        <v>67</v>
      </c>
      <c r="C50" s="390">
        <v>40529</v>
      </c>
      <c r="D50" s="402" t="s">
        <v>25</v>
      </c>
      <c r="E50" s="403">
        <v>81</v>
      </c>
      <c r="F50" s="403">
        <v>5</v>
      </c>
      <c r="G50" s="403">
        <v>5</v>
      </c>
      <c r="H50" s="446">
        <v>5631</v>
      </c>
      <c r="I50" s="441">
        <v>879</v>
      </c>
      <c r="J50" s="442">
        <f>I50/F50</f>
        <v>175.8</v>
      </c>
      <c r="K50" s="447">
        <f t="shared" si="9"/>
        <v>6.406143344709897</v>
      </c>
      <c r="L50" s="448">
        <v>478360</v>
      </c>
      <c r="M50" s="445">
        <v>56856</v>
      </c>
      <c r="N50" s="553">
        <f>+L50/M50</f>
        <v>8.413535950471367</v>
      </c>
      <c r="O50" s="408">
        <v>1</v>
      </c>
      <c r="P50" s="354"/>
      <c r="Q50" s="66"/>
      <c r="R50" s="66"/>
      <c r="S50" s="66"/>
      <c r="T50" s="66"/>
    </row>
    <row r="51" spans="1:20" ht="13.5" customHeight="1">
      <c r="A51" s="225">
        <v>47</v>
      </c>
      <c r="B51" s="551" t="s">
        <v>67</v>
      </c>
      <c r="C51" s="390">
        <v>40529</v>
      </c>
      <c r="D51" s="402" t="s">
        <v>25</v>
      </c>
      <c r="E51" s="403">
        <v>81</v>
      </c>
      <c r="F51" s="403">
        <v>4</v>
      </c>
      <c r="G51" s="403">
        <v>6</v>
      </c>
      <c r="H51" s="446">
        <v>2875</v>
      </c>
      <c r="I51" s="441">
        <v>650</v>
      </c>
      <c r="J51" s="362">
        <f>(I51/F51)</f>
        <v>162.5</v>
      </c>
      <c r="K51" s="363">
        <f t="shared" si="9"/>
        <v>4.423076923076923</v>
      </c>
      <c r="L51" s="448">
        <v>481235</v>
      </c>
      <c r="M51" s="445">
        <v>57506</v>
      </c>
      <c r="N51" s="532">
        <f>L51/M51</f>
        <v>8.368431120230932</v>
      </c>
      <c r="O51" s="373">
        <v>1</v>
      </c>
      <c r="P51" s="355"/>
      <c r="Q51" s="66"/>
      <c r="R51" s="66"/>
      <c r="S51" s="66"/>
      <c r="T51" s="66"/>
    </row>
    <row r="52" spans="1:20" ht="13.5" customHeight="1">
      <c r="A52" s="225">
        <v>48</v>
      </c>
      <c r="B52" s="542" t="s">
        <v>67</v>
      </c>
      <c r="C52" s="390">
        <v>40529</v>
      </c>
      <c r="D52" s="402" t="s">
        <v>25</v>
      </c>
      <c r="E52" s="403">
        <v>81</v>
      </c>
      <c r="F52" s="403">
        <v>2</v>
      </c>
      <c r="G52" s="403">
        <v>7</v>
      </c>
      <c r="H52" s="446">
        <v>2351</v>
      </c>
      <c r="I52" s="441">
        <v>769</v>
      </c>
      <c r="J52" s="442">
        <f>I52/F52</f>
        <v>384.5</v>
      </c>
      <c r="K52" s="447">
        <f t="shared" si="9"/>
        <v>3.057217165149545</v>
      </c>
      <c r="L52" s="448">
        <v>483585</v>
      </c>
      <c r="M52" s="445">
        <v>58275</v>
      </c>
      <c r="N52" s="541">
        <f>+L52/M52</f>
        <v>8.298326898326899</v>
      </c>
      <c r="O52" s="373">
        <v>1</v>
      </c>
      <c r="P52" s="355"/>
      <c r="Q52" s="66"/>
      <c r="R52" s="66"/>
      <c r="S52" s="66"/>
      <c r="T52" s="66"/>
    </row>
    <row r="53" spans="1:20" ht="13.5" customHeight="1">
      <c r="A53" s="225">
        <v>49</v>
      </c>
      <c r="B53" s="542" t="s">
        <v>67</v>
      </c>
      <c r="C53" s="390">
        <v>40529</v>
      </c>
      <c r="D53" s="402" t="s">
        <v>25</v>
      </c>
      <c r="E53" s="403">
        <v>81</v>
      </c>
      <c r="F53" s="403">
        <v>1</v>
      </c>
      <c r="G53" s="403">
        <v>8</v>
      </c>
      <c r="H53" s="446">
        <v>997</v>
      </c>
      <c r="I53" s="441">
        <v>367</v>
      </c>
      <c r="J53" s="442">
        <f>I53/F53</f>
        <v>367</v>
      </c>
      <c r="K53" s="447">
        <f t="shared" si="9"/>
        <v>2.7166212534059944</v>
      </c>
      <c r="L53" s="448">
        <v>485472</v>
      </c>
      <c r="M53" s="445">
        <v>58973</v>
      </c>
      <c r="N53" s="553">
        <f>+L53/M53</f>
        <v>8.232106218099808</v>
      </c>
      <c r="O53" s="375"/>
      <c r="P53" s="354"/>
      <c r="Q53" s="66"/>
      <c r="R53" s="66"/>
      <c r="S53" s="66"/>
      <c r="T53" s="66"/>
    </row>
    <row r="54" spans="1:20" ht="13.5" customHeight="1">
      <c r="A54" s="225">
        <v>50</v>
      </c>
      <c r="B54" s="542" t="s">
        <v>67</v>
      </c>
      <c r="C54" s="390">
        <v>40529</v>
      </c>
      <c r="D54" s="439" t="s">
        <v>25</v>
      </c>
      <c r="E54" s="403">
        <v>81</v>
      </c>
      <c r="F54" s="403">
        <v>5</v>
      </c>
      <c r="G54" s="403">
        <v>4</v>
      </c>
      <c r="H54" s="446">
        <v>431</v>
      </c>
      <c r="I54" s="441">
        <v>43</v>
      </c>
      <c r="J54" s="442">
        <f>I54/F54</f>
        <v>8.6</v>
      </c>
      <c r="K54" s="447">
        <f t="shared" si="9"/>
        <v>10.023255813953488</v>
      </c>
      <c r="L54" s="448">
        <v>472729</v>
      </c>
      <c r="M54" s="445">
        <v>55977</v>
      </c>
      <c r="N54" s="553">
        <f>+L54/M54</f>
        <v>8.445057791592976</v>
      </c>
      <c r="O54" s="388">
        <v>1</v>
      </c>
      <c r="P54" s="354"/>
      <c r="Q54" s="66"/>
      <c r="R54" s="66"/>
      <c r="S54" s="66"/>
      <c r="T54" s="66"/>
    </row>
    <row r="55" spans="1:20" ht="13.5" customHeight="1">
      <c r="A55" s="225">
        <v>51</v>
      </c>
      <c r="B55" s="542" t="s">
        <v>67</v>
      </c>
      <c r="C55" s="390">
        <v>40529</v>
      </c>
      <c r="D55" s="402" t="s">
        <v>25</v>
      </c>
      <c r="E55" s="403">
        <v>81</v>
      </c>
      <c r="F55" s="403">
        <v>1</v>
      </c>
      <c r="G55" s="403">
        <v>9</v>
      </c>
      <c r="H55" s="446">
        <v>427</v>
      </c>
      <c r="I55" s="441">
        <v>52</v>
      </c>
      <c r="J55" s="442">
        <f>I55/F55</f>
        <v>52</v>
      </c>
      <c r="K55" s="447">
        <f t="shared" si="9"/>
        <v>8.211538461538462</v>
      </c>
      <c r="L55" s="448">
        <v>484902</v>
      </c>
      <c r="M55" s="445">
        <v>58658</v>
      </c>
      <c r="N55" s="553">
        <f>+L55/M55</f>
        <v>8.266596201711616</v>
      </c>
      <c r="O55" s="408">
        <v>1</v>
      </c>
      <c r="P55" s="354"/>
      <c r="Q55" s="66"/>
      <c r="R55" s="66"/>
      <c r="S55" s="66"/>
      <c r="T55" s="66"/>
    </row>
    <row r="56" spans="1:20" ht="13.5" customHeight="1">
      <c r="A56" s="225">
        <v>52</v>
      </c>
      <c r="B56" s="542" t="s">
        <v>67</v>
      </c>
      <c r="C56" s="390">
        <v>40529</v>
      </c>
      <c r="D56" s="402" t="s">
        <v>25</v>
      </c>
      <c r="E56" s="403">
        <v>81</v>
      </c>
      <c r="F56" s="403">
        <v>1</v>
      </c>
      <c r="G56" s="403">
        <v>12</v>
      </c>
      <c r="H56" s="448">
        <v>176</v>
      </c>
      <c r="I56" s="445">
        <v>26</v>
      </c>
      <c r="J56" s="442">
        <f>I56/F56</f>
        <v>26</v>
      </c>
      <c r="K56" s="447">
        <f t="shared" si="9"/>
        <v>6.769230769230769</v>
      </c>
      <c r="L56" s="448">
        <v>487699</v>
      </c>
      <c r="M56" s="445">
        <v>59278</v>
      </c>
      <c r="N56" s="553">
        <f>+L56/M56</f>
        <v>8.227318735449915</v>
      </c>
      <c r="O56" s="388">
        <v>1</v>
      </c>
      <c r="P56" s="354"/>
      <c r="Q56" s="66"/>
      <c r="R56" s="66"/>
      <c r="S56" s="66"/>
      <c r="T56" s="66"/>
    </row>
    <row r="57" spans="1:20" ht="13.5" customHeight="1">
      <c r="A57" s="225">
        <v>53</v>
      </c>
      <c r="B57" s="533" t="s">
        <v>57</v>
      </c>
      <c r="C57" s="368">
        <v>40529</v>
      </c>
      <c r="D57" s="357" t="s">
        <v>119</v>
      </c>
      <c r="E57" s="369">
        <v>147</v>
      </c>
      <c r="F57" s="369">
        <v>147</v>
      </c>
      <c r="G57" s="369">
        <v>3</v>
      </c>
      <c r="H57" s="370">
        <v>518408</v>
      </c>
      <c r="I57" s="361">
        <v>61133</v>
      </c>
      <c r="J57" s="362">
        <f aca="true" t="shared" si="11" ref="J57:J66">(I57/F57)</f>
        <v>415.8707482993197</v>
      </c>
      <c r="K57" s="371">
        <f t="shared" si="9"/>
        <v>8.480002617244368</v>
      </c>
      <c r="L57" s="372">
        <f>691567.5+648414.5+518408</f>
        <v>1858390</v>
      </c>
      <c r="M57" s="365">
        <f>79327+75064+61133</f>
        <v>215524</v>
      </c>
      <c r="N57" s="534">
        <f aca="true" t="shared" si="12" ref="N57:N66">L57/M57</f>
        <v>8.622659193407694</v>
      </c>
      <c r="O57" s="449"/>
      <c r="P57" s="354"/>
      <c r="Q57" s="66"/>
      <c r="R57" s="66"/>
      <c r="S57" s="66"/>
      <c r="T57" s="66"/>
    </row>
    <row r="58" spans="1:20" ht="13.5" customHeight="1">
      <c r="A58" s="225">
        <v>54</v>
      </c>
      <c r="B58" s="531" t="s">
        <v>88</v>
      </c>
      <c r="C58" s="368">
        <v>40529</v>
      </c>
      <c r="D58" s="357" t="s">
        <v>119</v>
      </c>
      <c r="E58" s="369">
        <v>147</v>
      </c>
      <c r="F58" s="369">
        <v>70</v>
      </c>
      <c r="G58" s="369">
        <v>4</v>
      </c>
      <c r="H58" s="360">
        <v>71112.5</v>
      </c>
      <c r="I58" s="361">
        <v>10235</v>
      </c>
      <c r="J58" s="362">
        <f t="shared" si="11"/>
        <v>146.21428571428572</v>
      </c>
      <c r="K58" s="363">
        <f t="shared" si="9"/>
        <v>6.947972642892037</v>
      </c>
      <c r="L58" s="364">
        <f>691567.5+648414.5+518408+71112.5</f>
        <v>1929502.5</v>
      </c>
      <c r="M58" s="365">
        <f>79327+75064+61133+10235</f>
        <v>225759</v>
      </c>
      <c r="N58" s="532">
        <f t="shared" si="12"/>
        <v>8.546735678311828</v>
      </c>
      <c r="O58" s="450">
        <v>1</v>
      </c>
      <c r="P58" s="355"/>
      <c r="Q58" s="66"/>
      <c r="R58" s="66"/>
      <c r="S58" s="66"/>
      <c r="T58" s="66"/>
    </row>
    <row r="59" spans="1:20" ht="13.5" customHeight="1">
      <c r="A59" s="225">
        <v>55</v>
      </c>
      <c r="B59" s="535" t="s">
        <v>88</v>
      </c>
      <c r="C59" s="379">
        <v>40529</v>
      </c>
      <c r="D59" s="357" t="s">
        <v>119</v>
      </c>
      <c r="E59" s="380">
        <v>147</v>
      </c>
      <c r="F59" s="380">
        <v>41</v>
      </c>
      <c r="G59" s="380">
        <v>5</v>
      </c>
      <c r="H59" s="381">
        <v>45526</v>
      </c>
      <c r="I59" s="382">
        <v>7792</v>
      </c>
      <c r="J59" s="383">
        <f t="shared" si="11"/>
        <v>190.0487804878049</v>
      </c>
      <c r="K59" s="384">
        <f t="shared" si="9"/>
        <v>5.842659137577002</v>
      </c>
      <c r="L59" s="385">
        <f>691567.5+648414.5+518408+71321.5+45526</f>
        <v>1975237.5</v>
      </c>
      <c r="M59" s="386">
        <f>79327+75064+61133+10266+7792</f>
        <v>233582</v>
      </c>
      <c r="N59" s="536">
        <f t="shared" si="12"/>
        <v>8.456291580686868</v>
      </c>
      <c r="O59" s="387">
        <v>1</v>
      </c>
      <c r="P59" s="354"/>
      <c r="Q59" s="66"/>
      <c r="R59" s="66"/>
      <c r="S59" s="66"/>
      <c r="T59" s="66"/>
    </row>
    <row r="60" spans="1:20" ht="13.5" customHeight="1">
      <c r="A60" s="225">
        <v>56</v>
      </c>
      <c r="B60" s="533" t="s">
        <v>57</v>
      </c>
      <c r="C60" s="368">
        <v>40529</v>
      </c>
      <c r="D60" s="357" t="s">
        <v>119</v>
      </c>
      <c r="E60" s="369">
        <v>147</v>
      </c>
      <c r="F60" s="369">
        <v>18</v>
      </c>
      <c r="G60" s="369">
        <v>6</v>
      </c>
      <c r="H60" s="360">
        <v>17480</v>
      </c>
      <c r="I60" s="361">
        <v>4345</v>
      </c>
      <c r="J60" s="362">
        <f t="shared" si="11"/>
        <v>241.38888888888889</v>
      </c>
      <c r="K60" s="363">
        <f t="shared" si="9"/>
        <v>4.02301495972382</v>
      </c>
      <c r="L60" s="364">
        <f>691567.5+648414.5+518408+71321.5+45526+17480</f>
        <v>1992717.5</v>
      </c>
      <c r="M60" s="365">
        <f>79327+75064+61133+10266+7792+4345</f>
        <v>237927</v>
      </c>
      <c r="N60" s="532">
        <f t="shared" si="12"/>
        <v>8.375331509244432</v>
      </c>
      <c r="O60" s="373">
        <v>1</v>
      </c>
      <c r="P60" s="354"/>
      <c r="Q60" s="66"/>
      <c r="R60" s="66"/>
      <c r="S60" s="66"/>
      <c r="T60" s="66"/>
    </row>
    <row r="61" spans="1:20" ht="13.5" customHeight="1">
      <c r="A61" s="225">
        <v>57</v>
      </c>
      <c r="B61" s="531" t="s">
        <v>88</v>
      </c>
      <c r="C61" s="368">
        <v>40529</v>
      </c>
      <c r="D61" s="357" t="s">
        <v>119</v>
      </c>
      <c r="E61" s="369">
        <v>147</v>
      </c>
      <c r="F61" s="369">
        <v>7</v>
      </c>
      <c r="G61" s="369">
        <v>7</v>
      </c>
      <c r="H61" s="360">
        <v>7409</v>
      </c>
      <c r="I61" s="361">
        <v>1731</v>
      </c>
      <c r="J61" s="362">
        <f t="shared" si="11"/>
        <v>247.28571428571428</v>
      </c>
      <c r="K61" s="363">
        <f t="shared" si="9"/>
        <v>4.280184864240323</v>
      </c>
      <c r="L61" s="364">
        <f>691567.5+648414.5+518408+71321.5+45526+17480+7409</f>
        <v>2000126.5</v>
      </c>
      <c r="M61" s="365">
        <f>79327+75064+61133+10266+7792+4345+1731</f>
        <v>239658</v>
      </c>
      <c r="N61" s="532">
        <f t="shared" si="12"/>
        <v>8.345753114855336</v>
      </c>
      <c r="O61" s="373">
        <v>1</v>
      </c>
      <c r="P61" s="354"/>
      <c r="Q61" s="66"/>
      <c r="R61" s="66"/>
      <c r="S61" s="66"/>
      <c r="T61" s="66"/>
    </row>
    <row r="62" spans="1:20" ht="13.5" customHeight="1">
      <c r="A62" s="225">
        <v>58</v>
      </c>
      <c r="B62" s="537" t="s">
        <v>88</v>
      </c>
      <c r="C62" s="358">
        <v>40529</v>
      </c>
      <c r="D62" s="357" t="s">
        <v>119</v>
      </c>
      <c r="E62" s="359">
        <v>147</v>
      </c>
      <c r="F62" s="359">
        <v>7</v>
      </c>
      <c r="G62" s="359">
        <v>10</v>
      </c>
      <c r="H62" s="360">
        <v>5445.5</v>
      </c>
      <c r="I62" s="361">
        <v>1176</v>
      </c>
      <c r="J62" s="362">
        <f t="shared" si="11"/>
        <v>168</v>
      </c>
      <c r="K62" s="363">
        <f t="shared" si="9"/>
        <v>4.630527210884353</v>
      </c>
      <c r="L62" s="364">
        <f>691567.5+648414.5+518408+71321.5+45526+17480+7409+4406.5+1874+5445.5</f>
        <v>2011852.5</v>
      </c>
      <c r="M62" s="365">
        <f>79327+75064+61133+10266+7792+4345+1731+935+303+1176</f>
        <v>242072</v>
      </c>
      <c r="N62" s="532">
        <f t="shared" si="12"/>
        <v>8.310967398129483</v>
      </c>
      <c r="O62" s="366">
        <v>1</v>
      </c>
      <c r="P62" s="354"/>
      <c r="Q62" s="66"/>
      <c r="R62" s="66"/>
      <c r="S62" s="66"/>
      <c r="T62" s="66"/>
    </row>
    <row r="63" spans="1:20" ht="13.5" customHeight="1">
      <c r="A63" s="225">
        <v>59</v>
      </c>
      <c r="B63" s="537" t="s">
        <v>57</v>
      </c>
      <c r="C63" s="368">
        <v>40529</v>
      </c>
      <c r="D63" s="357" t="s">
        <v>119</v>
      </c>
      <c r="E63" s="359">
        <v>147</v>
      </c>
      <c r="F63" s="359">
        <v>4</v>
      </c>
      <c r="G63" s="359">
        <v>8</v>
      </c>
      <c r="H63" s="360">
        <v>4406.5</v>
      </c>
      <c r="I63" s="361">
        <v>935</v>
      </c>
      <c r="J63" s="362">
        <f t="shared" si="11"/>
        <v>233.75</v>
      </c>
      <c r="K63" s="363">
        <f t="shared" si="9"/>
        <v>4.7128342245989305</v>
      </c>
      <c r="L63" s="364">
        <f>691567.5+648414.5+518408+71321.5+45526+17480+7409+4406.5</f>
        <v>2004533</v>
      </c>
      <c r="M63" s="365">
        <f>79327+75064+61133+10266+7792+4345+1731+935</f>
        <v>240593</v>
      </c>
      <c r="N63" s="532">
        <f t="shared" si="12"/>
        <v>8.331634752465783</v>
      </c>
      <c r="O63" s="375"/>
      <c r="P63" s="354"/>
      <c r="Q63" s="66"/>
      <c r="R63" s="66"/>
      <c r="S63" s="66"/>
      <c r="T63" s="66"/>
    </row>
    <row r="64" spans="1:20" ht="13.5" customHeight="1">
      <c r="A64" s="225">
        <v>60</v>
      </c>
      <c r="B64" s="545" t="s">
        <v>88</v>
      </c>
      <c r="C64" s="438">
        <v>40529</v>
      </c>
      <c r="D64" s="418" t="s">
        <v>119</v>
      </c>
      <c r="E64" s="420">
        <v>147</v>
      </c>
      <c r="F64" s="420">
        <v>5</v>
      </c>
      <c r="G64" s="420">
        <v>11</v>
      </c>
      <c r="H64" s="370">
        <v>4027</v>
      </c>
      <c r="I64" s="376">
        <v>784</v>
      </c>
      <c r="J64" s="377">
        <f t="shared" si="11"/>
        <v>156.8</v>
      </c>
      <c r="K64" s="371">
        <f t="shared" si="9"/>
        <v>5.136479591836735</v>
      </c>
      <c r="L64" s="372">
        <f>691567.5+648414.5+518408+71321.5+45526+17480+7409+4406.5+1874+5613.5+4027</f>
        <v>2016047.5</v>
      </c>
      <c r="M64" s="378">
        <f>79327+75064+61133+10266+7792+4345+1731+935+303+1204+784</f>
        <v>242884</v>
      </c>
      <c r="N64" s="534">
        <f t="shared" si="12"/>
        <v>8.300454126249567</v>
      </c>
      <c r="O64" s="366">
        <v>1</v>
      </c>
      <c r="P64" s="354"/>
      <c r="Q64" s="66"/>
      <c r="R64" s="66"/>
      <c r="S64" s="66"/>
      <c r="T64" s="66"/>
    </row>
    <row r="65" spans="1:20" ht="13.5" customHeight="1">
      <c r="A65" s="225">
        <v>61</v>
      </c>
      <c r="B65" s="535" t="s">
        <v>57</v>
      </c>
      <c r="C65" s="379">
        <v>40529</v>
      </c>
      <c r="D65" s="418" t="s">
        <v>119</v>
      </c>
      <c r="E65" s="380">
        <v>147</v>
      </c>
      <c r="F65" s="380">
        <v>2</v>
      </c>
      <c r="G65" s="380">
        <v>9</v>
      </c>
      <c r="H65" s="381">
        <v>1874</v>
      </c>
      <c r="I65" s="382">
        <v>303</v>
      </c>
      <c r="J65" s="383">
        <f t="shared" si="11"/>
        <v>151.5</v>
      </c>
      <c r="K65" s="384">
        <f t="shared" si="9"/>
        <v>6.184818481848184</v>
      </c>
      <c r="L65" s="385">
        <f>691567.5+648414.5+518408+71321.5+45526+17480+7409+4406.5+1874</f>
        <v>2006407</v>
      </c>
      <c r="M65" s="386">
        <f>79327+75064+61133+10266+7792+4345+1731+935+303</f>
        <v>240896</v>
      </c>
      <c r="N65" s="536">
        <f t="shared" si="12"/>
        <v>8.328934477948991</v>
      </c>
      <c r="O65" s="408">
        <v>1</v>
      </c>
      <c r="P65" s="354"/>
      <c r="Q65" s="66"/>
      <c r="R65" s="66"/>
      <c r="S65" s="66"/>
      <c r="T65" s="66"/>
    </row>
    <row r="66" spans="1:20" ht="13.5" customHeight="1">
      <c r="A66" s="225">
        <v>62</v>
      </c>
      <c r="B66" s="531" t="s">
        <v>57</v>
      </c>
      <c r="C66" s="368">
        <v>40529</v>
      </c>
      <c r="D66" s="374" t="s">
        <v>119</v>
      </c>
      <c r="E66" s="369">
        <v>147</v>
      </c>
      <c r="F66" s="369">
        <v>3</v>
      </c>
      <c r="G66" s="369">
        <v>12</v>
      </c>
      <c r="H66" s="364">
        <v>1099</v>
      </c>
      <c r="I66" s="365">
        <v>172</v>
      </c>
      <c r="J66" s="362">
        <f t="shared" si="11"/>
        <v>57.333333333333336</v>
      </c>
      <c r="K66" s="363">
        <f t="shared" si="9"/>
        <v>6.3895348837209305</v>
      </c>
      <c r="L66" s="364">
        <f>691567.5+648414.5+518408+71321.5+45526+17480+7409+4406.5+1874+5613.5+4027+1099</f>
        <v>2017146.5</v>
      </c>
      <c r="M66" s="365">
        <f>79327+75064+61133+10266+7792+4345+1731+935+303+1204+784+172</f>
        <v>243056</v>
      </c>
      <c r="N66" s="532">
        <f t="shared" si="12"/>
        <v>8.299101853070898</v>
      </c>
      <c r="O66" s="388">
        <v>1</v>
      </c>
      <c r="P66" s="355"/>
      <c r="Q66" s="66"/>
      <c r="R66" s="66"/>
      <c r="S66" s="66"/>
      <c r="T66" s="66"/>
    </row>
    <row r="67" spans="1:20" ht="13.5" customHeight="1">
      <c r="A67" s="225">
        <v>63</v>
      </c>
      <c r="B67" s="533" t="s">
        <v>62</v>
      </c>
      <c r="C67" s="368">
        <v>40466</v>
      </c>
      <c r="D67" s="367" t="s">
        <v>26</v>
      </c>
      <c r="E67" s="369">
        <v>22</v>
      </c>
      <c r="F67" s="369">
        <v>1</v>
      </c>
      <c r="G67" s="369">
        <v>12</v>
      </c>
      <c r="H67" s="435">
        <v>2002</v>
      </c>
      <c r="I67" s="422">
        <v>232</v>
      </c>
      <c r="J67" s="411">
        <f>IF(H67&lt;&gt;0,I67/F67,"")</f>
        <v>232</v>
      </c>
      <c r="K67" s="416">
        <f>IF(H67&lt;&gt;0,H67/I67,"")</f>
        <v>8.629310344827585</v>
      </c>
      <c r="L67" s="437">
        <f>75899.5+52129.5+37227.5+14454+10905+6815+10220.5+4115+4193+1577.5+113+940+2002</f>
        <v>220591.5</v>
      </c>
      <c r="M67" s="414">
        <f>7028+5164+3832+1471+1190+1095+1727+519+460+216+17+109+232</f>
        <v>23060</v>
      </c>
      <c r="N67" s="544">
        <f>IF(L67&lt;&gt;0,L67/M67,"")</f>
        <v>9.565980052038162</v>
      </c>
      <c r="O67" s="373"/>
      <c r="P67" s="355"/>
      <c r="Q67" s="66"/>
      <c r="R67" s="66"/>
      <c r="S67" s="66"/>
      <c r="T67" s="66"/>
    </row>
    <row r="68" spans="1:20" ht="13.5" customHeight="1">
      <c r="A68" s="225">
        <v>64</v>
      </c>
      <c r="B68" s="531" t="s">
        <v>99</v>
      </c>
      <c r="C68" s="368">
        <v>40466</v>
      </c>
      <c r="D68" s="367" t="s">
        <v>26</v>
      </c>
      <c r="E68" s="369">
        <v>22</v>
      </c>
      <c r="F68" s="369">
        <v>1</v>
      </c>
      <c r="G68" s="369">
        <v>13</v>
      </c>
      <c r="H68" s="421">
        <v>820.5</v>
      </c>
      <c r="I68" s="422">
        <v>274</v>
      </c>
      <c r="J68" s="414">
        <f>I68/F68</f>
        <v>274</v>
      </c>
      <c r="K68" s="424">
        <f>H68/I68</f>
        <v>2.9945255474452557</v>
      </c>
      <c r="L68" s="425">
        <f>75899.5+52129.5+37227.5+14454+10905+6815+10220.5+4115+4193+1577.5+113+940+2002+820.5</f>
        <v>221412</v>
      </c>
      <c r="M68" s="414">
        <f>7028+5164+3832+1471+1190+1095+1727+519+460+216+17+109+232+274</f>
        <v>23334</v>
      </c>
      <c r="N68" s="546">
        <f>L68/M68</f>
        <v>9.48881460529699</v>
      </c>
      <c r="O68" s="388">
        <v>1</v>
      </c>
      <c r="P68" s="355"/>
      <c r="Q68" s="66"/>
      <c r="R68" s="66"/>
      <c r="S68" s="66"/>
      <c r="T68" s="66"/>
    </row>
    <row r="69" spans="1:20" ht="13.5" customHeight="1">
      <c r="A69" s="225">
        <v>65</v>
      </c>
      <c r="B69" s="531" t="s">
        <v>96</v>
      </c>
      <c r="C69" s="368">
        <v>40424</v>
      </c>
      <c r="D69" s="451" t="s">
        <v>23</v>
      </c>
      <c r="E69" s="369">
        <v>107</v>
      </c>
      <c r="F69" s="369">
        <v>1</v>
      </c>
      <c r="G69" s="369">
        <v>19</v>
      </c>
      <c r="H69" s="421">
        <v>1204</v>
      </c>
      <c r="I69" s="422">
        <v>350</v>
      </c>
      <c r="J69" s="414">
        <f>I69/F69</f>
        <v>350</v>
      </c>
      <c r="K69" s="424">
        <f>+H69/I69</f>
        <v>3.44</v>
      </c>
      <c r="L69" s="425">
        <v>2166347</v>
      </c>
      <c r="M69" s="423">
        <v>195743</v>
      </c>
      <c r="N69" s="546">
        <f>+L69/M69</f>
        <v>11.067302534445677</v>
      </c>
      <c r="O69" s="452"/>
      <c r="P69" s="355"/>
      <c r="Q69" s="66"/>
      <c r="R69" s="66"/>
      <c r="S69" s="66"/>
      <c r="T69" s="66"/>
    </row>
    <row r="70" spans="1:20" ht="13.5" customHeight="1">
      <c r="A70" s="225">
        <v>66</v>
      </c>
      <c r="B70" s="548" t="s">
        <v>96</v>
      </c>
      <c r="C70" s="453">
        <v>40424</v>
      </c>
      <c r="D70" s="454" t="s">
        <v>23</v>
      </c>
      <c r="E70" s="429">
        <v>107</v>
      </c>
      <c r="F70" s="429">
        <v>1</v>
      </c>
      <c r="G70" s="429">
        <v>20</v>
      </c>
      <c r="H70" s="430">
        <v>1204</v>
      </c>
      <c r="I70" s="431">
        <v>350</v>
      </c>
      <c r="J70" s="432">
        <f>I70/F70</f>
        <v>350</v>
      </c>
      <c r="K70" s="433">
        <f>+H70/I70</f>
        <v>3.44</v>
      </c>
      <c r="L70" s="434">
        <v>2167551</v>
      </c>
      <c r="M70" s="432">
        <v>196093</v>
      </c>
      <c r="N70" s="549">
        <f>+L70/M70</f>
        <v>11.053688810921349</v>
      </c>
      <c r="O70" s="455"/>
      <c r="P70" s="355"/>
      <c r="Q70" s="66"/>
      <c r="R70" s="66"/>
      <c r="S70" s="66"/>
      <c r="T70" s="66"/>
    </row>
    <row r="71" spans="1:20" ht="13.5" customHeight="1">
      <c r="A71" s="225">
        <v>67</v>
      </c>
      <c r="B71" s="554" t="s">
        <v>115</v>
      </c>
      <c r="C71" s="456">
        <v>40396</v>
      </c>
      <c r="D71" s="357" t="s">
        <v>119</v>
      </c>
      <c r="E71" s="457">
        <v>4</v>
      </c>
      <c r="F71" s="457">
        <v>2</v>
      </c>
      <c r="G71" s="457">
        <v>22</v>
      </c>
      <c r="H71" s="360">
        <v>1323</v>
      </c>
      <c r="I71" s="361">
        <v>206</v>
      </c>
      <c r="J71" s="362">
        <f aca="true" t="shared" si="13" ref="J71:J79">(I71/F71)</f>
        <v>103</v>
      </c>
      <c r="K71" s="363">
        <f aca="true" t="shared" si="14" ref="K71:K85">H71/I71</f>
        <v>6.422330097087379</v>
      </c>
      <c r="L71" s="364">
        <f>14959+9646+7725+4386+3960+14571+6049+4818+2605+3811+4797+6372+2996+165+950.5+1598.5+276+381+768+800+1224+1323</f>
        <v>94181</v>
      </c>
      <c r="M71" s="365">
        <f>1646+1123+1125+547+522+2218+896+595+438+656+743+1047+452+23+148+219+42+85+83+91+196+206</f>
        <v>13101</v>
      </c>
      <c r="N71" s="532">
        <f aca="true" t="shared" si="15" ref="N71:N79">L71/M71</f>
        <v>7.188840546523166</v>
      </c>
      <c r="O71" s="366"/>
      <c r="P71" s="354"/>
      <c r="Q71" s="66"/>
      <c r="R71" s="66"/>
      <c r="S71" s="66"/>
      <c r="T71" s="66"/>
    </row>
    <row r="72" spans="1:20" ht="13.5" customHeight="1">
      <c r="A72" s="225">
        <v>68</v>
      </c>
      <c r="B72" s="555" t="s">
        <v>115</v>
      </c>
      <c r="C72" s="458">
        <v>40396</v>
      </c>
      <c r="D72" s="357" t="s">
        <v>119</v>
      </c>
      <c r="E72" s="459">
        <v>4</v>
      </c>
      <c r="F72" s="459">
        <v>1</v>
      </c>
      <c r="G72" s="459">
        <v>21</v>
      </c>
      <c r="H72" s="381">
        <v>1224</v>
      </c>
      <c r="I72" s="382">
        <v>196</v>
      </c>
      <c r="J72" s="383">
        <f t="shared" si="13"/>
        <v>196</v>
      </c>
      <c r="K72" s="384">
        <f t="shared" si="14"/>
        <v>6.244897959183674</v>
      </c>
      <c r="L72" s="385">
        <f>14959+9646+7725+4386+3960+14571+6049+4818+2605+3811+4797+6372+2996+165+950.5+1598.5+276+381+768+800+1224</f>
        <v>92858</v>
      </c>
      <c r="M72" s="386">
        <f>1646+1123+1125+547+522+2218+896+595+438+656+743+1047+452+23+148+219+42+85+83+91+196</f>
        <v>12895</v>
      </c>
      <c r="N72" s="536">
        <f t="shared" si="15"/>
        <v>7.201085692128732</v>
      </c>
      <c r="O72" s="408"/>
      <c r="P72" s="354"/>
      <c r="Q72" s="66"/>
      <c r="R72" s="66"/>
      <c r="S72" s="66"/>
      <c r="T72" s="66"/>
    </row>
    <row r="73" spans="1:20" ht="13.5" customHeight="1">
      <c r="A73" s="225">
        <v>69</v>
      </c>
      <c r="B73" s="556" t="s">
        <v>115</v>
      </c>
      <c r="C73" s="460">
        <v>40396</v>
      </c>
      <c r="D73" s="374" t="s">
        <v>119</v>
      </c>
      <c r="E73" s="461">
        <v>4</v>
      </c>
      <c r="F73" s="461">
        <v>1</v>
      </c>
      <c r="G73" s="461">
        <v>24</v>
      </c>
      <c r="H73" s="364">
        <v>915</v>
      </c>
      <c r="I73" s="365">
        <v>126</v>
      </c>
      <c r="J73" s="362">
        <f t="shared" si="13"/>
        <v>126</v>
      </c>
      <c r="K73" s="363">
        <f t="shared" si="14"/>
        <v>7.261904761904762</v>
      </c>
      <c r="L73" s="364">
        <f>14959+9646+7725+4386+3960+14571+6049+4818+2605+3811+4797+6372+2996+165+950.5+1598.5+276+381+768+800+1224+1323+280+915</f>
        <v>95376</v>
      </c>
      <c r="M73" s="365">
        <f>1646+1123+1125+547+522+2218+896+595+438+656+743+1047+452+23+148+219+42+85+83+91+196+206+40+126</f>
        <v>13267</v>
      </c>
      <c r="N73" s="532">
        <f t="shared" si="15"/>
        <v>7.188965101379362</v>
      </c>
      <c r="O73" s="388"/>
      <c r="P73" s="354"/>
      <c r="Q73" s="66"/>
      <c r="R73" s="66"/>
      <c r="S73" s="66"/>
      <c r="T73" s="66"/>
    </row>
    <row r="74" spans="1:20" ht="13.5" customHeight="1">
      <c r="A74" s="225">
        <v>70</v>
      </c>
      <c r="B74" s="557" t="s">
        <v>115</v>
      </c>
      <c r="C74" s="460">
        <v>40396</v>
      </c>
      <c r="D74" s="357" t="s">
        <v>119</v>
      </c>
      <c r="E74" s="461">
        <v>4</v>
      </c>
      <c r="F74" s="461">
        <v>1</v>
      </c>
      <c r="G74" s="461">
        <v>20</v>
      </c>
      <c r="H74" s="360">
        <v>800</v>
      </c>
      <c r="I74" s="361">
        <v>91</v>
      </c>
      <c r="J74" s="362">
        <f t="shared" si="13"/>
        <v>91</v>
      </c>
      <c r="K74" s="363">
        <f t="shared" si="14"/>
        <v>8.791208791208792</v>
      </c>
      <c r="L74" s="364">
        <f>14959+9646+7725+4386+3960+14571+6049+4818+2605+3811+4797+6372+2996+165+950.5+1598.5+276+381+768+800</f>
        <v>91634</v>
      </c>
      <c r="M74" s="365">
        <f>1646+1123+1125+547+522+2218+896+595+438+656+743+1047+452+23+148+219+42+85+83+91</f>
        <v>12699</v>
      </c>
      <c r="N74" s="532">
        <f t="shared" si="15"/>
        <v>7.215843767225766</v>
      </c>
      <c r="O74" s="373"/>
      <c r="P74" s="354"/>
      <c r="Q74" s="66"/>
      <c r="R74" s="66"/>
      <c r="S74" s="66"/>
      <c r="T74" s="66"/>
    </row>
    <row r="75" spans="1:20" ht="13.5" customHeight="1">
      <c r="A75" s="225">
        <v>71</v>
      </c>
      <c r="B75" s="555" t="s">
        <v>115</v>
      </c>
      <c r="C75" s="458">
        <v>40396</v>
      </c>
      <c r="D75" s="357" t="s">
        <v>119</v>
      </c>
      <c r="E75" s="459">
        <v>4</v>
      </c>
      <c r="F75" s="459">
        <v>1</v>
      </c>
      <c r="G75" s="459">
        <v>19</v>
      </c>
      <c r="H75" s="381">
        <v>768</v>
      </c>
      <c r="I75" s="382">
        <v>83</v>
      </c>
      <c r="J75" s="383">
        <f t="shared" si="13"/>
        <v>83</v>
      </c>
      <c r="K75" s="384">
        <f t="shared" si="14"/>
        <v>9.25301204819277</v>
      </c>
      <c r="L75" s="385">
        <f>14959+9646+7725+4386+3960+14571+6049+4818+2605+3811+4797+6372+2996+165+950.5+1598.5+276+381+768</f>
        <v>90834</v>
      </c>
      <c r="M75" s="386">
        <f>1646+1123+1125+547+522+2218+896+595+438+656+743+1047+452+23+148+219+42+85+83</f>
        <v>12608</v>
      </c>
      <c r="N75" s="536">
        <f t="shared" si="15"/>
        <v>7.204473350253807</v>
      </c>
      <c r="O75" s="462"/>
      <c r="P75" s="354"/>
      <c r="Q75" s="66"/>
      <c r="R75" s="66"/>
      <c r="S75" s="66"/>
      <c r="T75" s="66"/>
    </row>
    <row r="76" spans="1:20" ht="13.5" customHeight="1">
      <c r="A76" s="225">
        <v>72</v>
      </c>
      <c r="B76" s="554" t="s">
        <v>115</v>
      </c>
      <c r="C76" s="456">
        <v>40396</v>
      </c>
      <c r="D76" s="357" t="s">
        <v>119</v>
      </c>
      <c r="E76" s="457">
        <v>4</v>
      </c>
      <c r="F76" s="457">
        <v>1</v>
      </c>
      <c r="G76" s="457">
        <v>23</v>
      </c>
      <c r="H76" s="370">
        <v>280</v>
      </c>
      <c r="I76" s="376">
        <v>40</v>
      </c>
      <c r="J76" s="377">
        <f t="shared" si="13"/>
        <v>40</v>
      </c>
      <c r="K76" s="371">
        <f t="shared" si="14"/>
        <v>7</v>
      </c>
      <c r="L76" s="372">
        <f>14959+9646+7725+4386+3960+14571+6049+4818+2605+3811+4797+6372+2996+165+950.5+1598.5+276+381+768+800+1224+1323+280</f>
        <v>94461</v>
      </c>
      <c r="M76" s="378">
        <f>1646+1123+1125+547+522+2218+896+595+438+656+743+1047+452+23+148+219+42+85+83+91+196+206+40</f>
        <v>13141</v>
      </c>
      <c r="N76" s="534">
        <f t="shared" si="15"/>
        <v>7.188265733201431</v>
      </c>
      <c r="O76" s="366"/>
      <c r="P76" s="355"/>
      <c r="Q76" s="66"/>
      <c r="R76" s="66"/>
      <c r="S76" s="66"/>
      <c r="T76" s="66"/>
    </row>
    <row r="77" spans="1:20" ht="13.5" customHeight="1">
      <c r="A77" s="225">
        <v>73</v>
      </c>
      <c r="B77" s="537" t="s">
        <v>95</v>
      </c>
      <c r="C77" s="368">
        <v>40430</v>
      </c>
      <c r="D77" s="357" t="s">
        <v>119</v>
      </c>
      <c r="E77" s="359">
        <v>57</v>
      </c>
      <c r="F77" s="359">
        <v>2</v>
      </c>
      <c r="G77" s="359">
        <v>17</v>
      </c>
      <c r="H77" s="360">
        <v>4752</v>
      </c>
      <c r="I77" s="361">
        <v>1188</v>
      </c>
      <c r="J77" s="362">
        <f t="shared" si="13"/>
        <v>594</v>
      </c>
      <c r="K77" s="363">
        <f t="shared" si="14"/>
        <v>4</v>
      </c>
      <c r="L77" s="364">
        <f>15818.5+150711.5+75138.5+33591.5+30249.5+17415.5+8294.5+10566+6016+6121.5+888.5+2484+322+4243.5+950.5+1782+1782+4752</f>
        <v>371127.5</v>
      </c>
      <c r="M77" s="365">
        <f>1512+15643+7345+4634+4073+2646+1136+2027+1109+1483+117+572+47+1041+237+445+446+1188</f>
        <v>45701</v>
      </c>
      <c r="N77" s="532">
        <f t="shared" si="15"/>
        <v>8.120774162490974</v>
      </c>
      <c r="O77" s="375"/>
      <c r="P77" s="355"/>
      <c r="Q77" s="66"/>
      <c r="R77" s="66"/>
      <c r="S77" s="66"/>
      <c r="T77" s="66"/>
    </row>
    <row r="78" spans="1:20" ht="13.5" customHeight="1">
      <c r="A78" s="225">
        <v>74</v>
      </c>
      <c r="B78" s="531" t="s">
        <v>95</v>
      </c>
      <c r="C78" s="368">
        <v>40430</v>
      </c>
      <c r="D78" s="357" t="s">
        <v>119</v>
      </c>
      <c r="E78" s="369">
        <v>57</v>
      </c>
      <c r="F78" s="369">
        <v>1</v>
      </c>
      <c r="G78" s="369">
        <v>16</v>
      </c>
      <c r="H78" s="360">
        <v>1782</v>
      </c>
      <c r="I78" s="361">
        <v>446</v>
      </c>
      <c r="J78" s="362">
        <f t="shared" si="13"/>
        <v>446</v>
      </c>
      <c r="K78" s="363">
        <f t="shared" si="14"/>
        <v>3.995515695067265</v>
      </c>
      <c r="L78" s="364">
        <f>15818.5+150711.5+75138.5+33591.5+30249.5+17415.5+8294.5+10566+6016+6121.5+888.5+2484+322+4243.5+950.5+1782+1782</f>
        <v>366375.5</v>
      </c>
      <c r="M78" s="365">
        <f>1512+15643+7345+4634+4073+2646+1136+2027+1109+1483+117+572+47+1041+237+445+446</f>
        <v>44513</v>
      </c>
      <c r="N78" s="532">
        <f t="shared" si="15"/>
        <v>8.230752813784736</v>
      </c>
      <c r="O78" s="373"/>
      <c r="P78" s="355"/>
      <c r="Q78" s="66"/>
      <c r="R78" s="66"/>
      <c r="S78" s="66"/>
      <c r="T78" s="66"/>
    </row>
    <row r="79" spans="1:20" ht="13.5" customHeight="1">
      <c r="A79" s="225">
        <v>75</v>
      </c>
      <c r="B79" s="531" t="s">
        <v>95</v>
      </c>
      <c r="C79" s="368">
        <v>40430</v>
      </c>
      <c r="D79" s="357" t="s">
        <v>119</v>
      </c>
      <c r="E79" s="369">
        <v>57</v>
      </c>
      <c r="F79" s="369">
        <v>1</v>
      </c>
      <c r="G79" s="369">
        <v>15</v>
      </c>
      <c r="H79" s="360">
        <v>1782</v>
      </c>
      <c r="I79" s="361">
        <v>445</v>
      </c>
      <c r="J79" s="362">
        <f t="shared" si="13"/>
        <v>445</v>
      </c>
      <c r="K79" s="363">
        <f t="shared" si="14"/>
        <v>4.004494382022472</v>
      </c>
      <c r="L79" s="364">
        <f>15818.5+150711.5+75138.5+33591.5+30249.5+17415.5+8294.5+10566+6016+6121.5+888.5+2484+322+4243.5+950.5+1782</f>
        <v>364593.5</v>
      </c>
      <c r="M79" s="365">
        <f>1512+15643+7345+4634+4073+2646+1136+2027+1109+1483+117+572+47+1041+237+445</f>
        <v>44067</v>
      </c>
      <c r="N79" s="532">
        <f t="shared" si="15"/>
        <v>8.273617446161527</v>
      </c>
      <c r="O79" s="450"/>
      <c r="P79" s="355"/>
      <c r="Q79" s="66"/>
      <c r="R79" s="66"/>
      <c r="S79" s="66"/>
      <c r="T79" s="66"/>
    </row>
    <row r="80" spans="1:20" ht="13.5" customHeight="1">
      <c r="A80" s="225">
        <v>76</v>
      </c>
      <c r="B80" s="538" t="s">
        <v>34</v>
      </c>
      <c r="C80" s="390">
        <v>40508</v>
      </c>
      <c r="D80" s="389" t="s">
        <v>24</v>
      </c>
      <c r="E80" s="391">
        <v>72</v>
      </c>
      <c r="F80" s="391">
        <v>12</v>
      </c>
      <c r="G80" s="391">
        <v>6</v>
      </c>
      <c r="H80" s="392">
        <v>10277</v>
      </c>
      <c r="I80" s="393">
        <v>1355</v>
      </c>
      <c r="J80" s="394">
        <f>I80/F80</f>
        <v>112.91666666666667</v>
      </c>
      <c r="K80" s="395">
        <f t="shared" si="14"/>
        <v>7.58450184501845</v>
      </c>
      <c r="L80" s="396">
        <v>1208960</v>
      </c>
      <c r="M80" s="397">
        <v>105047</v>
      </c>
      <c r="N80" s="539">
        <f>+L80/M80</f>
        <v>11.508753224747018</v>
      </c>
      <c r="O80" s="373">
        <v>1</v>
      </c>
      <c r="P80" s="355"/>
      <c r="Q80" s="66"/>
      <c r="R80" s="66"/>
      <c r="S80" s="66"/>
      <c r="T80" s="66"/>
    </row>
    <row r="81" spans="1:20" ht="13.5" customHeight="1">
      <c r="A81" s="225">
        <v>77</v>
      </c>
      <c r="B81" s="542" t="s">
        <v>34</v>
      </c>
      <c r="C81" s="390">
        <v>40508</v>
      </c>
      <c r="D81" s="402" t="s">
        <v>24</v>
      </c>
      <c r="E81" s="403">
        <v>72</v>
      </c>
      <c r="F81" s="403">
        <v>2</v>
      </c>
      <c r="G81" s="403">
        <v>8</v>
      </c>
      <c r="H81" s="399">
        <v>2043</v>
      </c>
      <c r="I81" s="393">
        <v>282</v>
      </c>
      <c r="J81" s="394">
        <f>I81/F81</f>
        <v>141</v>
      </c>
      <c r="K81" s="400">
        <f t="shared" si="14"/>
        <v>7.24468085106383</v>
      </c>
      <c r="L81" s="401">
        <v>1211516</v>
      </c>
      <c r="M81" s="397">
        <v>105388</v>
      </c>
      <c r="N81" s="541">
        <f>+L81/M81</f>
        <v>11.495768019129313</v>
      </c>
      <c r="O81" s="366"/>
      <c r="P81" s="355"/>
      <c r="Q81" s="66"/>
      <c r="R81" s="66"/>
      <c r="S81" s="66"/>
      <c r="T81" s="66"/>
    </row>
    <row r="82" spans="1:20" ht="13.5" customHeight="1">
      <c r="A82" s="225">
        <v>78</v>
      </c>
      <c r="B82" s="540" t="s">
        <v>34</v>
      </c>
      <c r="C82" s="390">
        <v>40508</v>
      </c>
      <c r="D82" s="389" t="s">
        <v>24</v>
      </c>
      <c r="E82" s="391">
        <v>72</v>
      </c>
      <c r="F82" s="391">
        <v>1</v>
      </c>
      <c r="G82" s="391">
        <v>7</v>
      </c>
      <c r="H82" s="399">
        <v>513</v>
      </c>
      <c r="I82" s="393">
        <v>59</v>
      </c>
      <c r="J82" s="394">
        <f>I82/F82</f>
        <v>59</v>
      </c>
      <c r="K82" s="400">
        <f t="shared" si="14"/>
        <v>8.694915254237289</v>
      </c>
      <c r="L82" s="401">
        <v>1209473</v>
      </c>
      <c r="M82" s="397">
        <v>105106</v>
      </c>
      <c r="N82" s="541">
        <f>+L82/M82</f>
        <v>11.507173710349551</v>
      </c>
      <c r="O82" s="388"/>
      <c r="P82" s="355"/>
      <c r="Q82" s="66"/>
      <c r="R82" s="66"/>
      <c r="S82" s="66"/>
      <c r="T82" s="66"/>
    </row>
    <row r="83" spans="1:20" ht="13.5" customHeight="1">
      <c r="A83" s="225">
        <v>79</v>
      </c>
      <c r="B83" s="538" t="s">
        <v>10</v>
      </c>
      <c r="C83" s="390">
        <v>40459</v>
      </c>
      <c r="D83" s="389" t="s">
        <v>24</v>
      </c>
      <c r="E83" s="391">
        <v>55</v>
      </c>
      <c r="F83" s="391">
        <v>3</v>
      </c>
      <c r="G83" s="391">
        <v>13</v>
      </c>
      <c r="H83" s="392">
        <v>2794</v>
      </c>
      <c r="I83" s="393">
        <v>385</v>
      </c>
      <c r="J83" s="394">
        <f>I83/F83</f>
        <v>128.33333333333334</v>
      </c>
      <c r="K83" s="395">
        <f t="shared" si="14"/>
        <v>7.257142857142857</v>
      </c>
      <c r="L83" s="396">
        <v>2711808</v>
      </c>
      <c r="M83" s="397">
        <v>235959</v>
      </c>
      <c r="N83" s="539">
        <f>+L83/M83</f>
        <v>11.492708479015421</v>
      </c>
      <c r="O83" s="450"/>
      <c r="P83" s="355"/>
      <c r="Q83" s="66"/>
      <c r="R83" s="66"/>
      <c r="S83" s="66"/>
      <c r="T83" s="66"/>
    </row>
    <row r="84" spans="1:20" ht="13.5" customHeight="1">
      <c r="A84" s="225">
        <v>80</v>
      </c>
      <c r="B84" s="542" t="s">
        <v>10</v>
      </c>
      <c r="C84" s="390">
        <v>40459</v>
      </c>
      <c r="D84" s="402" t="s">
        <v>24</v>
      </c>
      <c r="E84" s="403">
        <v>55</v>
      </c>
      <c r="F84" s="403">
        <v>1</v>
      </c>
      <c r="G84" s="403">
        <v>14</v>
      </c>
      <c r="H84" s="399">
        <v>1190</v>
      </c>
      <c r="I84" s="393">
        <v>238</v>
      </c>
      <c r="J84" s="394">
        <f>I84/F84</f>
        <v>238</v>
      </c>
      <c r="K84" s="400">
        <f t="shared" si="14"/>
        <v>5</v>
      </c>
      <c r="L84" s="401">
        <v>2712998</v>
      </c>
      <c r="M84" s="397">
        <v>236197</v>
      </c>
      <c r="N84" s="541">
        <f>+L84/M84</f>
        <v>11.486166208715606</v>
      </c>
      <c r="O84" s="375"/>
      <c r="P84" s="355"/>
      <c r="Q84" s="66"/>
      <c r="R84" s="66"/>
      <c r="S84" s="66"/>
      <c r="T84" s="66"/>
    </row>
    <row r="85" spans="1:20" ht="13.5" customHeight="1">
      <c r="A85" s="225">
        <v>81</v>
      </c>
      <c r="B85" s="537" t="s">
        <v>166</v>
      </c>
      <c r="C85" s="358">
        <v>40333</v>
      </c>
      <c r="D85" s="357" t="s">
        <v>119</v>
      </c>
      <c r="E85" s="359">
        <v>2</v>
      </c>
      <c r="F85" s="359">
        <v>1</v>
      </c>
      <c r="G85" s="359">
        <v>18</v>
      </c>
      <c r="H85" s="370">
        <v>1307</v>
      </c>
      <c r="I85" s="376">
        <v>327</v>
      </c>
      <c r="J85" s="377">
        <f>(I85/F85)</f>
        <v>327</v>
      </c>
      <c r="K85" s="371">
        <f t="shared" si="14"/>
        <v>3.996941896024465</v>
      </c>
      <c r="L85" s="372">
        <f>20966+1047+769+1091.5+1901+1090.5+330+94+107+1307</f>
        <v>28703</v>
      </c>
      <c r="M85" s="378">
        <f>2304+127+92+121+475+146+92+18+21+327</f>
        <v>3723</v>
      </c>
      <c r="N85" s="534">
        <f>L85/M85</f>
        <v>7.7096427612140745</v>
      </c>
      <c r="O85" s="366"/>
      <c r="P85" s="355"/>
      <c r="Q85" s="66"/>
      <c r="R85" s="66"/>
      <c r="S85" s="66"/>
      <c r="T85" s="66"/>
    </row>
    <row r="86" spans="1:20" ht="13.5" customHeight="1">
      <c r="A86" s="225">
        <v>82</v>
      </c>
      <c r="B86" s="538" t="s">
        <v>20</v>
      </c>
      <c r="C86" s="390">
        <v>40207</v>
      </c>
      <c r="D86" s="389" t="s">
        <v>17</v>
      </c>
      <c r="E86" s="391">
        <v>47</v>
      </c>
      <c r="F86" s="391">
        <v>2</v>
      </c>
      <c r="G86" s="391">
        <v>40</v>
      </c>
      <c r="H86" s="415">
        <v>1782</v>
      </c>
      <c r="I86" s="410">
        <v>356</v>
      </c>
      <c r="J86" s="411">
        <f>IF(H86&lt;&gt;0,I86/F86,"")</f>
        <v>178</v>
      </c>
      <c r="K86" s="416">
        <f>IF(H86&lt;&gt;0,H86/I86,"")</f>
        <v>5.00561797752809</v>
      </c>
      <c r="L86" s="417">
        <f>1873890.5+5542+564+70+558+190+292+283.5+618+H86</f>
        <v>1883790</v>
      </c>
      <c r="M86" s="414">
        <f>160830+1202+112+10+80+27+42+44+119+I86</f>
        <v>162822</v>
      </c>
      <c r="N86" s="544">
        <f>IF(L86&lt;&gt;0,L86/M86,"")</f>
        <v>11.569628182923683</v>
      </c>
      <c r="O86" s="449">
        <v>1</v>
      </c>
      <c r="P86" s="355"/>
      <c r="Q86" s="66"/>
      <c r="R86" s="66"/>
      <c r="S86" s="66"/>
      <c r="T86" s="66"/>
    </row>
    <row r="87" spans="1:20" ht="13.5" customHeight="1">
      <c r="A87" s="225">
        <v>83</v>
      </c>
      <c r="B87" s="540" t="s">
        <v>20</v>
      </c>
      <c r="C87" s="390">
        <v>40207</v>
      </c>
      <c r="D87" s="389" t="s">
        <v>17</v>
      </c>
      <c r="E87" s="391">
        <v>47</v>
      </c>
      <c r="F87" s="391">
        <v>1</v>
      </c>
      <c r="G87" s="391">
        <v>41</v>
      </c>
      <c r="H87" s="409">
        <v>184</v>
      </c>
      <c r="I87" s="410">
        <v>46</v>
      </c>
      <c r="J87" s="411">
        <f>IF(H87&lt;&gt;0,I87/F87,"")</f>
        <v>46</v>
      </c>
      <c r="K87" s="412">
        <f>IF(H87&lt;&gt;0,H87/I87,"")</f>
        <v>4</v>
      </c>
      <c r="L87" s="413">
        <f>1883790+184</f>
        <v>1883974</v>
      </c>
      <c r="M87" s="414">
        <f>162822+46</f>
        <v>162868</v>
      </c>
      <c r="N87" s="543">
        <f>IF(L87&lt;&gt;0,L87/M87,"")</f>
        <v>11.567490237492938</v>
      </c>
      <c r="O87" s="388"/>
      <c r="P87" s="355"/>
      <c r="Q87" s="66"/>
      <c r="R87" s="66"/>
      <c r="S87" s="66"/>
      <c r="T87" s="66"/>
    </row>
    <row r="88" spans="1:20" ht="13.5" customHeight="1">
      <c r="A88" s="225">
        <v>84</v>
      </c>
      <c r="B88" s="540" t="s">
        <v>20</v>
      </c>
      <c r="C88" s="390">
        <v>40207</v>
      </c>
      <c r="D88" s="398" t="s">
        <v>17</v>
      </c>
      <c r="E88" s="391">
        <v>47</v>
      </c>
      <c r="F88" s="391">
        <v>1</v>
      </c>
      <c r="G88" s="391">
        <v>44</v>
      </c>
      <c r="H88" s="413">
        <v>110</v>
      </c>
      <c r="I88" s="463">
        <v>11</v>
      </c>
      <c r="J88" s="411">
        <f>IF(H88&lt;&gt;0,I88/F88,"")</f>
        <v>11</v>
      </c>
      <c r="K88" s="412">
        <f>IF(H88&lt;&gt;0,H88/I88,"")</f>
        <v>10</v>
      </c>
      <c r="L88" s="413">
        <f>1883790+184+100+80+110</f>
        <v>1884264</v>
      </c>
      <c r="M88" s="414">
        <f>162822+46+10+8+11</f>
        <v>162897</v>
      </c>
      <c r="N88" s="543">
        <f>IF(L88&lt;&gt;0,L88/M88,"")</f>
        <v>11.567211182526382</v>
      </c>
      <c r="O88" s="388"/>
      <c r="P88" s="355"/>
      <c r="Q88" s="66"/>
      <c r="R88" s="66"/>
      <c r="S88" s="66"/>
      <c r="T88" s="66"/>
    </row>
    <row r="89" spans="1:20" ht="13.5" customHeight="1">
      <c r="A89" s="225">
        <v>85</v>
      </c>
      <c r="B89" s="542" t="s">
        <v>20</v>
      </c>
      <c r="C89" s="404">
        <v>40207</v>
      </c>
      <c r="D89" s="402" t="s">
        <v>17</v>
      </c>
      <c r="E89" s="403">
        <v>47</v>
      </c>
      <c r="F89" s="403">
        <v>1</v>
      </c>
      <c r="G89" s="403">
        <v>42</v>
      </c>
      <c r="H89" s="409">
        <v>100</v>
      </c>
      <c r="I89" s="410">
        <v>10</v>
      </c>
      <c r="J89" s="411">
        <f>IF(H89&lt;&gt;0,I89/F89,"")</f>
        <v>10</v>
      </c>
      <c r="K89" s="412">
        <f>IF(H89&lt;&gt;0,H89/I89,"")</f>
        <v>10</v>
      </c>
      <c r="L89" s="413">
        <f>1883790+184+100</f>
        <v>1884074</v>
      </c>
      <c r="M89" s="414">
        <f>162822+46+10</f>
        <v>162878</v>
      </c>
      <c r="N89" s="543">
        <f>IF(L89&lt;&gt;0,L89/M89,"")</f>
        <v>11.56739400041749</v>
      </c>
      <c r="O89" s="366"/>
      <c r="P89" s="355"/>
      <c r="Q89" s="66"/>
      <c r="R89" s="66"/>
      <c r="S89" s="66"/>
      <c r="T89" s="66"/>
    </row>
    <row r="90" spans="1:20" ht="13.5" customHeight="1">
      <c r="A90" s="225">
        <v>86</v>
      </c>
      <c r="B90" s="542" t="s">
        <v>20</v>
      </c>
      <c r="C90" s="404">
        <v>40207</v>
      </c>
      <c r="D90" s="402" t="s">
        <v>17</v>
      </c>
      <c r="E90" s="403">
        <v>47</v>
      </c>
      <c r="F90" s="403">
        <v>1</v>
      </c>
      <c r="G90" s="403">
        <v>43</v>
      </c>
      <c r="H90" s="415">
        <v>80</v>
      </c>
      <c r="I90" s="464">
        <v>8</v>
      </c>
      <c r="J90" s="465">
        <f>IF(H90&lt;&gt;0,I90/F90,"")</f>
        <v>8</v>
      </c>
      <c r="K90" s="416">
        <f>IF(H90&lt;&gt;0,H90/I90,"")</f>
        <v>10</v>
      </c>
      <c r="L90" s="417">
        <f>1883790+184+100+80</f>
        <v>1884154</v>
      </c>
      <c r="M90" s="466">
        <f>162822+46+10+8</f>
        <v>162886</v>
      </c>
      <c r="N90" s="544">
        <f>IF(L90&lt;&gt;0,L90/M90,"")</f>
        <v>11.567317019265007</v>
      </c>
      <c r="O90" s="366"/>
      <c r="P90" s="355"/>
      <c r="Q90" s="66"/>
      <c r="R90" s="66"/>
      <c r="S90" s="66"/>
      <c r="T90" s="66"/>
    </row>
    <row r="91" spans="1:20" ht="13.5" customHeight="1">
      <c r="A91" s="225">
        <v>87</v>
      </c>
      <c r="B91" s="531" t="s">
        <v>180</v>
      </c>
      <c r="C91" s="368">
        <v>39878</v>
      </c>
      <c r="D91" s="374" t="s">
        <v>119</v>
      </c>
      <c r="E91" s="369">
        <v>39</v>
      </c>
      <c r="F91" s="369">
        <v>1</v>
      </c>
      <c r="G91" s="369">
        <v>38</v>
      </c>
      <c r="H91" s="364">
        <v>708</v>
      </c>
      <c r="I91" s="365">
        <v>164</v>
      </c>
      <c r="J91" s="362">
        <f>(I91/F91)</f>
        <v>164</v>
      </c>
      <c r="K91" s="363">
        <f aca="true" t="shared" si="16" ref="K91:K106">H91/I91</f>
        <v>4.317073170731708</v>
      </c>
      <c r="L91" s="364">
        <f>143992.5+82756.5+42509+41229+27290.5+16668+27602+17675+4710+8504.5+2403+4164+2272+3469+1997+135+299+674+178+30+240+1413+1006+209+393+680+1780+4040+1780+1780+952+745+2376+2376+2376+4752+2376+708</f>
        <v>458540</v>
      </c>
      <c r="M91" s="365">
        <f>15320+9228+5096+5970+4485+3115+5134+3946+1139+2307+509+879+411+637+472+29+62+165+32+6+48+348+139+43+54+68+445+1010+445+445+238+149+594+594+594+1188+594+164</f>
        <v>66102</v>
      </c>
      <c r="N91" s="532">
        <f>L91/M91</f>
        <v>6.93685516323258</v>
      </c>
      <c r="O91" s="388"/>
      <c r="P91" s="355"/>
      <c r="Q91" s="66"/>
      <c r="R91" s="66"/>
      <c r="S91" s="66"/>
      <c r="T91" s="66"/>
    </row>
    <row r="92" spans="1:20" ht="13.5" customHeight="1">
      <c r="A92" s="225">
        <v>88</v>
      </c>
      <c r="B92" s="538" t="s">
        <v>18</v>
      </c>
      <c r="C92" s="390">
        <v>40499</v>
      </c>
      <c r="D92" s="389" t="s">
        <v>24</v>
      </c>
      <c r="E92" s="391">
        <v>216</v>
      </c>
      <c r="F92" s="391">
        <v>34</v>
      </c>
      <c r="G92" s="391">
        <v>7</v>
      </c>
      <c r="H92" s="392">
        <v>30434</v>
      </c>
      <c r="I92" s="393">
        <v>4757</v>
      </c>
      <c r="J92" s="394">
        <f aca="true" t="shared" si="17" ref="J92:J98">I92/F92</f>
        <v>139.91176470588235</v>
      </c>
      <c r="K92" s="395">
        <f t="shared" si="16"/>
        <v>6.397729661551398</v>
      </c>
      <c r="L92" s="396">
        <v>7544141</v>
      </c>
      <c r="M92" s="397">
        <v>795478</v>
      </c>
      <c r="N92" s="539">
        <f aca="true" t="shared" si="18" ref="N92:N98">+L92/M92</f>
        <v>9.4837833353028</v>
      </c>
      <c r="O92" s="373"/>
      <c r="P92" s="355"/>
      <c r="Q92" s="66"/>
      <c r="R92" s="66"/>
      <c r="S92" s="66"/>
      <c r="T92" s="66"/>
    </row>
    <row r="93" spans="1:20" ht="13.5" customHeight="1">
      <c r="A93" s="225">
        <v>89</v>
      </c>
      <c r="B93" s="540" t="s">
        <v>18</v>
      </c>
      <c r="C93" s="390">
        <v>40499</v>
      </c>
      <c r="D93" s="389" t="s">
        <v>24</v>
      </c>
      <c r="E93" s="391">
        <v>216</v>
      </c>
      <c r="F93" s="391">
        <v>6</v>
      </c>
      <c r="G93" s="391">
        <v>8</v>
      </c>
      <c r="H93" s="399">
        <v>5700</v>
      </c>
      <c r="I93" s="393">
        <v>1097</v>
      </c>
      <c r="J93" s="394">
        <f t="shared" si="17"/>
        <v>182.83333333333334</v>
      </c>
      <c r="K93" s="400">
        <f t="shared" si="16"/>
        <v>5.195989061075661</v>
      </c>
      <c r="L93" s="401">
        <v>7549841</v>
      </c>
      <c r="M93" s="397">
        <v>796575</v>
      </c>
      <c r="N93" s="541">
        <f t="shared" si="18"/>
        <v>9.477878416972665</v>
      </c>
      <c r="O93" s="388"/>
      <c r="P93" s="355"/>
      <c r="Q93" s="66"/>
      <c r="R93" s="66"/>
      <c r="S93" s="66"/>
      <c r="T93" s="66"/>
    </row>
    <row r="94" spans="1:20" ht="13.5" customHeight="1">
      <c r="A94" s="225">
        <v>90</v>
      </c>
      <c r="B94" s="542" t="s">
        <v>18</v>
      </c>
      <c r="C94" s="390">
        <v>40499</v>
      </c>
      <c r="D94" s="402" t="s">
        <v>24</v>
      </c>
      <c r="E94" s="403">
        <v>216</v>
      </c>
      <c r="F94" s="403">
        <v>6</v>
      </c>
      <c r="G94" s="403">
        <v>9</v>
      </c>
      <c r="H94" s="399">
        <v>5414</v>
      </c>
      <c r="I94" s="393">
        <v>1277</v>
      </c>
      <c r="J94" s="394">
        <f t="shared" si="17"/>
        <v>212.83333333333334</v>
      </c>
      <c r="K94" s="400">
        <f t="shared" si="16"/>
        <v>4.239624119028974</v>
      </c>
      <c r="L94" s="401">
        <v>7555255</v>
      </c>
      <c r="M94" s="397">
        <v>797852</v>
      </c>
      <c r="N94" s="541">
        <f t="shared" si="18"/>
        <v>9.4694943423091</v>
      </c>
      <c r="O94" s="366"/>
      <c r="P94" s="355"/>
      <c r="Q94" s="66"/>
      <c r="R94" s="66"/>
      <c r="S94" s="66"/>
      <c r="T94" s="66"/>
    </row>
    <row r="95" spans="1:20" ht="13.5" customHeight="1">
      <c r="A95" s="225">
        <v>91</v>
      </c>
      <c r="B95" s="540" t="s">
        <v>18</v>
      </c>
      <c r="C95" s="390">
        <v>40499</v>
      </c>
      <c r="D95" s="398" t="s">
        <v>24</v>
      </c>
      <c r="E95" s="391">
        <v>216</v>
      </c>
      <c r="F95" s="391">
        <v>3</v>
      </c>
      <c r="G95" s="391">
        <v>13</v>
      </c>
      <c r="H95" s="399">
        <v>1907</v>
      </c>
      <c r="I95" s="393">
        <v>449</v>
      </c>
      <c r="J95" s="394">
        <f t="shared" si="17"/>
        <v>149.66666666666666</v>
      </c>
      <c r="K95" s="400">
        <f t="shared" si="16"/>
        <v>4.247216035634744</v>
      </c>
      <c r="L95" s="401">
        <v>7557967</v>
      </c>
      <c r="M95" s="397">
        <v>798432</v>
      </c>
      <c r="N95" s="541">
        <f t="shared" si="18"/>
        <v>9.466012133782213</v>
      </c>
      <c r="O95" s="408"/>
      <c r="P95" s="355"/>
      <c r="Q95" s="66"/>
      <c r="R95" s="66"/>
      <c r="S95" s="66"/>
      <c r="T95" s="66"/>
    </row>
    <row r="96" spans="1:20" ht="13.5" customHeight="1">
      <c r="A96" s="225">
        <v>92</v>
      </c>
      <c r="B96" s="538" t="s">
        <v>18</v>
      </c>
      <c r="C96" s="390">
        <v>40499</v>
      </c>
      <c r="D96" s="398" t="s">
        <v>24</v>
      </c>
      <c r="E96" s="391">
        <v>216</v>
      </c>
      <c r="F96" s="391">
        <v>1</v>
      </c>
      <c r="G96" s="391">
        <v>10</v>
      </c>
      <c r="H96" s="399">
        <v>280</v>
      </c>
      <c r="I96" s="393">
        <v>46</v>
      </c>
      <c r="J96" s="394">
        <f t="shared" si="17"/>
        <v>46</v>
      </c>
      <c r="K96" s="400">
        <f t="shared" si="16"/>
        <v>6.086956521739131</v>
      </c>
      <c r="L96" s="401">
        <v>7555535</v>
      </c>
      <c r="M96" s="397">
        <v>797898</v>
      </c>
      <c r="N96" s="541">
        <f t="shared" si="18"/>
        <v>9.469299334000086</v>
      </c>
      <c r="O96" s="373"/>
      <c r="P96" s="355"/>
      <c r="Q96" s="66"/>
      <c r="R96" s="66"/>
      <c r="S96" s="66"/>
      <c r="T96" s="66"/>
    </row>
    <row r="97" spans="1:20" ht="13.5" customHeight="1">
      <c r="A97" s="225">
        <v>93</v>
      </c>
      <c r="B97" s="542" t="s">
        <v>18</v>
      </c>
      <c r="C97" s="390">
        <v>40499</v>
      </c>
      <c r="D97" s="402" t="s">
        <v>24</v>
      </c>
      <c r="E97" s="403">
        <v>216</v>
      </c>
      <c r="F97" s="403">
        <v>1</v>
      </c>
      <c r="G97" s="403">
        <v>12</v>
      </c>
      <c r="H97" s="399">
        <v>265</v>
      </c>
      <c r="I97" s="393">
        <v>42</v>
      </c>
      <c r="J97" s="394">
        <f t="shared" si="17"/>
        <v>42</v>
      </c>
      <c r="K97" s="400">
        <f t="shared" si="16"/>
        <v>6.309523809523809</v>
      </c>
      <c r="L97" s="401">
        <v>7556060</v>
      </c>
      <c r="M97" s="397">
        <v>797983</v>
      </c>
      <c r="N97" s="541">
        <f t="shared" si="18"/>
        <v>9.468948586624025</v>
      </c>
      <c r="O97" s="375"/>
      <c r="P97" s="355"/>
      <c r="Q97" s="66"/>
      <c r="R97" s="66"/>
      <c r="S97" s="66"/>
      <c r="T97" s="66"/>
    </row>
    <row r="98" spans="1:20" ht="13.5" customHeight="1">
      <c r="A98" s="225">
        <v>94</v>
      </c>
      <c r="B98" s="540" t="s">
        <v>18</v>
      </c>
      <c r="C98" s="390">
        <v>40499</v>
      </c>
      <c r="D98" s="398" t="s">
        <v>24</v>
      </c>
      <c r="E98" s="391">
        <v>216</v>
      </c>
      <c r="F98" s="391">
        <v>1</v>
      </c>
      <c r="G98" s="391">
        <v>11</v>
      </c>
      <c r="H98" s="399">
        <v>260</v>
      </c>
      <c r="I98" s="393">
        <v>43</v>
      </c>
      <c r="J98" s="394">
        <f t="shared" si="17"/>
        <v>43</v>
      </c>
      <c r="K98" s="400">
        <f t="shared" si="16"/>
        <v>6.046511627906977</v>
      </c>
      <c r="L98" s="401">
        <v>7555795</v>
      </c>
      <c r="M98" s="397">
        <v>797941</v>
      </c>
      <c r="N98" s="541">
        <f t="shared" si="18"/>
        <v>9.46911488443381</v>
      </c>
      <c r="O98" s="373"/>
      <c r="P98" s="355"/>
      <c r="Q98" s="66"/>
      <c r="R98" s="66"/>
      <c r="S98" s="66"/>
      <c r="T98" s="66"/>
    </row>
    <row r="99" spans="1:20" ht="13.5" customHeight="1">
      <c r="A99" s="225">
        <v>95</v>
      </c>
      <c r="B99" s="531" t="s">
        <v>144</v>
      </c>
      <c r="C99" s="368">
        <v>39899</v>
      </c>
      <c r="D99" s="357" t="s">
        <v>119</v>
      </c>
      <c r="E99" s="369">
        <v>16</v>
      </c>
      <c r="F99" s="369">
        <v>1</v>
      </c>
      <c r="G99" s="369">
        <v>22</v>
      </c>
      <c r="H99" s="360">
        <v>2140</v>
      </c>
      <c r="I99" s="361">
        <v>535</v>
      </c>
      <c r="J99" s="362">
        <f aca="true" t="shared" si="19" ref="J99:J104">(I99/F99)</f>
        <v>535</v>
      </c>
      <c r="K99" s="363">
        <f t="shared" si="16"/>
        <v>4</v>
      </c>
      <c r="L99" s="364">
        <f>31480+15536+8716+2149+2897+1360+2390+1251+322+381+329+492+928+436+1103+1913+46+240+669.28+648.46+226+2140</f>
        <v>75652.74</v>
      </c>
      <c r="M99" s="365">
        <f>3450+1778+1361+440+508+248+548+290+68+72+58+96+96+70+137+309+9+48+150+151+48+535</f>
        <v>10470</v>
      </c>
      <c r="N99" s="532">
        <f aca="true" t="shared" si="20" ref="N99:N104">L99/M99</f>
        <v>7.225667621776505</v>
      </c>
      <c r="O99" s="408">
        <v>1</v>
      </c>
      <c r="P99" s="355"/>
      <c r="Q99" s="66"/>
      <c r="R99" s="66"/>
      <c r="S99" s="66"/>
      <c r="T99" s="66"/>
    </row>
    <row r="100" spans="1:20" ht="13.5" customHeight="1">
      <c r="A100" s="225">
        <v>96</v>
      </c>
      <c r="B100" s="537" t="s">
        <v>157</v>
      </c>
      <c r="C100" s="358">
        <v>39892</v>
      </c>
      <c r="D100" s="357" t="s">
        <v>119</v>
      </c>
      <c r="E100" s="359">
        <v>5</v>
      </c>
      <c r="F100" s="359">
        <v>1</v>
      </c>
      <c r="G100" s="359">
        <v>24</v>
      </c>
      <c r="H100" s="467">
        <v>952</v>
      </c>
      <c r="I100" s="468">
        <v>238</v>
      </c>
      <c r="J100" s="463">
        <f t="shared" si="19"/>
        <v>238</v>
      </c>
      <c r="K100" s="469">
        <f t="shared" si="16"/>
        <v>4</v>
      </c>
      <c r="L100" s="470">
        <f>18881.5+13473+6553+4173.5+2378+3269+2172+792+240+60+1236+552+1321+1757+465+884+565+65+261+952+114+51+2376+952</f>
        <v>63543</v>
      </c>
      <c r="M100" s="471">
        <f>2268+1745+795+568+579+610+541+209+80+20+215+68+169+337+93+144+93+15+56+238+23+20+594+238</f>
        <v>9718</v>
      </c>
      <c r="N100" s="558">
        <f t="shared" si="20"/>
        <v>6.538691088701379</v>
      </c>
      <c r="O100" s="366"/>
      <c r="P100" s="355"/>
      <c r="Q100" s="66"/>
      <c r="R100" s="66"/>
      <c r="S100" s="66"/>
      <c r="T100" s="66"/>
    </row>
    <row r="101" spans="1:20" ht="13.5" customHeight="1">
      <c r="A101" s="225">
        <v>97</v>
      </c>
      <c r="B101" s="554" t="s">
        <v>133</v>
      </c>
      <c r="C101" s="456">
        <v>39995</v>
      </c>
      <c r="D101" s="357" t="s">
        <v>119</v>
      </c>
      <c r="E101" s="457">
        <v>209</v>
      </c>
      <c r="F101" s="457">
        <v>1</v>
      </c>
      <c r="G101" s="457">
        <v>62</v>
      </c>
      <c r="H101" s="370">
        <v>1780</v>
      </c>
      <c r="I101" s="376">
        <v>445</v>
      </c>
      <c r="J101" s="377">
        <f t="shared" si="19"/>
        <v>445</v>
      </c>
      <c r="K101" s="371">
        <f t="shared" si="16"/>
        <v>4</v>
      </c>
      <c r="L101" s="372">
        <f>11405777.5+385+1188+6614+2968+1417+277+2612+1424+952+1780</f>
        <v>11425394.5</v>
      </c>
      <c r="M101" s="378">
        <f>1424397+63+297+1638+742+364+66+653+356+238+445</f>
        <v>1429259</v>
      </c>
      <c r="N101" s="534">
        <f t="shared" si="20"/>
        <v>7.993928672130104</v>
      </c>
      <c r="O101" s="366"/>
      <c r="P101" s="355"/>
      <c r="Q101" s="66"/>
      <c r="R101" s="66"/>
      <c r="S101" s="66"/>
      <c r="T101" s="66"/>
    </row>
    <row r="102" spans="1:20" ht="13.5" customHeight="1">
      <c r="A102" s="225">
        <v>98</v>
      </c>
      <c r="B102" s="556" t="s">
        <v>133</v>
      </c>
      <c r="C102" s="460">
        <v>39995</v>
      </c>
      <c r="D102" s="357" t="s">
        <v>119</v>
      </c>
      <c r="E102" s="461">
        <v>209</v>
      </c>
      <c r="F102" s="461">
        <v>1</v>
      </c>
      <c r="G102" s="461">
        <v>61</v>
      </c>
      <c r="H102" s="360">
        <v>952</v>
      </c>
      <c r="I102" s="361">
        <v>238</v>
      </c>
      <c r="J102" s="362">
        <f t="shared" si="19"/>
        <v>238</v>
      </c>
      <c r="K102" s="363">
        <f t="shared" si="16"/>
        <v>4</v>
      </c>
      <c r="L102" s="364">
        <f>11405777.5+385+1188+6614+2968+1417+277+2612+1424+952</f>
        <v>11423614.5</v>
      </c>
      <c r="M102" s="365">
        <f>1424397+63+297+1638+742+364+66+653+356+238</f>
        <v>1428814</v>
      </c>
      <c r="N102" s="532">
        <f t="shared" si="20"/>
        <v>7.995172569697665</v>
      </c>
      <c r="O102" s="373"/>
      <c r="P102" s="355"/>
      <c r="Q102" s="66"/>
      <c r="R102" s="66"/>
      <c r="S102" s="66"/>
      <c r="T102" s="66"/>
    </row>
    <row r="103" spans="1:20" ht="13.5" customHeight="1">
      <c r="A103" s="225">
        <v>99</v>
      </c>
      <c r="B103" s="537" t="s">
        <v>134</v>
      </c>
      <c r="C103" s="368">
        <v>39738</v>
      </c>
      <c r="D103" s="357" t="s">
        <v>119</v>
      </c>
      <c r="E103" s="359">
        <v>67</v>
      </c>
      <c r="F103" s="359">
        <v>1</v>
      </c>
      <c r="G103" s="359">
        <v>44</v>
      </c>
      <c r="H103" s="360">
        <v>1780</v>
      </c>
      <c r="I103" s="361">
        <v>445</v>
      </c>
      <c r="J103" s="362">
        <f t="shared" si="19"/>
        <v>445</v>
      </c>
      <c r="K103" s="363">
        <f t="shared" si="16"/>
        <v>4</v>
      </c>
      <c r="L103" s="364">
        <f>575413.5+2968+2376+2737+2376+2376+4752+2376+952+1780</f>
        <v>598106.5</v>
      </c>
      <c r="M103" s="365">
        <f>83313+742+594+635+594+594+1188+594+238+445</f>
        <v>88937</v>
      </c>
      <c r="N103" s="532">
        <f t="shared" si="20"/>
        <v>6.725058187256147</v>
      </c>
      <c r="O103" s="375"/>
      <c r="P103" s="355"/>
      <c r="Q103" s="66"/>
      <c r="R103" s="66"/>
      <c r="S103" s="66"/>
      <c r="T103" s="66"/>
    </row>
    <row r="104" spans="1:20" ht="13.5" customHeight="1">
      <c r="A104" s="225">
        <v>100</v>
      </c>
      <c r="B104" s="531" t="s">
        <v>134</v>
      </c>
      <c r="C104" s="368">
        <v>39738</v>
      </c>
      <c r="D104" s="357" t="s">
        <v>119</v>
      </c>
      <c r="E104" s="369">
        <v>67</v>
      </c>
      <c r="F104" s="369">
        <v>1</v>
      </c>
      <c r="G104" s="369">
        <v>43</v>
      </c>
      <c r="H104" s="360">
        <v>952</v>
      </c>
      <c r="I104" s="361">
        <v>238</v>
      </c>
      <c r="J104" s="362">
        <f t="shared" si="19"/>
        <v>238</v>
      </c>
      <c r="K104" s="363">
        <f t="shared" si="16"/>
        <v>4</v>
      </c>
      <c r="L104" s="364">
        <f>575413.5+2968+2376+2737+2376+2376+4752+2376+952</f>
        <v>596326.5</v>
      </c>
      <c r="M104" s="365">
        <f>83313+742+594+635+594+594+1188+594+238</f>
        <v>88492</v>
      </c>
      <c r="N104" s="532">
        <f t="shared" si="20"/>
        <v>6.738761695972517</v>
      </c>
      <c r="O104" s="373"/>
      <c r="P104" s="355"/>
      <c r="Q104" s="66"/>
      <c r="R104" s="66"/>
      <c r="S104" s="66"/>
      <c r="T104" s="66"/>
    </row>
    <row r="105" spans="1:20" ht="13.5" customHeight="1">
      <c r="A105" s="225">
        <v>101</v>
      </c>
      <c r="B105" s="540" t="s">
        <v>145</v>
      </c>
      <c r="C105" s="390">
        <v>40389</v>
      </c>
      <c r="D105" s="398" t="s">
        <v>24</v>
      </c>
      <c r="E105" s="391">
        <v>139</v>
      </c>
      <c r="F105" s="391">
        <v>1</v>
      </c>
      <c r="G105" s="391">
        <v>23</v>
      </c>
      <c r="H105" s="399">
        <v>9523</v>
      </c>
      <c r="I105" s="393">
        <v>1587</v>
      </c>
      <c r="J105" s="394">
        <f>I105/F105</f>
        <v>1587</v>
      </c>
      <c r="K105" s="400">
        <f t="shared" si="16"/>
        <v>6.000630119722747</v>
      </c>
      <c r="L105" s="401">
        <v>11041118</v>
      </c>
      <c r="M105" s="397">
        <v>1103147</v>
      </c>
      <c r="N105" s="541">
        <f>+L105/M105</f>
        <v>10.008745887900705</v>
      </c>
      <c r="O105" s="586"/>
      <c r="P105" s="355"/>
      <c r="Q105" s="66"/>
      <c r="R105" s="66"/>
      <c r="S105" s="66"/>
      <c r="T105" s="66"/>
    </row>
    <row r="106" spans="1:20" ht="13.5" customHeight="1">
      <c r="A106" s="225">
        <v>102</v>
      </c>
      <c r="B106" s="540" t="s">
        <v>145</v>
      </c>
      <c r="C106" s="390">
        <v>40389</v>
      </c>
      <c r="D106" s="398" t="s">
        <v>24</v>
      </c>
      <c r="E106" s="391">
        <v>139</v>
      </c>
      <c r="F106" s="391">
        <v>2</v>
      </c>
      <c r="G106" s="391">
        <v>22</v>
      </c>
      <c r="H106" s="399">
        <v>1178</v>
      </c>
      <c r="I106" s="393">
        <v>911</v>
      </c>
      <c r="J106" s="394">
        <f>I106/F106</f>
        <v>455.5</v>
      </c>
      <c r="K106" s="400">
        <f t="shared" si="16"/>
        <v>1.2930845225027443</v>
      </c>
      <c r="L106" s="401">
        <v>11031595</v>
      </c>
      <c r="M106" s="397">
        <v>1101560</v>
      </c>
      <c r="N106" s="541">
        <f>+L106/M106</f>
        <v>10.014520316641853</v>
      </c>
      <c r="O106" s="408"/>
      <c r="P106" s="355"/>
      <c r="Q106" s="66"/>
      <c r="R106" s="66"/>
      <c r="S106" s="66"/>
      <c r="T106" s="66"/>
    </row>
    <row r="107" spans="1:20" ht="13.5" customHeight="1">
      <c r="A107" s="225">
        <v>103</v>
      </c>
      <c r="B107" s="542" t="s">
        <v>22</v>
      </c>
      <c r="C107" s="390">
        <v>40480</v>
      </c>
      <c r="D107" s="472" t="s">
        <v>27</v>
      </c>
      <c r="E107" s="403">
        <v>1</v>
      </c>
      <c r="F107" s="403">
        <v>1</v>
      </c>
      <c r="G107" s="403">
        <v>9</v>
      </c>
      <c r="H107" s="467">
        <v>368</v>
      </c>
      <c r="I107" s="468">
        <v>57</v>
      </c>
      <c r="J107" s="411">
        <f>+I107/F107</f>
        <v>57</v>
      </c>
      <c r="K107" s="412">
        <f>+H107/I107</f>
        <v>6.456140350877193</v>
      </c>
      <c r="L107" s="470">
        <v>14543</v>
      </c>
      <c r="M107" s="471">
        <v>1072</v>
      </c>
      <c r="N107" s="543">
        <f>+L107/M107</f>
        <v>13.566231343283581</v>
      </c>
      <c r="O107" s="408"/>
      <c r="P107" s="355"/>
      <c r="Q107" s="66"/>
      <c r="R107" s="66"/>
      <c r="S107" s="66"/>
      <c r="T107" s="66"/>
    </row>
    <row r="108" spans="1:20" ht="13.5" customHeight="1">
      <c r="A108" s="225">
        <v>104</v>
      </c>
      <c r="B108" s="542" t="s">
        <v>22</v>
      </c>
      <c r="C108" s="390">
        <v>40480</v>
      </c>
      <c r="D108" s="472" t="s">
        <v>27</v>
      </c>
      <c r="E108" s="403">
        <v>1</v>
      </c>
      <c r="F108" s="403">
        <v>1</v>
      </c>
      <c r="G108" s="403">
        <v>10</v>
      </c>
      <c r="H108" s="470">
        <v>266</v>
      </c>
      <c r="I108" s="471">
        <v>38</v>
      </c>
      <c r="J108" s="411">
        <f>+I108/F108</f>
        <v>38</v>
      </c>
      <c r="K108" s="412">
        <f>+H108/I108</f>
        <v>7</v>
      </c>
      <c r="L108" s="470">
        <v>14809</v>
      </c>
      <c r="M108" s="471">
        <v>1110</v>
      </c>
      <c r="N108" s="543">
        <f>+L108/M108</f>
        <v>13.341441441441441</v>
      </c>
      <c r="O108" s="388"/>
      <c r="P108" s="355"/>
      <c r="Q108" s="66"/>
      <c r="R108" s="66"/>
      <c r="S108" s="66"/>
      <c r="T108" s="66"/>
    </row>
    <row r="109" spans="1:20" ht="13.5" customHeight="1">
      <c r="A109" s="225">
        <v>105</v>
      </c>
      <c r="B109" s="551" t="s">
        <v>22</v>
      </c>
      <c r="C109" s="390">
        <v>40480</v>
      </c>
      <c r="D109" s="473" t="s">
        <v>27</v>
      </c>
      <c r="E109" s="403">
        <v>1</v>
      </c>
      <c r="F109" s="403">
        <v>1</v>
      </c>
      <c r="G109" s="403">
        <v>8</v>
      </c>
      <c r="H109" s="474">
        <v>42</v>
      </c>
      <c r="I109" s="468">
        <v>6</v>
      </c>
      <c r="J109" s="411">
        <f>+I109/F109</f>
        <v>6</v>
      </c>
      <c r="K109" s="416">
        <f>+H109/I109</f>
        <v>7</v>
      </c>
      <c r="L109" s="475">
        <v>14175</v>
      </c>
      <c r="M109" s="471">
        <v>1015</v>
      </c>
      <c r="N109" s="544">
        <f>+L109/M109</f>
        <v>13.96551724137931</v>
      </c>
      <c r="O109" s="373"/>
      <c r="P109" s="355"/>
      <c r="Q109" s="66"/>
      <c r="R109" s="66"/>
      <c r="S109" s="66"/>
      <c r="T109" s="66"/>
    </row>
    <row r="110" spans="1:20" ht="13.5" customHeight="1">
      <c r="A110" s="225">
        <v>106</v>
      </c>
      <c r="B110" s="537" t="s">
        <v>170</v>
      </c>
      <c r="C110" s="358">
        <v>39710</v>
      </c>
      <c r="D110" s="357" t="s">
        <v>119</v>
      </c>
      <c r="E110" s="359">
        <v>1</v>
      </c>
      <c r="F110" s="359">
        <v>1</v>
      </c>
      <c r="G110" s="359">
        <v>16</v>
      </c>
      <c r="H110" s="370">
        <v>236</v>
      </c>
      <c r="I110" s="376">
        <v>59</v>
      </c>
      <c r="J110" s="377">
        <f>(I110/F110)</f>
        <v>59</v>
      </c>
      <c r="K110" s="371">
        <f>H110/I110</f>
        <v>4</v>
      </c>
      <c r="L110" s="372">
        <f>11305+5960+2538+2056+455+891+1621+1302+712+1484+1484+1424+1188+1188+1188+236</f>
        <v>35032</v>
      </c>
      <c r="M110" s="378">
        <f>835+676+295+239+136+275+187+148+178+371+371+356+297+297+297+59</f>
        <v>5017</v>
      </c>
      <c r="N110" s="534">
        <f>L110/M110</f>
        <v>6.982658959537572</v>
      </c>
      <c r="O110" s="366"/>
      <c r="P110" s="355"/>
      <c r="Q110" s="66"/>
      <c r="R110" s="66"/>
      <c r="S110" s="66"/>
      <c r="T110" s="66"/>
    </row>
    <row r="111" spans="1:20" ht="13.5" customHeight="1">
      <c r="A111" s="225">
        <v>107</v>
      </c>
      <c r="B111" s="537" t="s">
        <v>158</v>
      </c>
      <c r="C111" s="358">
        <v>39997</v>
      </c>
      <c r="D111" s="357" t="s">
        <v>119</v>
      </c>
      <c r="E111" s="359">
        <v>5</v>
      </c>
      <c r="F111" s="359">
        <v>1</v>
      </c>
      <c r="G111" s="359">
        <v>21</v>
      </c>
      <c r="H111" s="360">
        <v>952</v>
      </c>
      <c r="I111" s="361">
        <v>238</v>
      </c>
      <c r="J111" s="362">
        <f>(I111/F111)</f>
        <v>238</v>
      </c>
      <c r="K111" s="363">
        <f>H111/I111</f>
        <v>4</v>
      </c>
      <c r="L111" s="364">
        <f>18914.5+7321+4028.5+1674+6130+4818.5+6984.5+5012.5+1695+4556+3587.5+1286+2931+2868+2878.5+3369+1780+1780+162+63+952</f>
        <v>82791.5</v>
      </c>
      <c r="M111" s="365">
        <f>1467+674+673+324+645+765+779+620+311+670+508+195+503+424+502+755+445+445+35+21+238</f>
        <v>10999</v>
      </c>
      <c r="N111" s="532">
        <f>L111/M111</f>
        <v>7.527184289480862</v>
      </c>
      <c r="O111" s="366"/>
      <c r="P111" s="355"/>
      <c r="Q111" s="66"/>
      <c r="R111" s="66"/>
      <c r="S111" s="66"/>
      <c r="T111" s="66"/>
    </row>
    <row r="112" spans="1:20" ht="13.5" customHeight="1">
      <c r="A112" s="225">
        <v>108</v>
      </c>
      <c r="B112" s="531" t="s">
        <v>97</v>
      </c>
      <c r="C112" s="368">
        <v>40424</v>
      </c>
      <c r="D112" s="357" t="s">
        <v>119</v>
      </c>
      <c r="E112" s="369">
        <v>5</v>
      </c>
      <c r="F112" s="369">
        <v>1</v>
      </c>
      <c r="G112" s="369">
        <v>10</v>
      </c>
      <c r="H112" s="360">
        <v>1188</v>
      </c>
      <c r="I112" s="361">
        <v>297</v>
      </c>
      <c r="J112" s="362">
        <f>(I112/F112)</f>
        <v>297</v>
      </c>
      <c r="K112" s="363">
        <f>H112/I112</f>
        <v>4</v>
      </c>
      <c r="L112" s="364">
        <f>11822.5+3468.5+3273+3742.5+3152+1092+927+1058+2153.5+1188</f>
        <v>31877</v>
      </c>
      <c r="M112" s="365">
        <f>827+293+410+398+368+137+124+170+462+297</f>
        <v>3486</v>
      </c>
      <c r="N112" s="532">
        <f>L112/M112</f>
        <v>9.144291451520367</v>
      </c>
      <c r="O112" s="450"/>
      <c r="P112" s="355"/>
      <c r="Q112" s="66"/>
      <c r="R112" s="66"/>
      <c r="S112" s="66"/>
      <c r="T112" s="66"/>
    </row>
    <row r="113" spans="1:20" ht="13.5" customHeight="1">
      <c r="A113" s="225">
        <v>109</v>
      </c>
      <c r="B113" s="542" t="s">
        <v>107</v>
      </c>
      <c r="C113" s="390">
        <v>39647</v>
      </c>
      <c r="D113" s="402" t="s">
        <v>17</v>
      </c>
      <c r="E113" s="403">
        <v>108</v>
      </c>
      <c r="F113" s="403">
        <v>1</v>
      </c>
      <c r="G113" s="403">
        <v>20</v>
      </c>
      <c r="H113" s="409">
        <v>3020</v>
      </c>
      <c r="I113" s="410">
        <v>604</v>
      </c>
      <c r="J113" s="411">
        <f>+I113/F113</f>
        <v>604</v>
      </c>
      <c r="K113" s="412">
        <f>+H113/I113</f>
        <v>5</v>
      </c>
      <c r="L113" s="413">
        <f>4275145.5+3020</f>
        <v>4278165.5</v>
      </c>
      <c r="M113" s="414">
        <f>437002+604</f>
        <v>437606</v>
      </c>
      <c r="N113" s="543">
        <f>IF(L113&lt;&gt;0,L113/M113,"")</f>
        <v>9.776295343299681</v>
      </c>
      <c r="O113" s="366"/>
      <c r="P113" s="355"/>
      <c r="Q113" s="66"/>
      <c r="R113" s="66"/>
      <c r="S113" s="66"/>
      <c r="T113" s="66"/>
    </row>
    <row r="114" spans="1:20" ht="13.5" customHeight="1">
      <c r="A114" s="225">
        <v>110</v>
      </c>
      <c r="B114" s="538" t="s">
        <v>125</v>
      </c>
      <c r="C114" s="390">
        <v>40452</v>
      </c>
      <c r="D114" s="398" t="s">
        <v>17</v>
      </c>
      <c r="E114" s="391">
        <v>67</v>
      </c>
      <c r="F114" s="391">
        <v>3</v>
      </c>
      <c r="G114" s="391">
        <v>12</v>
      </c>
      <c r="H114" s="409">
        <v>1188</v>
      </c>
      <c r="I114" s="410">
        <v>297</v>
      </c>
      <c r="J114" s="411">
        <f>IF(H114&lt;&gt;0,I114/F114,"")</f>
        <v>99</v>
      </c>
      <c r="K114" s="412">
        <f>IF(H114&lt;&gt;0,H114/I114,"")</f>
        <v>4</v>
      </c>
      <c r="L114" s="413">
        <f>148907+7057+8529+4040+573.5+1227+412+727+521+258+1188</f>
        <v>173439.5</v>
      </c>
      <c r="M114" s="414">
        <f>14954+1128+1323+621+141+331+59+105+73+51+297</f>
        <v>19083</v>
      </c>
      <c r="N114" s="543">
        <f>IF(L114&lt;&gt;0,L114/M114,"")</f>
        <v>9.08869150552848</v>
      </c>
      <c r="O114" s="388">
        <v>1</v>
      </c>
      <c r="P114" s="355"/>
      <c r="Q114" s="66"/>
      <c r="R114" s="66"/>
      <c r="S114" s="66"/>
      <c r="T114" s="66"/>
    </row>
    <row r="115" spans="1:20" ht="13.5" customHeight="1">
      <c r="A115" s="225">
        <v>111</v>
      </c>
      <c r="B115" s="538" t="s">
        <v>66</v>
      </c>
      <c r="C115" s="390">
        <v>40452</v>
      </c>
      <c r="D115" s="389" t="s">
        <v>17</v>
      </c>
      <c r="E115" s="391">
        <v>67</v>
      </c>
      <c r="F115" s="391">
        <v>3</v>
      </c>
      <c r="G115" s="391">
        <v>11</v>
      </c>
      <c r="H115" s="415">
        <v>258</v>
      </c>
      <c r="I115" s="410">
        <v>51</v>
      </c>
      <c r="J115" s="411">
        <f>IF(H115&lt;&gt;0,I115/F115,"")</f>
        <v>17</v>
      </c>
      <c r="K115" s="416">
        <f>IF(H115&lt;&gt;0,H115/I115,"")</f>
        <v>5.0588235294117645</v>
      </c>
      <c r="L115" s="417">
        <f>148907+7057+8529+4040+573.5+1227+412+727+521+H115</f>
        <v>172251.5</v>
      </c>
      <c r="M115" s="414">
        <f>14954+1128+1323+621+141+331+59+105+73+I115</f>
        <v>18786</v>
      </c>
      <c r="N115" s="544">
        <f>IF(L115&lt;&gt;0,L115/M115,"")</f>
        <v>9.16914191419142</v>
      </c>
      <c r="O115" s="373">
        <v>1</v>
      </c>
      <c r="P115" s="355"/>
      <c r="Q115" s="66"/>
      <c r="R115" s="66"/>
      <c r="S115" s="66"/>
      <c r="T115" s="66"/>
    </row>
    <row r="116" spans="1:20" ht="13.5" customHeight="1">
      <c r="A116" s="225">
        <v>112</v>
      </c>
      <c r="B116" s="542" t="s">
        <v>125</v>
      </c>
      <c r="C116" s="404">
        <v>40452</v>
      </c>
      <c r="D116" s="402" t="s">
        <v>17</v>
      </c>
      <c r="E116" s="403">
        <v>67</v>
      </c>
      <c r="F116" s="403">
        <v>1</v>
      </c>
      <c r="G116" s="403">
        <v>13</v>
      </c>
      <c r="H116" s="415">
        <v>129</v>
      </c>
      <c r="I116" s="464">
        <v>19</v>
      </c>
      <c r="J116" s="465">
        <f>IF(H116&lt;&gt;0,I116/F116,"")</f>
        <v>19</v>
      </c>
      <c r="K116" s="416">
        <f>IF(H116&lt;&gt;0,H116/I116,"")</f>
        <v>6.7894736842105265</v>
      </c>
      <c r="L116" s="417">
        <f>148907+7057+8529+4040+573.5+1227+412+727+521+258+1188+129</f>
        <v>173568.5</v>
      </c>
      <c r="M116" s="466">
        <f>14954+1128+1323+621+141+331+59+105+73+51+297+19</f>
        <v>19102</v>
      </c>
      <c r="N116" s="544">
        <f>IF(L116&lt;&gt;0,L116/M116,"")</f>
        <v>9.086404564967019</v>
      </c>
      <c r="O116" s="366">
        <v>1</v>
      </c>
      <c r="P116" s="355"/>
      <c r="Q116" s="66"/>
      <c r="R116" s="66"/>
      <c r="S116" s="66"/>
      <c r="T116" s="66"/>
    </row>
    <row r="117" spans="1:20" ht="13.5" customHeight="1">
      <c r="A117" s="225">
        <v>113</v>
      </c>
      <c r="B117" s="554" t="s">
        <v>154</v>
      </c>
      <c r="C117" s="456">
        <v>40368</v>
      </c>
      <c r="D117" s="357" t="s">
        <v>119</v>
      </c>
      <c r="E117" s="457">
        <v>126</v>
      </c>
      <c r="F117" s="457">
        <v>1</v>
      </c>
      <c r="G117" s="457">
        <v>23</v>
      </c>
      <c r="H117" s="360">
        <v>1782</v>
      </c>
      <c r="I117" s="361">
        <v>445</v>
      </c>
      <c r="J117" s="362">
        <f>(I117/F117)</f>
        <v>445</v>
      </c>
      <c r="K117" s="363">
        <f>H117/I117</f>
        <v>4.004494382022472</v>
      </c>
      <c r="L117" s="364">
        <f>2106797.5+50230.5+32558.5+15249.5+15137+17418.5+7784.5+2808+2841.5+1328+2453+1693+613+726+713+1425.5+1782+1437+1782</f>
        <v>2264778</v>
      </c>
      <c r="M117" s="365">
        <f>220679+7944+5486+2451+2714+3159+1414+494+658+202+452+398+85+227+178+356+445+228+445</f>
        <v>248015</v>
      </c>
      <c r="N117" s="532">
        <f>L117/M117</f>
        <v>9.131617039291978</v>
      </c>
      <c r="O117" s="366"/>
      <c r="P117" s="355"/>
      <c r="Q117" s="66"/>
      <c r="R117" s="66"/>
      <c r="S117" s="66"/>
      <c r="T117" s="66"/>
    </row>
    <row r="118" spans="1:20" ht="13.5" customHeight="1">
      <c r="A118" s="225">
        <v>114</v>
      </c>
      <c r="B118" s="531" t="s">
        <v>204</v>
      </c>
      <c r="C118" s="368">
        <v>40284</v>
      </c>
      <c r="D118" s="374" t="s">
        <v>119</v>
      </c>
      <c r="E118" s="369">
        <v>14</v>
      </c>
      <c r="F118" s="369">
        <v>1</v>
      </c>
      <c r="G118" s="369">
        <v>22</v>
      </c>
      <c r="H118" s="360">
        <v>1307</v>
      </c>
      <c r="I118" s="361">
        <v>327</v>
      </c>
      <c r="J118" s="362">
        <f>(I118/F118)</f>
        <v>327</v>
      </c>
      <c r="K118" s="363">
        <f>H118/I118</f>
        <v>3.996941896024465</v>
      </c>
      <c r="L118" s="364">
        <f>45403.5+26416+19522+5885+5520+2576+2604+1325+840+957.5+196+2970+1095+960+1330+1159+1173+1901+475+2019.5+1188+1307</f>
        <v>126822.5</v>
      </c>
      <c r="M118" s="365">
        <f>4053+2594+2599+732+962+495+470+215+146+347+28+743+229+194+270+236+188+475+119+505+297+327</f>
        <v>16224</v>
      </c>
      <c r="N118" s="532">
        <f>L118/M118</f>
        <v>7.816968688362919</v>
      </c>
      <c r="O118" s="586">
        <v>1</v>
      </c>
      <c r="P118" s="355"/>
      <c r="Q118" s="66"/>
      <c r="R118" s="66"/>
      <c r="S118" s="66"/>
      <c r="T118" s="66"/>
    </row>
    <row r="119" spans="1:20" ht="13.5" customHeight="1">
      <c r="A119" s="225">
        <v>115</v>
      </c>
      <c r="B119" s="542" t="s">
        <v>81</v>
      </c>
      <c r="C119" s="390">
        <v>40480</v>
      </c>
      <c r="D119" s="402" t="s">
        <v>17</v>
      </c>
      <c r="E119" s="403">
        <v>71</v>
      </c>
      <c r="F119" s="403">
        <v>2</v>
      </c>
      <c r="G119" s="403">
        <v>11</v>
      </c>
      <c r="H119" s="409">
        <v>3270</v>
      </c>
      <c r="I119" s="410">
        <v>654</v>
      </c>
      <c r="J119" s="411">
        <f>IF(H119&lt;&gt;0,I119/F119,"")</f>
        <v>327</v>
      </c>
      <c r="K119" s="412">
        <f>IF(H119&lt;&gt;0,H119/I119,"")</f>
        <v>5</v>
      </c>
      <c r="L119" s="413">
        <f>72774.5+23673+5827+3625+7534.5+38620+936+11563+4979+496.5+3270</f>
        <v>173298.5</v>
      </c>
      <c r="M119" s="414">
        <f>8533+3652+916+601+1795+7393+145+2290+697+79+654</f>
        <v>26755</v>
      </c>
      <c r="N119" s="543">
        <f>IF(L119&lt;&gt;0,L119/M119,"")</f>
        <v>6.4772378994580455</v>
      </c>
      <c r="O119" s="366">
        <v>1</v>
      </c>
      <c r="P119" s="355"/>
      <c r="Q119" s="66"/>
      <c r="R119" s="66"/>
      <c r="S119" s="66"/>
      <c r="T119" s="66"/>
    </row>
    <row r="120" spans="1:20" ht="13.5" customHeight="1">
      <c r="A120" s="225">
        <v>116</v>
      </c>
      <c r="B120" s="538" t="s">
        <v>81</v>
      </c>
      <c r="C120" s="390">
        <v>40480</v>
      </c>
      <c r="D120" s="398" t="s">
        <v>17</v>
      </c>
      <c r="E120" s="391">
        <v>71</v>
      </c>
      <c r="F120" s="391">
        <v>1</v>
      </c>
      <c r="G120" s="391">
        <v>12</v>
      </c>
      <c r="H120" s="409">
        <v>526</v>
      </c>
      <c r="I120" s="410">
        <v>85</v>
      </c>
      <c r="J120" s="411">
        <f>IF(H120&lt;&gt;0,I120/F120,"")</f>
        <v>85</v>
      </c>
      <c r="K120" s="412">
        <f>IF(H120&lt;&gt;0,H120/I120,"")</f>
        <v>6.188235294117647</v>
      </c>
      <c r="L120" s="413">
        <f>72774.5+23673+5827+3625+7534.5+38620+936+11563+4979+496.5+3270+526</f>
        <v>173824.5</v>
      </c>
      <c r="M120" s="414">
        <f>8533+3652+916+601+1795+7393+145+2290+697+79+654+85</f>
        <v>26840</v>
      </c>
      <c r="N120" s="543">
        <f>IF(L120&lt;&gt;0,L120/M120,"")</f>
        <v>6.476322652757079</v>
      </c>
      <c r="O120" s="388">
        <v>1</v>
      </c>
      <c r="P120" s="355"/>
      <c r="Q120" s="66"/>
      <c r="R120" s="66"/>
      <c r="S120" s="66"/>
      <c r="T120" s="66"/>
    </row>
    <row r="121" spans="1:20" ht="13.5" customHeight="1">
      <c r="A121" s="225">
        <v>117</v>
      </c>
      <c r="B121" s="538" t="s">
        <v>81</v>
      </c>
      <c r="C121" s="390">
        <v>40480</v>
      </c>
      <c r="D121" s="389" t="s">
        <v>17</v>
      </c>
      <c r="E121" s="391">
        <v>71</v>
      </c>
      <c r="F121" s="391">
        <v>8</v>
      </c>
      <c r="G121" s="391">
        <v>10</v>
      </c>
      <c r="H121" s="415">
        <v>496.5</v>
      </c>
      <c r="I121" s="410">
        <v>79</v>
      </c>
      <c r="J121" s="411">
        <f>IF(H121&lt;&gt;0,I121/F121,"")</f>
        <v>9.875</v>
      </c>
      <c r="K121" s="416">
        <f>IF(H121&lt;&gt;0,H121/I121,"")</f>
        <v>6.284810126582278</v>
      </c>
      <c r="L121" s="417">
        <f>72774.5+23673+5827+3625+7534.5+38620+936+11563+4979+H121</f>
        <v>170028.5</v>
      </c>
      <c r="M121" s="414">
        <f>8533+3652+916+601+1795+7393+145+2290+697+I121</f>
        <v>26101</v>
      </c>
      <c r="N121" s="544">
        <f>IF(L121&lt;&gt;0,L121/M121,"")</f>
        <v>6.514252327497031</v>
      </c>
      <c r="O121" s="373">
        <v>1</v>
      </c>
      <c r="P121" s="355"/>
      <c r="Q121" s="66"/>
      <c r="R121" s="66"/>
      <c r="S121" s="66"/>
      <c r="T121" s="66"/>
    </row>
    <row r="122" spans="1:20" ht="13.5" customHeight="1">
      <c r="A122" s="225">
        <v>118</v>
      </c>
      <c r="B122" s="559" t="s">
        <v>143</v>
      </c>
      <c r="C122" s="390">
        <v>40067</v>
      </c>
      <c r="D122" s="398" t="s">
        <v>17</v>
      </c>
      <c r="E122" s="391">
        <v>105</v>
      </c>
      <c r="F122" s="391">
        <v>2</v>
      </c>
      <c r="G122" s="391">
        <v>48</v>
      </c>
      <c r="H122" s="409">
        <v>3071</v>
      </c>
      <c r="I122" s="410">
        <v>592</v>
      </c>
      <c r="J122" s="411">
        <f>IF(H122&lt;&gt;0,I122/F122,"")</f>
        <v>296</v>
      </c>
      <c r="K122" s="412">
        <f>IF(H122&lt;&gt;0,H122/I122,"")</f>
        <v>5.1875</v>
      </c>
      <c r="L122" s="413">
        <f>645861.5+391+1223+705+141+3564+3071</f>
        <v>654956.5</v>
      </c>
      <c r="M122" s="414">
        <f>78550+64+202+109+20+713+592</f>
        <v>80250</v>
      </c>
      <c r="N122" s="543">
        <f>IF(L122&lt;&gt;0,L122/M122,"")</f>
        <v>8.161451713395639</v>
      </c>
      <c r="O122" s="408"/>
      <c r="P122" s="355"/>
      <c r="Q122" s="66"/>
      <c r="R122" s="66"/>
      <c r="S122" s="66"/>
      <c r="T122" s="66"/>
    </row>
    <row r="123" spans="1:20" ht="13.5" customHeight="1">
      <c r="A123" s="225">
        <v>119</v>
      </c>
      <c r="B123" s="533" t="s">
        <v>15</v>
      </c>
      <c r="C123" s="368">
        <v>40473</v>
      </c>
      <c r="D123" s="357" t="s">
        <v>119</v>
      </c>
      <c r="E123" s="369">
        <v>30</v>
      </c>
      <c r="F123" s="369">
        <v>10</v>
      </c>
      <c r="G123" s="369">
        <v>11</v>
      </c>
      <c r="H123" s="370">
        <v>8357</v>
      </c>
      <c r="I123" s="361">
        <v>1374</v>
      </c>
      <c r="J123" s="362">
        <f aca="true" t="shared" si="21" ref="J123:J129">(I123/F123)</f>
        <v>137.4</v>
      </c>
      <c r="K123" s="371">
        <f aca="true" t="shared" si="22" ref="K123:K129">H123/I123</f>
        <v>6.082241630276565</v>
      </c>
      <c r="L123" s="372">
        <f>140269+106844+7979+4849+4700.5+7059+2232+1390+2769+13917+8357</f>
        <v>300365.5</v>
      </c>
      <c r="M123" s="365">
        <f>11518+8629+641+577+660+1341+325+348+324+2259+1374</f>
        <v>27996</v>
      </c>
      <c r="N123" s="534">
        <f aca="true" t="shared" si="23" ref="N123:N129">L123/M123</f>
        <v>10.728871981711674</v>
      </c>
      <c r="O123" s="450"/>
      <c r="P123" s="355"/>
      <c r="Q123" s="66"/>
      <c r="R123" s="66"/>
      <c r="S123" s="66"/>
      <c r="T123" s="66"/>
    </row>
    <row r="124" spans="1:20" ht="13.5" customHeight="1">
      <c r="A124" s="225">
        <v>120</v>
      </c>
      <c r="B124" s="535" t="s">
        <v>15</v>
      </c>
      <c r="C124" s="379">
        <v>40473</v>
      </c>
      <c r="D124" s="357" t="s">
        <v>119</v>
      </c>
      <c r="E124" s="380">
        <v>30</v>
      </c>
      <c r="F124" s="380">
        <v>3</v>
      </c>
      <c r="G124" s="380">
        <v>13</v>
      </c>
      <c r="H124" s="381">
        <v>4704</v>
      </c>
      <c r="I124" s="382">
        <v>506</v>
      </c>
      <c r="J124" s="383">
        <f t="shared" si="21"/>
        <v>168.66666666666666</v>
      </c>
      <c r="K124" s="384">
        <f t="shared" si="22"/>
        <v>9.296442687747035</v>
      </c>
      <c r="L124" s="385">
        <f>140269+106844+7979+4849+4700.5+7059+2232+1390+2769+13917+8357+891.5+4704</f>
        <v>305961</v>
      </c>
      <c r="M124" s="386">
        <f>11518+8629+641+577+660+1341+325+348+324+2259+1374+332+506</f>
        <v>28834</v>
      </c>
      <c r="N124" s="536">
        <f t="shared" si="23"/>
        <v>10.61111881806201</v>
      </c>
      <c r="O124" s="387"/>
      <c r="P124" s="355"/>
      <c r="Q124" s="66"/>
      <c r="R124" s="66"/>
      <c r="S124" s="66"/>
      <c r="T124" s="66"/>
    </row>
    <row r="125" spans="1:20" ht="13.5" customHeight="1">
      <c r="A125" s="225">
        <v>121</v>
      </c>
      <c r="B125" s="535" t="s">
        <v>15</v>
      </c>
      <c r="C125" s="379">
        <v>40473</v>
      </c>
      <c r="D125" s="357" t="s">
        <v>119</v>
      </c>
      <c r="E125" s="380">
        <v>30</v>
      </c>
      <c r="F125" s="380">
        <v>1</v>
      </c>
      <c r="G125" s="380">
        <v>14</v>
      </c>
      <c r="H125" s="381">
        <v>1307</v>
      </c>
      <c r="I125" s="382">
        <v>327</v>
      </c>
      <c r="J125" s="383">
        <f t="shared" si="21"/>
        <v>327</v>
      </c>
      <c r="K125" s="384">
        <f t="shared" si="22"/>
        <v>3.996941896024465</v>
      </c>
      <c r="L125" s="385">
        <f>140269+106844+7979+4849+4700.5+7059+2232+1390+2769+13917+8357+891.5+4704+1307</f>
        <v>307268</v>
      </c>
      <c r="M125" s="386">
        <f>11518+8629+641+577+660+1341+325+348+324+2259+1374+332+506+327</f>
        <v>29161</v>
      </c>
      <c r="N125" s="536">
        <f t="shared" si="23"/>
        <v>10.536950036006996</v>
      </c>
      <c r="O125" s="408"/>
      <c r="P125" s="355"/>
      <c r="Q125" s="66"/>
      <c r="R125" s="66"/>
      <c r="S125" s="66"/>
      <c r="T125" s="66"/>
    </row>
    <row r="126" spans="1:20" ht="13.5" customHeight="1">
      <c r="A126" s="225">
        <v>122</v>
      </c>
      <c r="B126" s="537" t="s">
        <v>15</v>
      </c>
      <c r="C126" s="358">
        <v>40473</v>
      </c>
      <c r="D126" s="357" t="s">
        <v>119</v>
      </c>
      <c r="E126" s="359">
        <v>30</v>
      </c>
      <c r="F126" s="359">
        <v>1</v>
      </c>
      <c r="G126" s="359">
        <v>15</v>
      </c>
      <c r="H126" s="360">
        <v>1076</v>
      </c>
      <c r="I126" s="361">
        <v>114</v>
      </c>
      <c r="J126" s="362">
        <f t="shared" si="21"/>
        <v>114</v>
      </c>
      <c r="K126" s="363">
        <f t="shared" si="22"/>
        <v>9.43859649122807</v>
      </c>
      <c r="L126" s="364">
        <f>140269+106844+7979+4849+4700.5+7059+2232+1390+2769+13917+8357+891.5+4704+1307+1076</f>
        <v>308344</v>
      </c>
      <c r="M126" s="365">
        <f>11518+8629+641+577+660+1341+325+348+324+2259+1374+332+506+327+114</f>
        <v>29275</v>
      </c>
      <c r="N126" s="532">
        <f t="shared" si="23"/>
        <v>10.53267292912041</v>
      </c>
      <c r="O126" s="366"/>
      <c r="P126" s="355"/>
      <c r="Q126" s="66"/>
      <c r="R126" s="66"/>
      <c r="S126" s="66"/>
      <c r="T126" s="66"/>
    </row>
    <row r="127" spans="1:20" ht="13.5" customHeight="1">
      <c r="A127" s="225">
        <v>123</v>
      </c>
      <c r="B127" s="531" t="s">
        <v>15</v>
      </c>
      <c r="C127" s="368">
        <v>40473</v>
      </c>
      <c r="D127" s="357" t="s">
        <v>119</v>
      </c>
      <c r="E127" s="369">
        <v>30</v>
      </c>
      <c r="F127" s="369">
        <v>1</v>
      </c>
      <c r="G127" s="369">
        <v>12</v>
      </c>
      <c r="H127" s="360">
        <v>891.5</v>
      </c>
      <c r="I127" s="361">
        <v>332</v>
      </c>
      <c r="J127" s="362">
        <f t="shared" si="21"/>
        <v>332</v>
      </c>
      <c r="K127" s="363">
        <f t="shared" si="22"/>
        <v>2.6852409638554215</v>
      </c>
      <c r="L127" s="364">
        <f>140269+106844+7979+4849+4700.5+7059+2232+1390+2769+13917+8357+891.5</f>
        <v>301257</v>
      </c>
      <c r="M127" s="365">
        <f>11518+8629+641+577+660+1341+325+348+324+2259+1374+332</f>
        <v>28328</v>
      </c>
      <c r="N127" s="532">
        <f t="shared" si="23"/>
        <v>10.63460180739904</v>
      </c>
      <c r="O127" s="450"/>
      <c r="P127" s="355"/>
      <c r="Q127" s="66"/>
      <c r="R127" s="66"/>
      <c r="S127" s="66"/>
      <c r="T127" s="66"/>
    </row>
    <row r="128" spans="1:20" ht="13.5" customHeight="1">
      <c r="A128" s="225">
        <v>124</v>
      </c>
      <c r="B128" s="557" t="s">
        <v>9</v>
      </c>
      <c r="C128" s="460">
        <v>40438</v>
      </c>
      <c r="D128" s="357" t="s">
        <v>119</v>
      </c>
      <c r="E128" s="461">
        <v>19</v>
      </c>
      <c r="F128" s="461">
        <v>1</v>
      </c>
      <c r="G128" s="461">
        <v>13</v>
      </c>
      <c r="H128" s="370">
        <v>1188</v>
      </c>
      <c r="I128" s="361">
        <v>297</v>
      </c>
      <c r="J128" s="362">
        <f t="shared" si="21"/>
        <v>297</v>
      </c>
      <c r="K128" s="371">
        <f t="shared" si="22"/>
        <v>4</v>
      </c>
      <c r="L128" s="372">
        <f>56752.5+38871+22868.5+4839+2786+2829.5+8012+670+1368+140+42+628+1188</f>
        <v>140994.5</v>
      </c>
      <c r="M128" s="365">
        <f>4639+3072+2103+531+316+368+936+83+203+20+6+98+297</f>
        <v>12672</v>
      </c>
      <c r="N128" s="534">
        <f t="shared" si="23"/>
        <v>11.12645991161616</v>
      </c>
      <c r="O128" s="373">
        <v>1</v>
      </c>
      <c r="P128" s="355"/>
      <c r="Q128" s="66"/>
      <c r="R128" s="66"/>
      <c r="S128" s="66"/>
      <c r="T128" s="66"/>
    </row>
    <row r="129" spans="1:20" ht="13.5" customHeight="1">
      <c r="A129" s="225">
        <v>125</v>
      </c>
      <c r="B129" s="537" t="s">
        <v>159</v>
      </c>
      <c r="C129" s="358">
        <v>39871</v>
      </c>
      <c r="D129" s="357" t="s">
        <v>119</v>
      </c>
      <c r="E129" s="359">
        <v>1</v>
      </c>
      <c r="F129" s="359">
        <v>1</v>
      </c>
      <c r="G129" s="359">
        <v>24</v>
      </c>
      <c r="H129" s="360">
        <v>952</v>
      </c>
      <c r="I129" s="361">
        <v>238</v>
      </c>
      <c r="J129" s="362">
        <f t="shared" si="21"/>
        <v>238</v>
      </c>
      <c r="K129" s="363">
        <f t="shared" si="22"/>
        <v>4</v>
      </c>
      <c r="L129" s="364">
        <f>1088+1510+1304+856+387+214+424+106+162+130+476+60.5+118+96+1664+1780+454+259.5+1188+119.5+1188+1780+1780+1780+952</f>
        <v>19876.5</v>
      </c>
      <c r="M129" s="365">
        <f>267+175+155+102+46+26+51+12+18+16+57+8+22+16+416+445+57+31+297+19+297+445+445+445+238</f>
        <v>4106</v>
      </c>
      <c r="N129" s="532">
        <f t="shared" si="23"/>
        <v>4.840842669264491</v>
      </c>
      <c r="O129" s="366"/>
      <c r="P129" s="355"/>
      <c r="Q129" s="66"/>
      <c r="R129" s="66"/>
      <c r="S129" s="66"/>
      <c r="T129" s="66"/>
    </row>
    <row r="130" spans="1:20" ht="13.5" customHeight="1">
      <c r="A130" s="225">
        <v>126</v>
      </c>
      <c r="B130" s="538" t="s">
        <v>58</v>
      </c>
      <c r="C130" s="390">
        <v>40529</v>
      </c>
      <c r="D130" s="389" t="s">
        <v>24</v>
      </c>
      <c r="E130" s="391">
        <v>72</v>
      </c>
      <c r="F130" s="391">
        <v>71</v>
      </c>
      <c r="G130" s="391">
        <v>3</v>
      </c>
      <c r="H130" s="392">
        <v>165182</v>
      </c>
      <c r="I130" s="393">
        <v>14707</v>
      </c>
      <c r="J130" s="394">
        <f aca="true" t="shared" si="24" ref="J130:J135">I130/F130</f>
        <v>207.14084507042253</v>
      </c>
      <c r="K130" s="436">
        <f>+H130/I130</f>
        <v>11.231522404297273</v>
      </c>
      <c r="L130" s="396">
        <v>909930</v>
      </c>
      <c r="M130" s="397">
        <v>83118</v>
      </c>
      <c r="N130" s="539">
        <f aca="true" t="shared" si="25" ref="N130:N136">+L130/M130</f>
        <v>10.94744820616473</v>
      </c>
      <c r="O130" s="388">
        <v>1</v>
      </c>
      <c r="P130" s="355"/>
      <c r="Q130" s="66"/>
      <c r="R130" s="66"/>
      <c r="S130" s="66"/>
      <c r="T130" s="66"/>
    </row>
    <row r="131" spans="1:20" ht="15">
      <c r="A131" s="225">
        <v>127</v>
      </c>
      <c r="B131" s="542" t="s">
        <v>58</v>
      </c>
      <c r="C131" s="390">
        <v>40529</v>
      </c>
      <c r="D131" s="402" t="s">
        <v>24</v>
      </c>
      <c r="E131" s="403">
        <v>72</v>
      </c>
      <c r="F131" s="403">
        <v>3</v>
      </c>
      <c r="G131" s="403">
        <v>5</v>
      </c>
      <c r="H131" s="399">
        <v>3407</v>
      </c>
      <c r="I131" s="393">
        <v>461</v>
      </c>
      <c r="J131" s="394">
        <f t="shared" si="24"/>
        <v>153.66666666666666</v>
      </c>
      <c r="K131" s="400">
        <f>H131/I131</f>
        <v>7.390455531453362</v>
      </c>
      <c r="L131" s="401">
        <v>915738</v>
      </c>
      <c r="M131" s="397">
        <v>84149</v>
      </c>
      <c r="N131" s="541">
        <f t="shared" si="25"/>
        <v>10.88233965941366</v>
      </c>
      <c r="O131" s="366"/>
      <c r="P131" s="355"/>
      <c r="Q131" s="66"/>
      <c r="R131" s="66"/>
      <c r="S131" s="66"/>
      <c r="T131" s="66"/>
    </row>
    <row r="132" spans="1:20" ht="15">
      <c r="A132" s="225">
        <v>128</v>
      </c>
      <c r="B132" s="540" t="s">
        <v>58</v>
      </c>
      <c r="C132" s="390">
        <v>40529</v>
      </c>
      <c r="D132" s="389" t="s">
        <v>24</v>
      </c>
      <c r="E132" s="391">
        <v>72</v>
      </c>
      <c r="F132" s="391">
        <v>2</v>
      </c>
      <c r="G132" s="391">
        <v>4</v>
      </c>
      <c r="H132" s="399">
        <v>2401</v>
      </c>
      <c r="I132" s="393">
        <v>570</v>
      </c>
      <c r="J132" s="394">
        <f t="shared" si="24"/>
        <v>285</v>
      </c>
      <c r="K132" s="400">
        <f>H132/I132</f>
        <v>4.212280701754386</v>
      </c>
      <c r="L132" s="401">
        <v>912331</v>
      </c>
      <c r="M132" s="397">
        <v>83688</v>
      </c>
      <c r="N132" s="541">
        <f t="shared" si="25"/>
        <v>10.901574897237358</v>
      </c>
      <c r="O132" s="388"/>
      <c r="P132" s="355"/>
      <c r="Q132" s="66"/>
      <c r="R132" s="66"/>
      <c r="S132" s="66"/>
      <c r="T132" s="66"/>
    </row>
    <row r="133" spans="1:20" ht="15">
      <c r="A133" s="225">
        <v>129</v>
      </c>
      <c r="B133" s="540" t="s">
        <v>58</v>
      </c>
      <c r="C133" s="390">
        <v>40529</v>
      </c>
      <c r="D133" s="398" t="s">
        <v>24</v>
      </c>
      <c r="E133" s="391">
        <v>72</v>
      </c>
      <c r="F133" s="391">
        <v>4</v>
      </c>
      <c r="G133" s="391">
        <v>7</v>
      </c>
      <c r="H133" s="399">
        <v>2361</v>
      </c>
      <c r="I133" s="393">
        <v>403</v>
      </c>
      <c r="J133" s="394">
        <f t="shared" si="24"/>
        <v>100.75</v>
      </c>
      <c r="K133" s="400">
        <f>H133/I133</f>
        <v>5.858560794044665</v>
      </c>
      <c r="L133" s="401">
        <v>919279</v>
      </c>
      <c r="M133" s="397">
        <v>84735</v>
      </c>
      <c r="N133" s="541">
        <f t="shared" si="25"/>
        <v>10.848870006490824</v>
      </c>
      <c r="O133" s="408"/>
      <c r="P133" s="355"/>
      <c r="Q133" s="66"/>
      <c r="R133" s="66"/>
      <c r="S133" s="66"/>
      <c r="T133" s="66"/>
    </row>
    <row r="134" spans="1:20" ht="15">
      <c r="A134" s="225">
        <v>130</v>
      </c>
      <c r="B134" s="538" t="s">
        <v>58</v>
      </c>
      <c r="C134" s="390">
        <v>40529</v>
      </c>
      <c r="D134" s="398" t="s">
        <v>24</v>
      </c>
      <c r="E134" s="391">
        <v>72</v>
      </c>
      <c r="F134" s="391">
        <v>2</v>
      </c>
      <c r="G134" s="391">
        <v>6</v>
      </c>
      <c r="H134" s="399">
        <v>1181</v>
      </c>
      <c r="I134" s="393">
        <v>183</v>
      </c>
      <c r="J134" s="394">
        <f t="shared" si="24"/>
        <v>91.5</v>
      </c>
      <c r="K134" s="400">
        <f>H134/I134</f>
        <v>6.453551912568306</v>
      </c>
      <c r="L134" s="401">
        <v>916919</v>
      </c>
      <c r="M134" s="397">
        <v>84332</v>
      </c>
      <c r="N134" s="541">
        <f t="shared" si="25"/>
        <v>10.87272921311009</v>
      </c>
      <c r="O134" s="373"/>
      <c r="P134" s="355"/>
      <c r="Q134" s="66"/>
      <c r="R134" s="66"/>
      <c r="S134" s="66"/>
      <c r="T134" s="66"/>
    </row>
    <row r="135" spans="1:20" ht="15">
      <c r="A135" s="225">
        <v>131</v>
      </c>
      <c r="B135" s="542" t="s">
        <v>58</v>
      </c>
      <c r="C135" s="404">
        <v>40529</v>
      </c>
      <c r="D135" s="402" t="s">
        <v>24</v>
      </c>
      <c r="E135" s="403">
        <v>72</v>
      </c>
      <c r="F135" s="403">
        <v>1</v>
      </c>
      <c r="G135" s="403">
        <v>8</v>
      </c>
      <c r="H135" s="399">
        <v>500</v>
      </c>
      <c r="I135" s="393">
        <v>70</v>
      </c>
      <c r="J135" s="394">
        <f t="shared" si="24"/>
        <v>70</v>
      </c>
      <c r="K135" s="400">
        <f>H135/I135</f>
        <v>7.142857142857143</v>
      </c>
      <c r="L135" s="401">
        <v>919779</v>
      </c>
      <c r="M135" s="397">
        <v>84805</v>
      </c>
      <c r="N135" s="541">
        <f t="shared" si="25"/>
        <v>10.84581097812629</v>
      </c>
      <c r="O135" s="366"/>
      <c r="P135" s="355"/>
      <c r="Q135" s="66"/>
      <c r="R135" s="66"/>
      <c r="S135" s="66"/>
      <c r="T135" s="66"/>
    </row>
    <row r="136" spans="1:20" ht="15">
      <c r="A136" s="225">
        <v>132</v>
      </c>
      <c r="B136" s="560" t="s">
        <v>109</v>
      </c>
      <c r="C136" s="477">
        <v>40480</v>
      </c>
      <c r="D136" s="374" t="s">
        <v>103</v>
      </c>
      <c r="E136" s="478">
        <v>15</v>
      </c>
      <c r="F136" s="478">
        <v>1</v>
      </c>
      <c r="G136" s="478">
        <v>9</v>
      </c>
      <c r="H136" s="479">
        <v>2135</v>
      </c>
      <c r="I136" s="480">
        <v>427</v>
      </c>
      <c r="J136" s="481">
        <v>427</v>
      </c>
      <c r="K136" s="482">
        <v>5</v>
      </c>
      <c r="L136" s="483">
        <v>60143</v>
      </c>
      <c r="M136" s="484">
        <v>6696</v>
      </c>
      <c r="N136" s="541">
        <f t="shared" si="25"/>
        <v>8.981929510155316</v>
      </c>
      <c r="O136" s="373"/>
      <c r="P136" s="355"/>
      <c r="Q136" s="66"/>
      <c r="R136" s="66"/>
      <c r="S136" s="66"/>
      <c r="T136" s="66"/>
    </row>
    <row r="137" spans="1:20" ht="15">
      <c r="A137" s="225">
        <v>133</v>
      </c>
      <c r="B137" s="561" t="s">
        <v>109</v>
      </c>
      <c r="C137" s="477">
        <v>40480</v>
      </c>
      <c r="D137" s="485" t="s">
        <v>103</v>
      </c>
      <c r="E137" s="486">
        <v>15</v>
      </c>
      <c r="F137" s="486">
        <v>1</v>
      </c>
      <c r="G137" s="486">
        <v>7</v>
      </c>
      <c r="H137" s="479">
        <v>1779</v>
      </c>
      <c r="I137" s="480">
        <v>356</v>
      </c>
      <c r="J137" s="484">
        <v>356</v>
      </c>
      <c r="K137" s="487">
        <v>4.997191011235955</v>
      </c>
      <c r="L137" s="483">
        <v>57513</v>
      </c>
      <c r="M137" s="484">
        <v>6199</v>
      </c>
      <c r="N137" s="562">
        <v>9.277786739796742</v>
      </c>
      <c r="O137" s="366"/>
      <c r="P137" s="355"/>
      <c r="Q137" s="66"/>
      <c r="R137" s="66"/>
      <c r="S137" s="66"/>
      <c r="T137" s="66"/>
    </row>
    <row r="138" spans="1:20" ht="15">
      <c r="A138" s="225">
        <v>134</v>
      </c>
      <c r="B138" s="563" t="s">
        <v>109</v>
      </c>
      <c r="C138" s="477">
        <v>40480</v>
      </c>
      <c r="D138" s="476" t="s">
        <v>122</v>
      </c>
      <c r="E138" s="478">
        <v>15</v>
      </c>
      <c r="F138" s="478">
        <v>1</v>
      </c>
      <c r="G138" s="478">
        <v>8</v>
      </c>
      <c r="H138" s="479">
        <v>495</v>
      </c>
      <c r="I138" s="480">
        <v>70</v>
      </c>
      <c r="J138" s="362">
        <f>(I138/F138)</f>
        <v>70</v>
      </c>
      <c r="K138" s="363">
        <f>H138/I138</f>
        <v>7.071428571428571</v>
      </c>
      <c r="L138" s="483">
        <v>58008</v>
      </c>
      <c r="M138" s="484">
        <v>6269</v>
      </c>
      <c r="N138" s="532">
        <f>L138/M138</f>
        <v>9.253150422714947</v>
      </c>
      <c r="O138" s="373"/>
      <c r="P138" s="355"/>
      <c r="Q138" s="66"/>
      <c r="R138" s="66"/>
      <c r="S138" s="66"/>
      <c r="T138" s="66"/>
    </row>
    <row r="139" spans="1:20" ht="15">
      <c r="A139" s="225">
        <v>135</v>
      </c>
      <c r="B139" s="547" t="s">
        <v>72</v>
      </c>
      <c r="C139" s="368">
        <v>40536</v>
      </c>
      <c r="D139" s="451" t="s">
        <v>23</v>
      </c>
      <c r="E139" s="369">
        <v>91</v>
      </c>
      <c r="F139" s="369">
        <v>92</v>
      </c>
      <c r="G139" s="369">
        <v>2</v>
      </c>
      <c r="H139" s="435">
        <v>390086</v>
      </c>
      <c r="I139" s="422">
        <v>33581</v>
      </c>
      <c r="J139" s="414">
        <f aca="true" t="shared" si="26" ref="J139:J146">I139/F139</f>
        <v>365.0108695652174</v>
      </c>
      <c r="K139" s="436">
        <f aca="true" t="shared" si="27" ref="K139:K146">+H139/I139</f>
        <v>11.616271105684762</v>
      </c>
      <c r="L139" s="437">
        <v>972705</v>
      </c>
      <c r="M139" s="423">
        <v>84601</v>
      </c>
      <c r="N139" s="550">
        <f aca="true" t="shared" si="28" ref="N139:N146">+L139/M139</f>
        <v>11.497559130506732</v>
      </c>
      <c r="O139" s="373"/>
      <c r="P139" s="355"/>
      <c r="Q139" s="66"/>
      <c r="R139" s="66"/>
      <c r="S139" s="66"/>
      <c r="T139" s="66"/>
    </row>
    <row r="140" spans="1:20" ht="15">
      <c r="A140" s="225">
        <v>136</v>
      </c>
      <c r="B140" s="531" t="s">
        <v>72</v>
      </c>
      <c r="C140" s="368">
        <v>40536</v>
      </c>
      <c r="D140" s="451" t="s">
        <v>23</v>
      </c>
      <c r="E140" s="369">
        <v>91</v>
      </c>
      <c r="F140" s="369">
        <v>90</v>
      </c>
      <c r="G140" s="369">
        <v>3</v>
      </c>
      <c r="H140" s="421">
        <v>191201</v>
      </c>
      <c r="I140" s="422">
        <v>16807</v>
      </c>
      <c r="J140" s="414">
        <f t="shared" si="26"/>
        <v>186.74444444444444</v>
      </c>
      <c r="K140" s="424">
        <f t="shared" si="27"/>
        <v>11.37627179151544</v>
      </c>
      <c r="L140" s="425">
        <v>1163906</v>
      </c>
      <c r="M140" s="423">
        <v>101408</v>
      </c>
      <c r="N140" s="546">
        <f t="shared" si="28"/>
        <v>11.477457399810666</v>
      </c>
      <c r="O140" s="452"/>
      <c r="P140" s="355"/>
      <c r="Q140" s="66"/>
      <c r="R140" s="66"/>
      <c r="S140" s="66"/>
      <c r="T140" s="66"/>
    </row>
    <row r="141" spans="1:20" ht="15">
      <c r="A141" s="225">
        <v>137</v>
      </c>
      <c r="B141" s="548" t="s">
        <v>72</v>
      </c>
      <c r="C141" s="453">
        <v>40536</v>
      </c>
      <c r="D141" s="454" t="s">
        <v>23</v>
      </c>
      <c r="E141" s="429">
        <v>91</v>
      </c>
      <c r="F141" s="429">
        <v>22</v>
      </c>
      <c r="G141" s="429">
        <v>4</v>
      </c>
      <c r="H141" s="430">
        <v>28672</v>
      </c>
      <c r="I141" s="431">
        <v>2679</v>
      </c>
      <c r="J141" s="432">
        <f t="shared" si="26"/>
        <v>121.77272727272727</v>
      </c>
      <c r="K141" s="433">
        <f t="shared" si="27"/>
        <v>10.702500933184023</v>
      </c>
      <c r="L141" s="434">
        <v>1192578</v>
      </c>
      <c r="M141" s="432">
        <v>104087</v>
      </c>
      <c r="N141" s="549">
        <f t="shared" si="28"/>
        <v>11.45751150479887</v>
      </c>
      <c r="O141" s="455"/>
      <c r="P141" s="355"/>
      <c r="Q141" s="66"/>
      <c r="R141" s="66"/>
      <c r="S141" s="66"/>
      <c r="T141" s="66"/>
    </row>
    <row r="142" spans="1:20" ht="15">
      <c r="A142" s="225">
        <v>138</v>
      </c>
      <c r="B142" s="547" t="s">
        <v>72</v>
      </c>
      <c r="C142" s="368">
        <v>40536</v>
      </c>
      <c r="D142" s="488" t="s">
        <v>23</v>
      </c>
      <c r="E142" s="369">
        <v>91</v>
      </c>
      <c r="F142" s="369">
        <v>6</v>
      </c>
      <c r="G142" s="369">
        <v>5</v>
      </c>
      <c r="H142" s="421">
        <v>2455</v>
      </c>
      <c r="I142" s="422">
        <v>339</v>
      </c>
      <c r="J142" s="414">
        <f t="shared" si="26"/>
        <v>56.5</v>
      </c>
      <c r="K142" s="424">
        <f t="shared" si="27"/>
        <v>7.241887905604719</v>
      </c>
      <c r="L142" s="425">
        <v>1195033</v>
      </c>
      <c r="M142" s="423">
        <v>104426</v>
      </c>
      <c r="N142" s="546">
        <f t="shared" si="28"/>
        <v>11.443826250167582</v>
      </c>
      <c r="O142" s="452"/>
      <c r="P142" s="355"/>
      <c r="Q142" s="66"/>
      <c r="R142" s="66"/>
      <c r="S142" s="66"/>
      <c r="T142" s="66"/>
    </row>
    <row r="143" spans="1:20" ht="15">
      <c r="A143" s="225">
        <v>139</v>
      </c>
      <c r="B143" s="545" t="s">
        <v>72</v>
      </c>
      <c r="C143" s="358">
        <v>40536</v>
      </c>
      <c r="D143" s="357" t="s">
        <v>23</v>
      </c>
      <c r="E143" s="359">
        <v>91</v>
      </c>
      <c r="F143" s="359">
        <v>3</v>
      </c>
      <c r="G143" s="359">
        <v>10</v>
      </c>
      <c r="H143" s="435">
        <v>1793</v>
      </c>
      <c r="I143" s="489">
        <v>426</v>
      </c>
      <c r="J143" s="466">
        <f t="shared" si="26"/>
        <v>142</v>
      </c>
      <c r="K143" s="436">
        <f t="shared" si="27"/>
        <v>4.208920187793427</v>
      </c>
      <c r="L143" s="437">
        <v>1199776</v>
      </c>
      <c r="M143" s="490">
        <v>105815</v>
      </c>
      <c r="N143" s="550">
        <f t="shared" si="28"/>
        <v>11.338430279260974</v>
      </c>
      <c r="O143" s="366"/>
      <c r="P143" s="355"/>
      <c r="Q143" s="66"/>
      <c r="R143" s="66"/>
      <c r="S143" s="66"/>
      <c r="T143" s="66"/>
    </row>
    <row r="144" spans="1:20" ht="15">
      <c r="A144" s="225">
        <v>140</v>
      </c>
      <c r="B144" s="545" t="s">
        <v>72</v>
      </c>
      <c r="C144" s="358">
        <v>40536</v>
      </c>
      <c r="D144" s="357" t="s">
        <v>23</v>
      </c>
      <c r="E144" s="359">
        <v>91</v>
      </c>
      <c r="F144" s="359">
        <v>1</v>
      </c>
      <c r="G144" s="359">
        <v>9</v>
      </c>
      <c r="H144" s="421">
        <v>1546</v>
      </c>
      <c r="I144" s="422">
        <v>759</v>
      </c>
      <c r="J144" s="414">
        <f t="shared" si="26"/>
        <v>759</v>
      </c>
      <c r="K144" s="424">
        <f t="shared" si="27"/>
        <v>2.036890645586298</v>
      </c>
      <c r="L144" s="425">
        <v>1197983</v>
      </c>
      <c r="M144" s="423">
        <v>105389</v>
      </c>
      <c r="N144" s="546">
        <f t="shared" si="28"/>
        <v>11.367248953875642</v>
      </c>
      <c r="O144" s="366"/>
      <c r="P144" s="355"/>
      <c r="Q144" s="66"/>
      <c r="R144" s="66"/>
      <c r="S144" s="66"/>
      <c r="T144" s="66"/>
    </row>
    <row r="145" spans="1:20" ht="15">
      <c r="A145" s="225">
        <v>141</v>
      </c>
      <c r="B145" s="531" t="s">
        <v>72</v>
      </c>
      <c r="C145" s="368">
        <v>40536</v>
      </c>
      <c r="D145" s="488" t="s">
        <v>23</v>
      </c>
      <c r="E145" s="369">
        <v>91</v>
      </c>
      <c r="F145" s="369">
        <v>1</v>
      </c>
      <c r="G145" s="369">
        <v>6</v>
      </c>
      <c r="H145" s="421">
        <v>901</v>
      </c>
      <c r="I145" s="422">
        <v>123</v>
      </c>
      <c r="J145" s="414">
        <f t="shared" si="26"/>
        <v>123</v>
      </c>
      <c r="K145" s="424">
        <f t="shared" si="27"/>
        <v>7.32520325203252</v>
      </c>
      <c r="L145" s="425">
        <v>1195880</v>
      </c>
      <c r="M145" s="423">
        <v>104549</v>
      </c>
      <c r="N145" s="541">
        <f t="shared" si="28"/>
        <v>11.438464260777243</v>
      </c>
      <c r="O145" s="373"/>
      <c r="P145" s="355"/>
      <c r="Q145" s="66"/>
      <c r="R145" s="66"/>
      <c r="S145" s="66"/>
      <c r="T145" s="66"/>
    </row>
    <row r="146" spans="1:20" ht="15">
      <c r="A146" s="225">
        <v>142</v>
      </c>
      <c r="B146" s="548" t="s">
        <v>72</v>
      </c>
      <c r="C146" s="453">
        <v>40536</v>
      </c>
      <c r="D146" s="454" t="s">
        <v>23</v>
      </c>
      <c r="E146" s="429">
        <v>91</v>
      </c>
      <c r="F146" s="429">
        <v>1</v>
      </c>
      <c r="G146" s="429">
        <v>8</v>
      </c>
      <c r="H146" s="430">
        <v>557</v>
      </c>
      <c r="I146" s="431">
        <v>81</v>
      </c>
      <c r="J146" s="432">
        <f t="shared" si="26"/>
        <v>81</v>
      </c>
      <c r="K146" s="433">
        <f t="shared" si="27"/>
        <v>6.8765432098765435</v>
      </c>
      <c r="L146" s="434">
        <v>1196437</v>
      </c>
      <c r="M146" s="432">
        <v>104630</v>
      </c>
      <c r="N146" s="549">
        <f t="shared" si="28"/>
        <v>11.43493261970754</v>
      </c>
      <c r="O146" s="408"/>
      <c r="P146" s="355"/>
      <c r="Q146" s="66"/>
      <c r="R146" s="66"/>
      <c r="S146" s="66"/>
      <c r="T146" s="66"/>
    </row>
    <row r="147" spans="1:20" ht="15">
      <c r="A147" s="225">
        <v>143</v>
      </c>
      <c r="B147" s="563" t="s">
        <v>123</v>
      </c>
      <c r="C147" s="477">
        <v>40193</v>
      </c>
      <c r="D147" s="357" t="s">
        <v>119</v>
      </c>
      <c r="E147" s="478">
        <v>55</v>
      </c>
      <c r="F147" s="478">
        <v>1</v>
      </c>
      <c r="G147" s="478">
        <v>29</v>
      </c>
      <c r="H147" s="360">
        <v>1782</v>
      </c>
      <c r="I147" s="361">
        <v>445</v>
      </c>
      <c r="J147" s="362">
        <f>(I147/F147)</f>
        <v>445</v>
      </c>
      <c r="K147" s="363">
        <f>H147/I147</f>
        <v>4.004494382022472</v>
      </c>
      <c r="L147" s="364">
        <f>197266+158498+94472.5+25746.5+5341+4975+4175+3550+3868+6158+8020+1277+951+3397+4599+198+566+1146+2247.5+174+31.5+2775.5+1188+735+2376+307+324+2613.5+1782</f>
        <v>538758</v>
      </c>
      <c r="M147" s="365">
        <f>19567+17056+12441+3194+866+909+697+693+818+1478+1988+298+238+832+1154+55+212+207+411+57+12+610+297+71+594+46+71+653+445</f>
        <v>65970</v>
      </c>
      <c r="N147" s="532">
        <f>L147/M147</f>
        <v>8.166712141882673</v>
      </c>
      <c r="O147" s="373"/>
      <c r="P147" s="355"/>
      <c r="Q147" s="66"/>
      <c r="R147" s="66"/>
      <c r="S147" s="66"/>
      <c r="T147" s="66"/>
    </row>
    <row r="148" spans="1:20" ht="15">
      <c r="A148" s="225">
        <v>144</v>
      </c>
      <c r="B148" s="564" t="s">
        <v>123</v>
      </c>
      <c r="C148" s="491">
        <v>40193</v>
      </c>
      <c r="D148" s="357" t="s">
        <v>119</v>
      </c>
      <c r="E148" s="492">
        <v>55</v>
      </c>
      <c r="F148" s="492">
        <v>1</v>
      </c>
      <c r="G148" s="492">
        <v>30</v>
      </c>
      <c r="H148" s="360">
        <v>1782</v>
      </c>
      <c r="I148" s="361">
        <v>445</v>
      </c>
      <c r="J148" s="362">
        <f>(I148/F148)</f>
        <v>445</v>
      </c>
      <c r="K148" s="363">
        <f>H148/I148</f>
        <v>4.004494382022472</v>
      </c>
      <c r="L148" s="364">
        <f>197266+158498+94472.5+25746.5+5341+4975+4175+3550+3868+6158+8020+1277+951+3397+4599+198+566+1146+2247.5+174+31.5+2775.5+1188+735+2376+307+324+2613.5+1782+1782</f>
        <v>540540</v>
      </c>
      <c r="M148" s="365">
        <f>19567+17056+12441+3194+866+909+697+693+818+1478+1988+298+238+832+1154+55+212+207+411+57+12+610+297+71+594+46+71+653+445+445</f>
        <v>66415</v>
      </c>
      <c r="N148" s="532">
        <f>L148/M148</f>
        <v>8.138824060829633</v>
      </c>
      <c r="O148" s="408"/>
      <c r="P148" s="355"/>
      <c r="Q148" s="66"/>
      <c r="R148" s="66"/>
      <c r="S148" s="66"/>
      <c r="T148" s="66"/>
    </row>
    <row r="149" spans="1:20" ht="15">
      <c r="A149" s="225">
        <v>145</v>
      </c>
      <c r="B149" s="533" t="s">
        <v>126</v>
      </c>
      <c r="C149" s="368">
        <v>40312</v>
      </c>
      <c r="D149" s="357" t="s">
        <v>119</v>
      </c>
      <c r="E149" s="369">
        <v>8</v>
      </c>
      <c r="F149" s="369">
        <v>1</v>
      </c>
      <c r="G149" s="369">
        <v>18</v>
      </c>
      <c r="H149" s="360">
        <v>1188</v>
      </c>
      <c r="I149" s="361">
        <v>297</v>
      </c>
      <c r="J149" s="362">
        <f>(I149/F149)</f>
        <v>297</v>
      </c>
      <c r="K149" s="363">
        <f>H149/I149</f>
        <v>4</v>
      </c>
      <c r="L149" s="364">
        <f>41764.5+663+13.5+1901+220.5+1188</f>
        <v>45750.5</v>
      </c>
      <c r="M149" s="365">
        <f>4847+89+1+475+63+297</f>
        <v>5772</v>
      </c>
      <c r="N149" s="532">
        <f>L149/M149</f>
        <v>7.926282051282051</v>
      </c>
      <c r="O149" s="373"/>
      <c r="P149" s="355"/>
      <c r="Q149" s="66"/>
      <c r="R149" s="66"/>
      <c r="S149" s="66"/>
      <c r="T149" s="66"/>
    </row>
    <row r="150" spans="1:20" ht="15">
      <c r="A150" s="225">
        <v>146</v>
      </c>
      <c r="B150" s="547" t="s">
        <v>61</v>
      </c>
      <c r="C150" s="368">
        <v>40515</v>
      </c>
      <c r="D150" s="451" t="s">
        <v>23</v>
      </c>
      <c r="E150" s="369">
        <v>122</v>
      </c>
      <c r="F150" s="369">
        <v>7</v>
      </c>
      <c r="G150" s="369">
        <v>4</v>
      </c>
      <c r="H150" s="435">
        <v>4679</v>
      </c>
      <c r="I150" s="422">
        <v>723</v>
      </c>
      <c r="J150" s="414">
        <f>I150/F150</f>
        <v>103.28571428571429</v>
      </c>
      <c r="K150" s="436">
        <f>+H150/I150</f>
        <v>6.4716459197787</v>
      </c>
      <c r="L150" s="437">
        <v>611175</v>
      </c>
      <c r="M150" s="423">
        <v>72305</v>
      </c>
      <c r="N150" s="550">
        <f>+L150/M150</f>
        <v>8.452734942258488</v>
      </c>
      <c r="O150" s="388">
        <v>1</v>
      </c>
      <c r="P150" s="355"/>
      <c r="Q150" s="66"/>
      <c r="R150" s="66"/>
      <c r="S150" s="66"/>
      <c r="T150" s="66"/>
    </row>
    <row r="151" spans="1:20" ht="15">
      <c r="A151" s="225">
        <v>147</v>
      </c>
      <c r="B151" s="531" t="s">
        <v>181</v>
      </c>
      <c r="C151" s="368">
        <v>40515</v>
      </c>
      <c r="D151" s="488" t="s">
        <v>23</v>
      </c>
      <c r="E151" s="369">
        <v>122</v>
      </c>
      <c r="F151" s="369">
        <v>1</v>
      </c>
      <c r="G151" s="369">
        <v>13</v>
      </c>
      <c r="H151" s="425">
        <v>519</v>
      </c>
      <c r="I151" s="414">
        <v>74</v>
      </c>
      <c r="J151" s="414">
        <f>I151/F151</f>
        <v>74</v>
      </c>
      <c r="K151" s="424">
        <f>+H151/I151</f>
        <v>7.013513513513513</v>
      </c>
      <c r="L151" s="425">
        <v>613786</v>
      </c>
      <c r="M151" s="423">
        <v>73223</v>
      </c>
      <c r="N151" s="546">
        <f>+L151/M151</f>
        <v>8.382420824058014</v>
      </c>
      <c r="O151" s="452">
        <v>1</v>
      </c>
      <c r="P151" s="355"/>
      <c r="Q151" s="66"/>
      <c r="R151" s="66"/>
      <c r="S151" s="66"/>
      <c r="T151" s="66"/>
    </row>
    <row r="152" spans="1:20" ht="15">
      <c r="A152" s="225">
        <v>148</v>
      </c>
      <c r="B152" s="531" t="s">
        <v>61</v>
      </c>
      <c r="C152" s="368">
        <v>40515</v>
      </c>
      <c r="D152" s="451" t="s">
        <v>23</v>
      </c>
      <c r="E152" s="369">
        <v>122</v>
      </c>
      <c r="F152" s="369">
        <v>2</v>
      </c>
      <c r="G152" s="369">
        <v>5</v>
      </c>
      <c r="H152" s="421">
        <v>474</v>
      </c>
      <c r="I152" s="422">
        <v>70</v>
      </c>
      <c r="J152" s="414">
        <f>I152/F152</f>
        <v>35</v>
      </c>
      <c r="K152" s="424">
        <f>+H152/I152</f>
        <v>6.771428571428571</v>
      </c>
      <c r="L152" s="425">
        <v>611649</v>
      </c>
      <c r="M152" s="423">
        <v>72375</v>
      </c>
      <c r="N152" s="546">
        <f>+L152/M152</f>
        <v>8.451108808290156</v>
      </c>
      <c r="O152" s="452">
        <v>1</v>
      </c>
      <c r="P152" s="355"/>
      <c r="Q152" s="66"/>
      <c r="R152" s="66"/>
      <c r="S152" s="66"/>
      <c r="T152" s="66"/>
    </row>
    <row r="153" spans="1:20" ht="15">
      <c r="A153" s="225">
        <v>149</v>
      </c>
      <c r="B153" s="565" t="s">
        <v>61</v>
      </c>
      <c r="C153" s="501">
        <v>40515</v>
      </c>
      <c r="D153" s="502" t="s">
        <v>23</v>
      </c>
      <c r="E153" s="503">
        <v>122</v>
      </c>
      <c r="F153" s="503">
        <v>1</v>
      </c>
      <c r="G153" s="503">
        <v>14</v>
      </c>
      <c r="H153" s="504">
        <v>147</v>
      </c>
      <c r="I153" s="505">
        <v>21</v>
      </c>
      <c r="J153" s="506">
        <f>I153/F153</f>
        <v>21</v>
      </c>
      <c r="K153" s="507">
        <f>+H153/I153</f>
        <v>7</v>
      </c>
      <c r="L153" s="508">
        <v>613933</v>
      </c>
      <c r="M153" s="509">
        <v>73244</v>
      </c>
      <c r="N153" s="566">
        <f>+L153/M153</f>
        <v>8.382024466167877</v>
      </c>
      <c r="O153" s="586">
        <v>1</v>
      </c>
      <c r="P153" s="355"/>
      <c r="Q153" s="66"/>
      <c r="R153" s="66"/>
      <c r="S153" s="66"/>
      <c r="T153" s="66"/>
    </row>
    <row r="154" spans="1:20" ht="15">
      <c r="A154" s="225">
        <v>150</v>
      </c>
      <c r="B154" s="535" t="s">
        <v>111</v>
      </c>
      <c r="C154" s="379">
        <v>40389</v>
      </c>
      <c r="D154" s="357" t="s">
        <v>119</v>
      </c>
      <c r="E154" s="380">
        <v>19</v>
      </c>
      <c r="F154" s="380">
        <v>1</v>
      </c>
      <c r="G154" s="380">
        <v>13</v>
      </c>
      <c r="H154" s="381">
        <v>1307</v>
      </c>
      <c r="I154" s="382">
        <v>327</v>
      </c>
      <c r="J154" s="383">
        <f>(I154/F154)</f>
        <v>327</v>
      </c>
      <c r="K154" s="384">
        <f>H154/I154</f>
        <v>3.996941896024465</v>
      </c>
      <c r="L154" s="385">
        <f>69032+15425.5+9802+4755.5+7049.5+3610.5+8536+6024.5+2322+245+405.5+1307</f>
        <v>128515</v>
      </c>
      <c r="M154" s="386">
        <f>5509+1589+1417+704+842+602+1038+829+323+37+46+327</f>
        <v>13263</v>
      </c>
      <c r="N154" s="536">
        <f>L154/M154</f>
        <v>9.68973836990123</v>
      </c>
      <c r="O154" s="387"/>
      <c r="P154" s="355"/>
      <c r="Q154" s="66"/>
      <c r="R154" s="66"/>
      <c r="S154" s="66"/>
      <c r="T154" s="66"/>
    </row>
    <row r="155" spans="1:20" ht="15">
      <c r="A155" s="225">
        <v>151</v>
      </c>
      <c r="B155" s="551" t="s">
        <v>11</v>
      </c>
      <c r="C155" s="390">
        <v>40459</v>
      </c>
      <c r="D155" s="473" t="s">
        <v>27</v>
      </c>
      <c r="E155" s="403">
        <v>50</v>
      </c>
      <c r="F155" s="403">
        <v>5</v>
      </c>
      <c r="G155" s="403">
        <v>13</v>
      </c>
      <c r="H155" s="474">
        <v>4218</v>
      </c>
      <c r="I155" s="468">
        <v>597</v>
      </c>
      <c r="J155" s="411">
        <f>+I155/F155</f>
        <v>119.4</v>
      </c>
      <c r="K155" s="416">
        <f>+H155/I155</f>
        <v>7.065326633165829</v>
      </c>
      <c r="L155" s="475">
        <v>377106</v>
      </c>
      <c r="M155" s="471">
        <v>34343</v>
      </c>
      <c r="N155" s="544">
        <f>+L155/M155</f>
        <v>10.980578283784178</v>
      </c>
      <c r="O155" s="373"/>
      <c r="P155" s="355"/>
      <c r="Q155" s="66"/>
      <c r="R155" s="66"/>
      <c r="S155" s="66"/>
      <c r="T155" s="66"/>
    </row>
    <row r="156" spans="1:20" ht="15">
      <c r="A156" s="225">
        <v>152</v>
      </c>
      <c r="B156" s="542" t="s">
        <v>11</v>
      </c>
      <c r="C156" s="390">
        <v>40459</v>
      </c>
      <c r="D156" s="473" t="s">
        <v>27</v>
      </c>
      <c r="E156" s="403">
        <v>50</v>
      </c>
      <c r="F156" s="403">
        <v>1</v>
      </c>
      <c r="G156" s="403">
        <v>14</v>
      </c>
      <c r="H156" s="467">
        <v>62</v>
      </c>
      <c r="I156" s="468">
        <v>10</v>
      </c>
      <c r="J156" s="411">
        <f>+I156/F156</f>
        <v>10</v>
      </c>
      <c r="K156" s="412">
        <f>+H156/I156</f>
        <v>6.2</v>
      </c>
      <c r="L156" s="470">
        <v>377168</v>
      </c>
      <c r="M156" s="471">
        <v>34353</v>
      </c>
      <c r="N156" s="543">
        <f>+L156/M156</f>
        <v>10.979186679474864</v>
      </c>
      <c r="O156" s="388"/>
      <c r="P156" s="355"/>
      <c r="Q156" s="66"/>
      <c r="R156" s="66"/>
      <c r="S156" s="66"/>
      <c r="T156" s="66"/>
    </row>
    <row r="157" spans="1:20" ht="15">
      <c r="A157" s="225">
        <v>153</v>
      </c>
      <c r="B157" s="533" t="s">
        <v>80</v>
      </c>
      <c r="C157" s="368">
        <v>40480</v>
      </c>
      <c r="D157" s="367" t="s">
        <v>26</v>
      </c>
      <c r="E157" s="369">
        <v>135</v>
      </c>
      <c r="F157" s="369">
        <v>5</v>
      </c>
      <c r="G157" s="369">
        <v>10</v>
      </c>
      <c r="H157" s="435">
        <v>604</v>
      </c>
      <c r="I157" s="422">
        <v>91</v>
      </c>
      <c r="J157" s="411">
        <f>IF(H157&lt;&gt;0,I157/F157,"")</f>
        <v>18.2</v>
      </c>
      <c r="K157" s="416">
        <f>IF(H157&lt;&gt;0,H157/I157,"")</f>
        <v>6.637362637362638</v>
      </c>
      <c r="L157" s="437">
        <f>151771.5+44278.5+20156+4831.5+5960.5+2697+3743.5+81+2518+2320+604</f>
        <v>238961.5</v>
      </c>
      <c r="M157" s="414">
        <f>19003+7410+3277+795+995+475+746+11+433+386+91</f>
        <v>33622</v>
      </c>
      <c r="N157" s="544">
        <f>IF(L157&lt;&gt;0,L157/M157,"")</f>
        <v>7.107295818214264</v>
      </c>
      <c r="O157" s="388">
        <v>1</v>
      </c>
      <c r="P157" s="355"/>
      <c r="Q157" s="66"/>
      <c r="R157" s="66"/>
      <c r="S157" s="66"/>
      <c r="T157" s="66"/>
    </row>
    <row r="158" spans="1:20" ht="15">
      <c r="A158" s="225">
        <v>154</v>
      </c>
      <c r="B158" s="531" t="s">
        <v>80</v>
      </c>
      <c r="C158" s="368">
        <v>40480</v>
      </c>
      <c r="D158" s="367" t="s">
        <v>26</v>
      </c>
      <c r="E158" s="369">
        <v>135</v>
      </c>
      <c r="F158" s="369">
        <v>1</v>
      </c>
      <c r="G158" s="369">
        <v>11</v>
      </c>
      <c r="H158" s="421">
        <v>265</v>
      </c>
      <c r="I158" s="422">
        <v>52</v>
      </c>
      <c r="J158" s="414">
        <f>I158/F158</f>
        <v>52</v>
      </c>
      <c r="K158" s="424">
        <f>H158/I158</f>
        <v>5.096153846153846</v>
      </c>
      <c r="L158" s="425">
        <f>151771.5+44278.5+20156+4831.5+5960.5+2697+3743.5+81+2518+2320+604+265</f>
        <v>239226.5</v>
      </c>
      <c r="M158" s="414">
        <f>19003+7410+3277+795+995+475+746+11+433+386+91+52</f>
        <v>33674</v>
      </c>
      <c r="N158" s="546">
        <f>L158/M158</f>
        <v>7.10419017639722</v>
      </c>
      <c r="O158" s="388">
        <v>1</v>
      </c>
      <c r="P158" s="355"/>
      <c r="Q158" s="66"/>
      <c r="R158" s="66"/>
      <c r="S158" s="66"/>
      <c r="T158" s="66"/>
    </row>
    <row r="159" spans="1:20" ht="15">
      <c r="A159" s="225">
        <v>155</v>
      </c>
      <c r="B159" s="551" t="s">
        <v>75</v>
      </c>
      <c r="C159" s="390">
        <v>40487</v>
      </c>
      <c r="D159" s="473" t="s">
        <v>27</v>
      </c>
      <c r="E159" s="403">
        <v>312</v>
      </c>
      <c r="F159" s="403">
        <v>86</v>
      </c>
      <c r="G159" s="403">
        <v>9</v>
      </c>
      <c r="H159" s="474">
        <v>125458</v>
      </c>
      <c r="I159" s="468">
        <v>15869</v>
      </c>
      <c r="J159" s="411">
        <f>+I159/F159</f>
        <v>184.52325581395348</v>
      </c>
      <c r="K159" s="416">
        <f>+H159/I159</f>
        <v>7.90585418110782</v>
      </c>
      <c r="L159" s="475">
        <v>31622053</v>
      </c>
      <c r="M159" s="471">
        <v>3470958</v>
      </c>
      <c r="N159" s="544">
        <f>+L159/M159</f>
        <v>9.110468349084028</v>
      </c>
      <c r="O159" s="388">
        <v>1</v>
      </c>
      <c r="P159" s="355"/>
      <c r="Q159" s="66"/>
      <c r="R159" s="66"/>
      <c r="S159" s="66"/>
      <c r="T159" s="66"/>
    </row>
    <row r="160" spans="1:20" ht="15">
      <c r="A160" s="225">
        <v>156</v>
      </c>
      <c r="B160" s="542" t="s">
        <v>91</v>
      </c>
      <c r="C160" s="390">
        <v>40487</v>
      </c>
      <c r="D160" s="473" t="s">
        <v>27</v>
      </c>
      <c r="E160" s="403">
        <v>312</v>
      </c>
      <c r="F160" s="403">
        <v>19</v>
      </c>
      <c r="G160" s="403">
        <v>10</v>
      </c>
      <c r="H160" s="467">
        <v>12589</v>
      </c>
      <c r="I160" s="468">
        <v>1965</v>
      </c>
      <c r="J160" s="411">
        <f>+I160/F160</f>
        <v>103.42105263157895</v>
      </c>
      <c r="K160" s="412">
        <f>+H160/I160</f>
        <v>6.406615776081425</v>
      </c>
      <c r="L160" s="470">
        <v>31634642</v>
      </c>
      <c r="M160" s="471">
        <v>3472923</v>
      </c>
      <c r="N160" s="543">
        <f>+L160/M160</f>
        <v>9.108938493597469</v>
      </c>
      <c r="O160" s="388">
        <v>1</v>
      </c>
      <c r="P160" s="355"/>
      <c r="Q160" s="66"/>
      <c r="R160" s="66"/>
      <c r="S160" s="66"/>
      <c r="T160" s="66"/>
    </row>
    <row r="161" spans="1:20" ht="15">
      <c r="A161" s="225">
        <v>157</v>
      </c>
      <c r="B161" s="542" t="s">
        <v>91</v>
      </c>
      <c r="C161" s="390">
        <v>40487</v>
      </c>
      <c r="D161" s="402" t="s">
        <v>27</v>
      </c>
      <c r="E161" s="403">
        <v>312</v>
      </c>
      <c r="F161" s="403">
        <v>12</v>
      </c>
      <c r="G161" s="403">
        <v>11</v>
      </c>
      <c r="H161" s="467">
        <v>5621</v>
      </c>
      <c r="I161" s="468">
        <v>841</v>
      </c>
      <c r="J161" s="411">
        <f>+I161/F161</f>
        <v>70.08333333333333</v>
      </c>
      <c r="K161" s="412">
        <f>+H161/I161</f>
        <v>6.683709869203329</v>
      </c>
      <c r="L161" s="470">
        <v>31640263</v>
      </c>
      <c r="M161" s="471">
        <v>3473764</v>
      </c>
      <c r="N161" s="543">
        <f>+L161/M161</f>
        <v>9.108351344535784</v>
      </c>
      <c r="O161" s="366">
        <v>1</v>
      </c>
      <c r="P161" s="355"/>
      <c r="Q161" s="66"/>
      <c r="R161" s="66"/>
      <c r="S161" s="66"/>
      <c r="T161" s="66"/>
    </row>
    <row r="162" spans="1:20" ht="15">
      <c r="A162" s="225">
        <v>158</v>
      </c>
      <c r="B162" s="551" t="s">
        <v>75</v>
      </c>
      <c r="C162" s="390">
        <v>40487</v>
      </c>
      <c r="D162" s="472" t="s">
        <v>27</v>
      </c>
      <c r="E162" s="403">
        <v>312</v>
      </c>
      <c r="F162" s="403">
        <v>7</v>
      </c>
      <c r="G162" s="403">
        <v>12</v>
      </c>
      <c r="H162" s="467">
        <v>4990</v>
      </c>
      <c r="I162" s="468">
        <v>695</v>
      </c>
      <c r="J162" s="362">
        <f>(I162/F162)</f>
        <v>99.28571428571429</v>
      </c>
      <c r="K162" s="363">
        <f>H162/I162</f>
        <v>7.179856115107913</v>
      </c>
      <c r="L162" s="470">
        <v>31645253</v>
      </c>
      <c r="M162" s="471">
        <v>3474459</v>
      </c>
      <c r="N162" s="532">
        <f>L162/M162</f>
        <v>9.107965585433588</v>
      </c>
      <c r="O162" s="373">
        <v>1</v>
      </c>
      <c r="P162" s="355"/>
      <c r="Q162" s="66"/>
      <c r="R162" s="66"/>
      <c r="S162" s="66"/>
      <c r="T162" s="66"/>
    </row>
    <row r="163" spans="1:20" ht="15">
      <c r="A163" s="225">
        <v>159</v>
      </c>
      <c r="B163" s="537" t="s">
        <v>169</v>
      </c>
      <c r="C163" s="358">
        <v>40473</v>
      </c>
      <c r="D163" s="357" t="s">
        <v>26</v>
      </c>
      <c r="E163" s="359">
        <v>36</v>
      </c>
      <c r="F163" s="359">
        <v>1</v>
      </c>
      <c r="G163" s="359">
        <v>9</v>
      </c>
      <c r="H163" s="435">
        <v>926</v>
      </c>
      <c r="I163" s="489">
        <v>136</v>
      </c>
      <c r="J163" s="465">
        <f>+I163/F163</f>
        <v>136</v>
      </c>
      <c r="K163" s="416">
        <f>+H163/I163</f>
        <v>6.8088235294117645</v>
      </c>
      <c r="L163" s="437">
        <f>34961.5+23009.5+1351+805+533+530+156+172+926</f>
        <v>62444</v>
      </c>
      <c r="M163" s="466">
        <f>4408+3132+214+122+62+78+26+27+136</f>
        <v>8205</v>
      </c>
      <c r="N163" s="544">
        <f>+L163/M163</f>
        <v>7.61048141377209</v>
      </c>
      <c r="O163" s="366">
        <v>1</v>
      </c>
      <c r="P163" s="355"/>
      <c r="Q163" s="66"/>
      <c r="R163" s="66"/>
      <c r="S163" s="66"/>
      <c r="T163" s="66"/>
    </row>
    <row r="164" spans="1:20" ht="15">
      <c r="A164" s="225">
        <v>160</v>
      </c>
      <c r="B164" s="533" t="s">
        <v>82</v>
      </c>
      <c r="C164" s="368">
        <v>40473</v>
      </c>
      <c r="D164" s="367" t="s">
        <v>26</v>
      </c>
      <c r="E164" s="369">
        <v>36</v>
      </c>
      <c r="F164" s="369">
        <v>1</v>
      </c>
      <c r="G164" s="369">
        <v>8</v>
      </c>
      <c r="H164" s="435">
        <v>172</v>
      </c>
      <c r="I164" s="422">
        <v>27</v>
      </c>
      <c r="J164" s="411">
        <f>IF(H164&lt;&gt;0,I164/F164,"")</f>
        <v>27</v>
      </c>
      <c r="K164" s="416">
        <f>IF(H164&lt;&gt;0,H164/I164,"")</f>
        <v>6.37037037037037</v>
      </c>
      <c r="L164" s="437">
        <f>34961.5+23009.5+1351+805+533+530+156+172</f>
        <v>61518</v>
      </c>
      <c r="M164" s="414">
        <f>4408+3132+214+122+62+78+26+27</f>
        <v>8069</v>
      </c>
      <c r="N164" s="544">
        <f>IF(L164&lt;&gt;0,L164/M164,"")</f>
        <v>7.6239930598587184</v>
      </c>
      <c r="O164" s="373"/>
      <c r="P164" s="355"/>
      <c r="Q164" s="66"/>
      <c r="R164" s="66"/>
      <c r="S164" s="66"/>
      <c r="T164" s="66"/>
    </row>
    <row r="165" spans="1:20" ht="15">
      <c r="A165" s="225">
        <v>161</v>
      </c>
      <c r="B165" s="531" t="s">
        <v>179</v>
      </c>
      <c r="C165" s="368">
        <v>40102</v>
      </c>
      <c r="D165" s="374" t="s">
        <v>119</v>
      </c>
      <c r="E165" s="369">
        <v>9</v>
      </c>
      <c r="F165" s="369">
        <v>1</v>
      </c>
      <c r="G165" s="369">
        <v>11</v>
      </c>
      <c r="H165" s="364">
        <v>1500</v>
      </c>
      <c r="I165" s="365">
        <v>150</v>
      </c>
      <c r="J165" s="362">
        <f aca="true" t="shared" si="29" ref="J165:J177">(I165/F165)</f>
        <v>150</v>
      </c>
      <c r="K165" s="363">
        <f aca="true" t="shared" si="30" ref="K165:K177">H165/I165</f>
        <v>10</v>
      </c>
      <c r="L165" s="364">
        <f>140093+133065.5+53545.5+8843.5+1143.5+938+558+224+456+4065+1500</f>
        <v>344432</v>
      </c>
      <c r="M165" s="365">
        <f>10984+10700+4415+806+91+134+57+28+33+335+150</f>
        <v>27733</v>
      </c>
      <c r="N165" s="532">
        <f aca="true" t="shared" si="31" ref="N165:N177">L165/M165</f>
        <v>12.419572350629215</v>
      </c>
      <c r="O165" s="388"/>
      <c r="P165" s="355"/>
      <c r="Q165" s="66"/>
      <c r="R165" s="66"/>
      <c r="S165" s="66"/>
      <c r="T165" s="66"/>
    </row>
    <row r="166" spans="1:20" ht="15">
      <c r="A166" s="225">
        <v>162</v>
      </c>
      <c r="B166" s="531" t="s">
        <v>179</v>
      </c>
      <c r="C166" s="368">
        <v>40102</v>
      </c>
      <c r="D166" s="374" t="s">
        <v>119</v>
      </c>
      <c r="E166" s="369">
        <v>9</v>
      </c>
      <c r="F166" s="369">
        <v>1</v>
      </c>
      <c r="G166" s="369">
        <v>12</v>
      </c>
      <c r="H166" s="360">
        <v>670</v>
      </c>
      <c r="I166" s="361">
        <v>67</v>
      </c>
      <c r="J166" s="362">
        <f t="shared" si="29"/>
        <v>67</v>
      </c>
      <c r="K166" s="363">
        <f t="shared" si="30"/>
        <v>10</v>
      </c>
      <c r="L166" s="364">
        <f>140093+133065.5+53545.5+8843.5+1143.5+938+558+224+456+4065+1500+670</f>
        <v>345102</v>
      </c>
      <c r="M166" s="365">
        <f>10984+10700+4415+806+91+134+57+28+33+335+150+67</f>
        <v>27800</v>
      </c>
      <c r="N166" s="532">
        <f t="shared" si="31"/>
        <v>12.413741007194245</v>
      </c>
      <c r="O166" s="586"/>
      <c r="P166" s="355"/>
      <c r="Q166" s="66"/>
      <c r="R166" s="66"/>
      <c r="S166" s="66"/>
      <c r="T166" s="66"/>
    </row>
    <row r="167" spans="1:20" ht="15">
      <c r="A167" s="225">
        <v>163</v>
      </c>
      <c r="B167" s="533" t="s">
        <v>19</v>
      </c>
      <c r="C167" s="368">
        <v>40515</v>
      </c>
      <c r="D167" s="357" t="s">
        <v>119</v>
      </c>
      <c r="E167" s="369">
        <v>62</v>
      </c>
      <c r="F167" s="369">
        <v>62</v>
      </c>
      <c r="G167" s="369">
        <v>5</v>
      </c>
      <c r="H167" s="370">
        <v>47812</v>
      </c>
      <c r="I167" s="361">
        <v>7581</v>
      </c>
      <c r="J167" s="362">
        <f t="shared" si="29"/>
        <v>122.2741935483871</v>
      </c>
      <c r="K167" s="371">
        <f t="shared" si="30"/>
        <v>6.3068196807809</v>
      </c>
      <c r="L167" s="372">
        <f>353151+191248+132731.5+71376+47812</f>
        <v>796318.5</v>
      </c>
      <c r="M167" s="365">
        <f>34650+19352+14525+10591+7581</f>
        <v>86699</v>
      </c>
      <c r="N167" s="534">
        <f t="shared" si="31"/>
        <v>9.184863723918385</v>
      </c>
      <c r="O167" s="373">
        <v>1</v>
      </c>
      <c r="P167" s="355"/>
      <c r="Q167" s="66"/>
      <c r="R167" s="66"/>
      <c r="S167" s="66"/>
      <c r="T167" s="66"/>
    </row>
    <row r="168" spans="1:20" ht="15">
      <c r="A168" s="225">
        <v>164</v>
      </c>
      <c r="B168" s="537" t="s">
        <v>19</v>
      </c>
      <c r="C168" s="368">
        <v>40515</v>
      </c>
      <c r="D168" s="357" t="s">
        <v>119</v>
      </c>
      <c r="E168" s="359">
        <v>62</v>
      </c>
      <c r="F168" s="359">
        <v>28</v>
      </c>
      <c r="G168" s="359">
        <v>10</v>
      </c>
      <c r="H168" s="360">
        <v>42312</v>
      </c>
      <c r="I168" s="361">
        <v>6589</v>
      </c>
      <c r="J168" s="362">
        <f t="shared" si="29"/>
        <v>235.32142857142858</v>
      </c>
      <c r="K168" s="363">
        <f t="shared" si="30"/>
        <v>6.421611777204432</v>
      </c>
      <c r="L168" s="364">
        <f>353151+191248+132731.5+71376+47862+26248.5+19265+34650.5+35095.5+42312</f>
        <v>953940</v>
      </c>
      <c r="M168" s="365">
        <f>34650+19352+14525+10591+7581+5012+3223+6065+6865+6589</f>
        <v>114453</v>
      </c>
      <c r="N168" s="532">
        <f t="shared" si="31"/>
        <v>8.334774973133076</v>
      </c>
      <c r="O168" s="375"/>
      <c r="P168" s="355"/>
      <c r="Q168" s="66"/>
      <c r="R168" s="66"/>
      <c r="S168" s="66"/>
      <c r="T168" s="66"/>
    </row>
    <row r="169" spans="1:20" ht="15">
      <c r="A169" s="225">
        <v>165</v>
      </c>
      <c r="B169" s="531" t="s">
        <v>19</v>
      </c>
      <c r="C169" s="368">
        <v>40515</v>
      </c>
      <c r="D169" s="357" t="s">
        <v>119</v>
      </c>
      <c r="E169" s="369">
        <v>62</v>
      </c>
      <c r="F169" s="369">
        <v>37</v>
      </c>
      <c r="G169" s="369">
        <v>9</v>
      </c>
      <c r="H169" s="360">
        <v>35095.5</v>
      </c>
      <c r="I169" s="361">
        <v>6865</v>
      </c>
      <c r="J169" s="362">
        <f t="shared" si="29"/>
        <v>185.54054054054055</v>
      </c>
      <c r="K169" s="363">
        <f t="shared" si="30"/>
        <v>5.112235979606701</v>
      </c>
      <c r="L169" s="364">
        <f>353151+191248+132731.5+71376+47862+26248.5+19265+34650.5+35095.5</f>
        <v>911628</v>
      </c>
      <c r="M169" s="365">
        <f>34650+19352+14525+10591+7581+5012+3223+6065+6865</f>
        <v>107864</v>
      </c>
      <c r="N169" s="532">
        <f t="shared" si="31"/>
        <v>8.451642809463769</v>
      </c>
      <c r="O169" s="373"/>
      <c r="P169" s="355"/>
      <c r="Q169" s="66"/>
      <c r="R169" s="66"/>
      <c r="S169" s="66"/>
      <c r="T169" s="66"/>
    </row>
    <row r="170" spans="1:20" ht="15">
      <c r="A170" s="225">
        <v>166</v>
      </c>
      <c r="B170" s="533" t="s">
        <v>19</v>
      </c>
      <c r="C170" s="368">
        <v>40515</v>
      </c>
      <c r="D170" s="357" t="s">
        <v>119</v>
      </c>
      <c r="E170" s="369">
        <v>62</v>
      </c>
      <c r="F170" s="369">
        <v>36</v>
      </c>
      <c r="G170" s="369">
        <v>8</v>
      </c>
      <c r="H170" s="360">
        <v>34650.5</v>
      </c>
      <c r="I170" s="361">
        <v>6065</v>
      </c>
      <c r="J170" s="362">
        <f t="shared" si="29"/>
        <v>168.47222222222223</v>
      </c>
      <c r="K170" s="363">
        <f t="shared" si="30"/>
        <v>5.713190436933224</v>
      </c>
      <c r="L170" s="364">
        <f>353151+191248+132731.5+71376+47862+26248.5+19265+34650.5</f>
        <v>876532.5</v>
      </c>
      <c r="M170" s="365">
        <f>34650+19352+14525+10591+7581+5012+3223+6065</f>
        <v>100999</v>
      </c>
      <c r="N170" s="532">
        <f t="shared" si="31"/>
        <v>8.678625530945851</v>
      </c>
      <c r="O170" s="373"/>
      <c r="P170" s="355"/>
      <c r="Q170" s="66"/>
      <c r="R170" s="66"/>
      <c r="S170" s="66"/>
      <c r="T170" s="66"/>
    </row>
    <row r="171" spans="1:20" ht="15">
      <c r="A171" s="225">
        <v>167</v>
      </c>
      <c r="B171" s="531" t="s">
        <v>19</v>
      </c>
      <c r="C171" s="368">
        <v>40515</v>
      </c>
      <c r="D171" s="357" t="s">
        <v>119</v>
      </c>
      <c r="E171" s="369">
        <v>62</v>
      </c>
      <c r="F171" s="369">
        <v>42</v>
      </c>
      <c r="G171" s="369">
        <v>6</v>
      </c>
      <c r="H171" s="360">
        <v>26248.5</v>
      </c>
      <c r="I171" s="361">
        <v>5012</v>
      </c>
      <c r="J171" s="362">
        <f t="shared" si="29"/>
        <v>119.33333333333333</v>
      </c>
      <c r="K171" s="363">
        <f t="shared" si="30"/>
        <v>5.237130885873903</v>
      </c>
      <c r="L171" s="364">
        <f>353151+191248+132731.5+71376+47862+26248.5</f>
        <v>822617</v>
      </c>
      <c r="M171" s="365">
        <f>34650+19352+14525+10591+7581+5012</f>
        <v>91711</v>
      </c>
      <c r="N171" s="532">
        <f t="shared" si="31"/>
        <v>8.96966557991953</v>
      </c>
      <c r="O171" s="450"/>
      <c r="P171" s="355"/>
      <c r="Q171" s="66"/>
      <c r="R171" s="66"/>
      <c r="S171" s="66"/>
      <c r="T171" s="66"/>
    </row>
    <row r="172" spans="1:20" ht="15">
      <c r="A172" s="225">
        <v>168</v>
      </c>
      <c r="B172" s="535" t="s">
        <v>19</v>
      </c>
      <c r="C172" s="379">
        <v>40515</v>
      </c>
      <c r="D172" s="357" t="s">
        <v>119</v>
      </c>
      <c r="E172" s="380">
        <v>62</v>
      </c>
      <c r="F172" s="380">
        <v>26</v>
      </c>
      <c r="G172" s="380">
        <v>11</v>
      </c>
      <c r="H172" s="381">
        <v>25849</v>
      </c>
      <c r="I172" s="382">
        <v>3930</v>
      </c>
      <c r="J172" s="383">
        <f t="shared" si="29"/>
        <v>151.15384615384616</v>
      </c>
      <c r="K172" s="384">
        <f t="shared" si="30"/>
        <v>6.57735368956743</v>
      </c>
      <c r="L172" s="385">
        <f>353151+191248+132731.5+71376+47862+26248.5+19265+34650.5+35095.5+42312+25849</f>
        <v>979789</v>
      </c>
      <c r="M172" s="386">
        <f>34650+19352+14525+10591+7581+5012+3223+6065+6865+6589+3930</f>
        <v>118383</v>
      </c>
      <c r="N172" s="536">
        <f t="shared" si="31"/>
        <v>8.276433271669074</v>
      </c>
      <c r="O172" s="408"/>
      <c r="P172" s="355"/>
      <c r="Q172" s="66"/>
      <c r="R172" s="66"/>
      <c r="S172" s="66"/>
      <c r="T172" s="66"/>
    </row>
    <row r="173" spans="1:20" ht="15">
      <c r="A173" s="225">
        <v>169</v>
      </c>
      <c r="B173" s="535" t="s">
        <v>19</v>
      </c>
      <c r="C173" s="379">
        <v>40515</v>
      </c>
      <c r="D173" s="357" t="s">
        <v>119</v>
      </c>
      <c r="E173" s="380">
        <v>62</v>
      </c>
      <c r="F173" s="380">
        <v>37</v>
      </c>
      <c r="G173" s="380">
        <v>7</v>
      </c>
      <c r="H173" s="381">
        <v>19265</v>
      </c>
      <c r="I173" s="382">
        <v>3223</v>
      </c>
      <c r="J173" s="383">
        <f t="shared" si="29"/>
        <v>87.10810810810811</v>
      </c>
      <c r="K173" s="384">
        <f t="shared" si="30"/>
        <v>5.977350294756438</v>
      </c>
      <c r="L173" s="385">
        <f>353151+191248+132731.5+71376+47862+26248.5+19265</f>
        <v>841882</v>
      </c>
      <c r="M173" s="386">
        <f>34650+19352+14525+10591+7581+5012+3223</f>
        <v>94934</v>
      </c>
      <c r="N173" s="536">
        <f t="shared" si="31"/>
        <v>8.868076769123812</v>
      </c>
      <c r="O173" s="387"/>
      <c r="P173" s="355"/>
      <c r="Q173" s="66"/>
      <c r="R173" s="66"/>
      <c r="S173" s="66"/>
      <c r="T173" s="66"/>
    </row>
    <row r="174" spans="1:20" ht="15">
      <c r="A174" s="225">
        <v>170</v>
      </c>
      <c r="B174" s="537" t="s">
        <v>19</v>
      </c>
      <c r="C174" s="358">
        <v>40515</v>
      </c>
      <c r="D174" s="357" t="s">
        <v>119</v>
      </c>
      <c r="E174" s="359">
        <v>62</v>
      </c>
      <c r="F174" s="359">
        <v>17</v>
      </c>
      <c r="G174" s="359">
        <v>12</v>
      </c>
      <c r="H174" s="360">
        <v>10987</v>
      </c>
      <c r="I174" s="361">
        <v>1782</v>
      </c>
      <c r="J174" s="362">
        <f t="shared" si="29"/>
        <v>104.82352941176471</v>
      </c>
      <c r="K174" s="363">
        <f t="shared" si="30"/>
        <v>6.165544332210999</v>
      </c>
      <c r="L174" s="364">
        <f>353151+191248+132731.5+71376+47862+26248.5+19265+34650.5+35095.5+42312+25849+10987</f>
        <v>990776</v>
      </c>
      <c r="M174" s="365">
        <f>34650+19352+14525+10591+7581+5012+3223+6065+6865+6589+3930+1782</f>
        <v>120165</v>
      </c>
      <c r="N174" s="532">
        <f t="shared" si="31"/>
        <v>8.245129613448176</v>
      </c>
      <c r="O174" s="366"/>
      <c r="P174" s="355"/>
      <c r="Q174" s="66"/>
      <c r="R174" s="66"/>
      <c r="S174" s="66"/>
      <c r="T174" s="66"/>
    </row>
    <row r="175" spans="1:20" ht="15">
      <c r="A175" s="225">
        <v>171</v>
      </c>
      <c r="B175" s="545" t="s">
        <v>19</v>
      </c>
      <c r="C175" s="438">
        <v>40515</v>
      </c>
      <c r="D175" s="357" t="s">
        <v>119</v>
      </c>
      <c r="E175" s="420">
        <v>62</v>
      </c>
      <c r="F175" s="420">
        <v>14</v>
      </c>
      <c r="G175" s="420">
        <v>13</v>
      </c>
      <c r="H175" s="370">
        <v>7528</v>
      </c>
      <c r="I175" s="376">
        <v>1091</v>
      </c>
      <c r="J175" s="377">
        <f t="shared" si="29"/>
        <v>77.92857142857143</v>
      </c>
      <c r="K175" s="371">
        <f t="shared" si="30"/>
        <v>6.900091659028415</v>
      </c>
      <c r="L175" s="372">
        <f>353151+191248+132731.5+71376+47862+26248.5+19265+34650.5+35095.5+42312+25849+10987+7528</f>
        <v>998304</v>
      </c>
      <c r="M175" s="378">
        <f>34650+19352+14525+10591+7581+5012+3223+6065+6865+6589+3930+1782+1091</f>
        <v>121256</v>
      </c>
      <c r="N175" s="534">
        <f t="shared" si="31"/>
        <v>8.233027643992875</v>
      </c>
      <c r="O175" s="366"/>
      <c r="P175" s="355"/>
      <c r="Q175" s="66"/>
      <c r="R175" s="66"/>
      <c r="S175" s="66"/>
      <c r="T175" s="66"/>
    </row>
    <row r="176" spans="1:20" ht="15">
      <c r="A176" s="225">
        <v>172</v>
      </c>
      <c r="B176" s="531" t="s">
        <v>19</v>
      </c>
      <c r="C176" s="419">
        <v>40515</v>
      </c>
      <c r="D176" s="374" t="s">
        <v>119</v>
      </c>
      <c r="E176" s="427">
        <v>62</v>
      </c>
      <c r="F176" s="427">
        <v>9</v>
      </c>
      <c r="G176" s="427">
        <v>14</v>
      </c>
      <c r="H176" s="364">
        <v>3248</v>
      </c>
      <c r="I176" s="365">
        <v>624</v>
      </c>
      <c r="J176" s="362">
        <f t="shared" si="29"/>
        <v>69.33333333333333</v>
      </c>
      <c r="K176" s="363">
        <f t="shared" si="30"/>
        <v>5.205128205128205</v>
      </c>
      <c r="L176" s="364">
        <f>353151+191248+132731.5+71376+47862+26248.5+19265+34650.5+35095.5+42312+25849+10987+7528+3248</f>
        <v>1001552</v>
      </c>
      <c r="M176" s="365">
        <f>34650+19352+14525+10591+7581+5012+3223+6065+6865+6589+3930+1782+1091+624</f>
        <v>121880</v>
      </c>
      <c r="N176" s="532">
        <f t="shared" si="31"/>
        <v>8.217525434853954</v>
      </c>
      <c r="O176" s="388"/>
      <c r="P176" s="355"/>
      <c r="Q176" s="66"/>
      <c r="R176" s="66"/>
      <c r="S176" s="66"/>
      <c r="T176" s="66"/>
    </row>
    <row r="177" spans="1:20" ht="15">
      <c r="A177" s="225">
        <v>173</v>
      </c>
      <c r="B177" s="531" t="s">
        <v>19</v>
      </c>
      <c r="C177" s="368">
        <v>40515</v>
      </c>
      <c r="D177" s="374" t="s">
        <v>119</v>
      </c>
      <c r="E177" s="369">
        <v>62</v>
      </c>
      <c r="F177" s="369">
        <v>8</v>
      </c>
      <c r="G177" s="369">
        <v>15</v>
      </c>
      <c r="H177" s="360">
        <v>2395.5</v>
      </c>
      <c r="I177" s="361">
        <v>468</v>
      </c>
      <c r="J177" s="362">
        <f t="shared" si="29"/>
        <v>58.5</v>
      </c>
      <c r="K177" s="363">
        <f t="shared" si="30"/>
        <v>5.118589743589744</v>
      </c>
      <c r="L177" s="364">
        <f>353151+191248+132731.5+71376+47862+26248.5+19265+34650.5+35095.5+42312+25849+10987+7528+3248+2395.5</f>
        <v>1003947.5</v>
      </c>
      <c r="M177" s="365">
        <f>34650+19352+14525+10591+7581+5012+3223+6065+6865+6589+3930+1782+1091+624+468</f>
        <v>122348</v>
      </c>
      <c r="N177" s="532">
        <f t="shared" si="31"/>
        <v>8.205671527119364</v>
      </c>
      <c r="O177" s="586"/>
      <c r="P177" s="355"/>
      <c r="Q177" s="66"/>
      <c r="R177" s="66"/>
      <c r="S177" s="66"/>
      <c r="T177" s="66"/>
    </row>
    <row r="178" spans="1:20" ht="15">
      <c r="A178" s="225">
        <v>174</v>
      </c>
      <c r="B178" s="547" t="s">
        <v>77</v>
      </c>
      <c r="C178" s="368">
        <v>40487</v>
      </c>
      <c r="D178" s="451" t="s">
        <v>23</v>
      </c>
      <c r="E178" s="369">
        <v>205</v>
      </c>
      <c r="F178" s="369">
        <v>3</v>
      </c>
      <c r="G178" s="369">
        <v>9</v>
      </c>
      <c r="H178" s="435">
        <v>2650</v>
      </c>
      <c r="I178" s="422">
        <v>405</v>
      </c>
      <c r="J178" s="414">
        <f>I178/F178</f>
        <v>135</v>
      </c>
      <c r="K178" s="436">
        <f>+H178/I178</f>
        <v>6.54320987654321</v>
      </c>
      <c r="L178" s="437">
        <v>1135918</v>
      </c>
      <c r="M178" s="423">
        <v>131505</v>
      </c>
      <c r="N178" s="550">
        <f>+L178/M178</f>
        <v>8.637831261168778</v>
      </c>
      <c r="O178" s="373"/>
      <c r="P178" s="355"/>
      <c r="Q178" s="66"/>
      <c r="R178" s="66"/>
      <c r="S178" s="66"/>
      <c r="T178" s="66"/>
    </row>
    <row r="179" spans="1:20" ht="15">
      <c r="A179" s="225">
        <v>175</v>
      </c>
      <c r="B179" s="547" t="s">
        <v>13</v>
      </c>
      <c r="C179" s="368">
        <v>40473</v>
      </c>
      <c r="D179" s="451" t="s">
        <v>23</v>
      </c>
      <c r="E179" s="369">
        <v>100</v>
      </c>
      <c r="F179" s="369">
        <v>1</v>
      </c>
      <c r="G179" s="369">
        <v>11</v>
      </c>
      <c r="H179" s="435">
        <v>846</v>
      </c>
      <c r="I179" s="422">
        <v>141</v>
      </c>
      <c r="J179" s="414">
        <f>I179/F179</f>
        <v>141</v>
      </c>
      <c r="K179" s="436">
        <f>+H179/I179</f>
        <v>6</v>
      </c>
      <c r="L179" s="437">
        <v>1818047</v>
      </c>
      <c r="M179" s="423">
        <v>188946</v>
      </c>
      <c r="N179" s="550">
        <f>+L179/M179</f>
        <v>9.622045452139766</v>
      </c>
      <c r="O179" s="450">
        <v>1</v>
      </c>
      <c r="P179" s="355"/>
      <c r="Q179" s="66"/>
      <c r="R179" s="66"/>
      <c r="S179" s="66"/>
      <c r="T179" s="66"/>
    </row>
    <row r="180" spans="1:20" ht="15">
      <c r="A180" s="225">
        <v>176</v>
      </c>
      <c r="B180" s="556" t="s">
        <v>93</v>
      </c>
      <c r="C180" s="460">
        <v>40347</v>
      </c>
      <c r="D180" s="357" t="s">
        <v>119</v>
      </c>
      <c r="E180" s="461">
        <v>66</v>
      </c>
      <c r="F180" s="461">
        <v>3</v>
      </c>
      <c r="G180" s="461">
        <v>27</v>
      </c>
      <c r="H180" s="360">
        <v>3382</v>
      </c>
      <c r="I180" s="361">
        <v>852</v>
      </c>
      <c r="J180" s="362">
        <f>(I180/F180)</f>
        <v>284</v>
      </c>
      <c r="K180" s="363">
        <f>H180/I180</f>
        <v>3.9694835680751175</v>
      </c>
      <c r="L180" s="364">
        <f>478213+7083+3309.5+6055+4900+8378+4378.5+2349+3103+2074+7679.5+6108+2991.5+2180+2234+642+2775.5+1757+1151+3382</f>
        <v>550743.5</v>
      </c>
      <c r="M180" s="365">
        <f>55327+1259+553+1133+756+1285+650+408+682+334+1688+1394+539+483+475+201+677+260+202+852</f>
        <v>69158</v>
      </c>
      <c r="N180" s="532">
        <f>L180/M180</f>
        <v>7.963554469475693</v>
      </c>
      <c r="O180" s="450"/>
      <c r="P180" s="355"/>
      <c r="Q180" s="66"/>
      <c r="R180" s="66"/>
      <c r="S180" s="66"/>
      <c r="T180" s="66"/>
    </row>
    <row r="181" spans="1:20" ht="15">
      <c r="A181" s="225">
        <v>177</v>
      </c>
      <c r="B181" s="556" t="s">
        <v>93</v>
      </c>
      <c r="C181" s="460">
        <v>40347</v>
      </c>
      <c r="D181" s="357" t="s">
        <v>119</v>
      </c>
      <c r="E181" s="461">
        <v>66</v>
      </c>
      <c r="F181" s="461">
        <v>1</v>
      </c>
      <c r="G181" s="461">
        <v>29</v>
      </c>
      <c r="H181" s="360">
        <v>1782</v>
      </c>
      <c r="I181" s="361">
        <v>445</v>
      </c>
      <c r="J181" s="362">
        <f>(I181/F181)</f>
        <v>445</v>
      </c>
      <c r="K181" s="363">
        <f>H181/I181</f>
        <v>4.004494382022472</v>
      </c>
      <c r="L181" s="364">
        <f>478213+7083+3309.5+6055+4900+8378+4378.5+2349+3103+2074+7679.5+6108+2991.5+2180+2234+642+2775.5+1757+1151+3382+60+1782</f>
        <v>552585.5</v>
      </c>
      <c r="M181" s="365">
        <f>55327+1259+553+1133+756+1285+650+408+682+334+1688+1394+539+483+475+201+677+260+202+852+20+445</f>
        <v>69623</v>
      </c>
      <c r="N181" s="532">
        <f>L181/M181</f>
        <v>7.936824038033408</v>
      </c>
      <c r="O181" s="373"/>
      <c r="P181" s="355"/>
      <c r="Q181" s="66"/>
      <c r="R181" s="66"/>
      <c r="S181" s="66"/>
      <c r="T181" s="66"/>
    </row>
    <row r="182" spans="1:20" ht="15">
      <c r="A182" s="225">
        <v>178</v>
      </c>
      <c r="B182" s="555" t="s">
        <v>93</v>
      </c>
      <c r="C182" s="458">
        <v>40347</v>
      </c>
      <c r="D182" s="357" t="s">
        <v>119</v>
      </c>
      <c r="E182" s="459">
        <v>66</v>
      </c>
      <c r="F182" s="459">
        <v>1</v>
      </c>
      <c r="G182" s="459">
        <v>28</v>
      </c>
      <c r="H182" s="381">
        <v>60</v>
      </c>
      <c r="I182" s="382">
        <v>20</v>
      </c>
      <c r="J182" s="383">
        <f>(I182/F182)</f>
        <v>20</v>
      </c>
      <c r="K182" s="384">
        <f>H182/I182</f>
        <v>3</v>
      </c>
      <c r="L182" s="385">
        <f>478213+7083+3309.5+6055+4900+8378+4378.5+2349+3103+2074+7679.5+6108+2991.5+2180+2234+642+2775.5+1757+1151+3382+60</f>
        <v>550803.5</v>
      </c>
      <c r="M182" s="386">
        <f>55327+1259+553+1133+756+1285+650+408+682+334+1688+1394+539+483+475+201+677+260+202+852+20</f>
        <v>69178</v>
      </c>
      <c r="N182" s="536">
        <f>L182/M182</f>
        <v>7.962119459943913</v>
      </c>
      <c r="O182" s="387"/>
      <c r="P182" s="355"/>
      <c r="Q182" s="66"/>
      <c r="R182" s="66"/>
      <c r="S182" s="66"/>
      <c r="T182" s="66"/>
    </row>
    <row r="183" spans="1:20" ht="15">
      <c r="A183" s="225">
        <v>179</v>
      </c>
      <c r="B183" s="538" t="s">
        <v>78</v>
      </c>
      <c r="C183" s="390">
        <v>38764</v>
      </c>
      <c r="D183" s="389" t="s">
        <v>17</v>
      </c>
      <c r="E183" s="391">
        <v>113</v>
      </c>
      <c r="F183" s="391">
        <v>1</v>
      </c>
      <c r="G183" s="391">
        <v>20</v>
      </c>
      <c r="H183" s="415">
        <v>2014</v>
      </c>
      <c r="I183" s="410">
        <v>403</v>
      </c>
      <c r="J183" s="411">
        <f>IF(H183&lt;&gt;0,I183/F183,"")</f>
        <v>403</v>
      </c>
      <c r="K183" s="416">
        <f>IF(H183&lt;&gt;0,H183/I183,"")</f>
        <v>4.997518610421836</v>
      </c>
      <c r="L183" s="417">
        <f>1551334+0+1188+H183</f>
        <v>1554536</v>
      </c>
      <c r="M183" s="423">
        <f>207370+0+238+I183</f>
        <v>208011</v>
      </c>
      <c r="N183" s="544">
        <f>IF(L183&lt;&gt;0,L183/M183,"")</f>
        <v>7.473335544754844</v>
      </c>
      <c r="O183" s="450"/>
      <c r="P183" s="355"/>
      <c r="Q183" s="66"/>
      <c r="R183" s="66"/>
      <c r="S183" s="66"/>
      <c r="T183" s="66"/>
    </row>
    <row r="184" spans="1:20" ht="15">
      <c r="A184" s="225">
        <v>180</v>
      </c>
      <c r="B184" s="537" t="s">
        <v>160</v>
      </c>
      <c r="C184" s="358">
        <v>40025</v>
      </c>
      <c r="D184" s="357" t="s">
        <v>119</v>
      </c>
      <c r="E184" s="359">
        <v>1</v>
      </c>
      <c r="F184" s="359">
        <v>1</v>
      </c>
      <c r="G184" s="359">
        <v>9</v>
      </c>
      <c r="H184" s="360">
        <v>952</v>
      </c>
      <c r="I184" s="361">
        <v>238</v>
      </c>
      <c r="J184" s="362">
        <f>(I184/F184)</f>
        <v>238</v>
      </c>
      <c r="K184" s="363">
        <f aca="true" t="shared" si="32" ref="K184:K195">H184/I184</f>
        <v>4</v>
      </c>
      <c r="L184" s="364">
        <f>6157+1979.5+2138+815+825+343+114+159+952</f>
        <v>13482.5</v>
      </c>
      <c r="M184" s="365">
        <f>452+147+247+163+165+40+19+36+238</f>
        <v>1507</v>
      </c>
      <c r="N184" s="532">
        <f>L184/M184</f>
        <v>8.946582614465827</v>
      </c>
      <c r="O184" s="366"/>
      <c r="P184" s="355"/>
      <c r="Q184" s="66"/>
      <c r="R184" s="66"/>
      <c r="S184" s="66"/>
      <c r="T184" s="66"/>
    </row>
    <row r="185" spans="1:20" ht="15">
      <c r="A185" s="225">
        <v>181</v>
      </c>
      <c r="B185" s="551" t="s">
        <v>68</v>
      </c>
      <c r="C185" s="390">
        <v>40501</v>
      </c>
      <c r="D185" s="439" t="s">
        <v>25</v>
      </c>
      <c r="E185" s="403">
        <v>121</v>
      </c>
      <c r="F185" s="403">
        <v>18</v>
      </c>
      <c r="G185" s="403">
        <v>7</v>
      </c>
      <c r="H185" s="440">
        <v>10646</v>
      </c>
      <c r="I185" s="441">
        <v>2164</v>
      </c>
      <c r="J185" s="442">
        <f>I185/F185</f>
        <v>120.22222222222223</v>
      </c>
      <c r="K185" s="443">
        <f t="shared" si="32"/>
        <v>4.919593345656192</v>
      </c>
      <c r="L185" s="444">
        <v>1582988</v>
      </c>
      <c r="M185" s="445">
        <v>158006</v>
      </c>
      <c r="N185" s="552">
        <f>+L185/M185</f>
        <v>10.018530941862966</v>
      </c>
      <c r="O185" s="373"/>
      <c r="P185" s="355"/>
      <c r="Q185" s="66"/>
      <c r="R185" s="66"/>
      <c r="S185" s="66"/>
      <c r="T185" s="66"/>
    </row>
    <row r="186" spans="1:20" ht="15">
      <c r="A186" s="225">
        <v>182</v>
      </c>
      <c r="B186" s="542" t="s">
        <v>68</v>
      </c>
      <c r="C186" s="390">
        <v>40501</v>
      </c>
      <c r="D186" s="439" t="s">
        <v>25</v>
      </c>
      <c r="E186" s="403">
        <v>121</v>
      </c>
      <c r="F186" s="403">
        <v>6</v>
      </c>
      <c r="G186" s="403">
        <v>8</v>
      </c>
      <c r="H186" s="446">
        <v>6256</v>
      </c>
      <c r="I186" s="441">
        <v>1715</v>
      </c>
      <c r="J186" s="442">
        <f>I186/F186</f>
        <v>285.8333333333333</v>
      </c>
      <c r="K186" s="447">
        <f t="shared" si="32"/>
        <v>3.647813411078717</v>
      </c>
      <c r="L186" s="448">
        <v>1589244</v>
      </c>
      <c r="M186" s="445">
        <v>159721</v>
      </c>
      <c r="N186" s="553">
        <f>+L186/M186</f>
        <v>9.95012553139537</v>
      </c>
      <c r="O186" s="388">
        <v>1</v>
      </c>
      <c r="P186" s="355"/>
      <c r="Q186" s="66"/>
      <c r="R186" s="66"/>
      <c r="S186" s="66"/>
      <c r="T186" s="66"/>
    </row>
    <row r="187" spans="1:20" ht="15">
      <c r="A187" s="225">
        <v>183</v>
      </c>
      <c r="B187" s="542" t="s">
        <v>68</v>
      </c>
      <c r="C187" s="404">
        <v>40501</v>
      </c>
      <c r="D187" s="402" t="s">
        <v>25</v>
      </c>
      <c r="E187" s="403">
        <v>121</v>
      </c>
      <c r="F187" s="403">
        <v>5</v>
      </c>
      <c r="G187" s="403">
        <v>15</v>
      </c>
      <c r="H187" s="440">
        <v>5491.95</v>
      </c>
      <c r="I187" s="517">
        <v>1653</v>
      </c>
      <c r="J187" s="493">
        <f>I187/F187</f>
        <v>330.6</v>
      </c>
      <c r="K187" s="443">
        <f t="shared" si="32"/>
        <v>3.3224137931034483</v>
      </c>
      <c r="L187" s="444">
        <v>1609599</v>
      </c>
      <c r="M187" s="519">
        <v>165154</v>
      </c>
      <c r="N187" s="552">
        <f>+L187/M187</f>
        <v>9.74604914201291</v>
      </c>
      <c r="O187" s="366">
        <v>1</v>
      </c>
      <c r="P187" s="355"/>
      <c r="Q187" s="66"/>
      <c r="R187" s="66"/>
      <c r="S187" s="66"/>
      <c r="T187" s="66"/>
    </row>
    <row r="188" spans="1:20" ht="15">
      <c r="A188" s="225">
        <v>184</v>
      </c>
      <c r="B188" s="551" t="s">
        <v>68</v>
      </c>
      <c r="C188" s="390">
        <v>40501</v>
      </c>
      <c r="D188" s="402" t="s">
        <v>25</v>
      </c>
      <c r="E188" s="403">
        <v>121</v>
      </c>
      <c r="F188" s="403">
        <v>4</v>
      </c>
      <c r="G188" s="403">
        <v>10</v>
      </c>
      <c r="H188" s="446">
        <v>4266.5</v>
      </c>
      <c r="I188" s="441">
        <v>780</v>
      </c>
      <c r="J188" s="362">
        <f>(I188/F188)</f>
        <v>195</v>
      </c>
      <c r="K188" s="363">
        <f t="shared" si="32"/>
        <v>5.4698717948717945</v>
      </c>
      <c r="L188" s="448">
        <v>1596605</v>
      </c>
      <c r="M188" s="445">
        <v>161481</v>
      </c>
      <c r="N188" s="532">
        <f>L188/M188</f>
        <v>9.887262278534317</v>
      </c>
      <c r="O188" s="373">
        <v>1</v>
      </c>
      <c r="P188" s="355"/>
      <c r="Q188" s="66"/>
      <c r="R188" s="66"/>
      <c r="S188" s="66"/>
      <c r="T188" s="66"/>
    </row>
    <row r="189" spans="1:20" ht="15">
      <c r="A189" s="225">
        <v>185</v>
      </c>
      <c r="B189" s="542" t="s">
        <v>139</v>
      </c>
      <c r="C189" s="390">
        <v>40501</v>
      </c>
      <c r="D189" s="402" t="s">
        <v>25</v>
      </c>
      <c r="E189" s="403">
        <v>121</v>
      </c>
      <c r="F189" s="403">
        <v>3</v>
      </c>
      <c r="G189" s="403">
        <v>12</v>
      </c>
      <c r="H189" s="446">
        <v>1882</v>
      </c>
      <c r="I189" s="441">
        <v>579</v>
      </c>
      <c r="J189" s="442">
        <f>I189/F189</f>
        <v>193</v>
      </c>
      <c r="K189" s="447">
        <f t="shared" si="32"/>
        <v>3.250431778929188</v>
      </c>
      <c r="L189" s="448">
        <v>1599042</v>
      </c>
      <c r="M189" s="445">
        <v>162149</v>
      </c>
      <c r="N189" s="553">
        <f>+L189/M189</f>
        <v>9.86155942990706</v>
      </c>
      <c r="O189" s="375"/>
      <c r="P189" s="355"/>
      <c r="Q189" s="66"/>
      <c r="R189" s="66"/>
      <c r="S189" s="66"/>
      <c r="T189" s="66"/>
    </row>
    <row r="190" spans="1:20" ht="15">
      <c r="A190" s="225">
        <v>186</v>
      </c>
      <c r="B190" s="542" t="s">
        <v>68</v>
      </c>
      <c r="C190" s="390">
        <v>40501</v>
      </c>
      <c r="D190" s="402" t="s">
        <v>25</v>
      </c>
      <c r="E190" s="403">
        <v>121</v>
      </c>
      <c r="F190" s="403">
        <v>2</v>
      </c>
      <c r="G190" s="403">
        <v>13</v>
      </c>
      <c r="H190" s="446">
        <v>1565</v>
      </c>
      <c r="I190" s="441">
        <v>369</v>
      </c>
      <c r="J190" s="442">
        <f>I190/F190</f>
        <v>184.5</v>
      </c>
      <c r="K190" s="447">
        <f t="shared" si="32"/>
        <v>4.2411924119241196</v>
      </c>
      <c r="L190" s="448">
        <v>1601521</v>
      </c>
      <c r="M190" s="445">
        <v>162757</v>
      </c>
      <c r="N190" s="553">
        <f>+L190/M190</f>
        <v>9.839951584263657</v>
      </c>
      <c r="O190" s="408">
        <v>1</v>
      </c>
      <c r="P190" s="355"/>
      <c r="Q190" s="66"/>
      <c r="R190" s="66"/>
      <c r="S190" s="66"/>
      <c r="T190" s="66"/>
    </row>
    <row r="191" spans="1:20" ht="15">
      <c r="A191" s="225">
        <v>187</v>
      </c>
      <c r="B191" s="542" t="s">
        <v>112</v>
      </c>
      <c r="C191" s="390">
        <v>40501</v>
      </c>
      <c r="D191" s="402" t="s">
        <v>25</v>
      </c>
      <c r="E191" s="403">
        <v>121</v>
      </c>
      <c r="F191" s="403">
        <v>3</v>
      </c>
      <c r="G191" s="403">
        <v>9</v>
      </c>
      <c r="H191" s="446">
        <v>1204</v>
      </c>
      <c r="I191" s="441">
        <v>296</v>
      </c>
      <c r="J191" s="442">
        <f>I191/F191</f>
        <v>98.66666666666667</v>
      </c>
      <c r="K191" s="447">
        <f t="shared" si="32"/>
        <v>4.0675675675675675</v>
      </c>
      <c r="L191" s="448">
        <v>1592338</v>
      </c>
      <c r="M191" s="445">
        <v>160701</v>
      </c>
      <c r="N191" s="553">
        <f>+L191/M191</f>
        <v>9.908700008089557</v>
      </c>
      <c r="O191" s="373">
        <v>1</v>
      </c>
      <c r="P191" s="355"/>
      <c r="Q191" s="66"/>
      <c r="R191" s="66"/>
      <c r="S191" s="66"/>
      <c r="T191" s="66"/>
    </row>
    <row r="192" spans="1:20" ht="15">
      <c r="A192" s="225">
        <v>188</v>
      </c>
      <c r="B192" s="542" t="s">
        <v>112</v>
      </c>
      <c r="C192" s="390">
        <v>40501</v>
      </c>
      <c r="D192" s="402" t="s">
        <v>25</v>
      </c>
      <c r="E192" s="403">
        <v>121</v>
      </c>
      <c r="F192" s="403">
        <v>2</v>
      </c>
      <c r="G192" s="403">
        <v>11</v>
      </c>
      <c r="H192" s="446">
        <v>556</v>
      </c>
      <c r="I192" s="441">
        <v>89</v>
      </c>
      <c r="J192" s="442">
        <f>I192/F192</f>
        <v>44.5</v>
      </c>
      <c r="K192" s="447">
        <f t="shared" si="32"/>
        <v>6.247191011235955</v>
      </c>
      <c r="L192" s="448">
        <v>1597161</v>
      </c>
      <c r="M192" s="445">
        <v>161570</v>
      </c>
      <c r="N192" s="541">
        <f>+L192/M192</f>
        <v>9.88525716407749</v>
      </c>
      <c r="O192" s="373">
        <v>1</v>
      </c>
      <c r="P192" s="355"/>
      <c r="Q192" s="66"/>
      <c r="R192" s="66"/>
      <c r="S192" s="66"/>
      <c r="T192" s="66"/>
    </row>
    <row r="193" spans="1:20" ht="15">
      <c r="A193" s="225">
        <v>189</v>
      </c>
      <c r="B193" s="535" t="s">
        <v>147</v>
      </c>
      <c r="C193" s="379">
        <v>40466</v>
      </c>
      <c r="D193" s="357" t="s">
        <v>119</v>
      </c>
      <c r="E193" s="380">
        <v>139</v>
      </c>
      <c r="F193" s="380">
        <v>1</v>
      </c>
      <c r="G193" s="380">
        <v>12</v>
      </c>
      <c r="H193" s="360">
        <v>770</v>
      </c>
      <c r="I193" s="361">
        <v>44</v>
      </c>
      <c r="J193" s="362">
        <f>(I193/F193)</f>
        <v>44</v>
      </c>
      <c r="K193" s="363">
        <f t="shared" si="32"/>
        <v>17.5</v>
      </c>
      <c r="L193" s="364">
        <f>859399.5+611922.5+597511+92540.5+35432.5+12313+8417+3230+2786+1901+208.5+770</f>
        <v>2226431.5</v>
      </c>
      <c r="M193" s="365">
        <f>81834+61457+58453+8463+3493+2070+1395+1040+668+474+59+44</f>
        <v>219450</v>
      </c>
      <c r="N193" s="532">
        <f>L193/M193</f>
        <v>10.14550694919116</v>
      </c>
      <c r="O193" s="408"/>
      <c r="P193" s="355"/>
      <c r="Q193" s="66"/>
      <c r="R193" s="66"/>
      <c r="S193" s="66"/>
      <c r="T193" s="66"/>
    </row>
    <row r="194" spans="1:20" ht="15">
      <c r="A194" s="225">
        <v>190</v>
      </c>
      <c r="B194" s="537" t="s">
        <v>127</v>
      </c>
      <c r="C194" s="358">
        <v>40466</v>
      </c>
      <c r="D194" s="357" t="s">
        <v>119</v>
      </c>
      <c r="E194" s="359">
        <v>139</v>
      </c>
      <c r="F194" s="359">
        <v>1</v>
      </c>
      <c r="G194" s="359">
        <v>13</v>
      </c>
      <c r="H194" s="370">
        <v>241</v>
      </c>
      <c r="I194" s="376">
        <v>42</v>
      </c>
      <c r="J194" s="377">
        <f>(I194/F194)</f>
        <v>42</v>
      </c>
      <c r="K194" s="371">
        <f t="shared" si="32"/>
        <v>5.738095238095238</v>
      </c>
      <c r="L194" s="372">
        <f>859399.5+611922.5+597511+92540.5+35432.5+12313+8417+3230+2786+1901+208.5+770+241</f>
        <v>2226672.5</v>
      </c>
      <c r="M194" s="378">
        <f>81834+61457+58453+8463+3493+2070+1395+1040+668+474+59+44+42</f>
        <v>219492</v>
      </c>
      <c r="N194" s="534">
        <f>L194/M194</f>
        <v>10.144663586827766</v>
      </c>
      <c r="O194" s="366"/>
      <c r="P194" s="355"/>
      <c r="Q194" s="66"/>
      <c r="R194" s="66"/>
      <c r="S194" s="66"/>
      <c r="T194" s="66"/>
    </row>
    <row r="195" spans="1:20" ht="15">
      <c r="A195" s="225">
        <v>191</v>
      </c>
      <c r="B195" s="533" t="s">
        <v>127</v>
      </c>
      <c r="C195" s="368">
        <v>40466</v>
      </c>
      <c r="D195" s="357" t="s">
        <v>119</v>
      </c>
      <c r="E195" s="369">
        <v>139</v>
      </c>
      <c r="F195" s="369">
        <v>1</v>
      </c>
      <c r="G195" s="369">
        <v>11</v>
      </c>
      <c r="H195" s="360">
        <v>208.5</v>
      </c>
      <c r="I195" s="361">
        <v>59</v>
      </c>
      <c r="J195" s="362">
        <f>(I195/F195)</f>
        <v>59</v>
      </c>
      <c r="K195" s="363">
        <f t="shared" si="32"/>
        <v>3.5338983050847457</v>
      </c>
      <c r="L195" s="364">
        <f>859399.5+611922.5+597511+92540.5+35432.5+12313+8417+3230+2786+1901+208.5</f>
        <v>2225661.5</v>
      </c>
      <c r="M195" s="365">
        <f>81834+61457+58453+8463+3493+2070+1395+1040+668+474+59</f>
        <v>219406</v>
      </c>
      <c r="N195" s="532">
        <f>L195/M195</f>
        <v>10.14403206840287</v>
      </c>
      <c r="O195" s="373"/>
      <c r="P195" s="355"/>
      <c r="Q195" s="66"/>
      <c r="R195" s="66"/>
      <c r="S195" s="66"/>
      <c r="T195" s="66"/>
    </row>
    <row r="196" spans="1:20" ht="15">
      <c r="A196" s="225">
        <v>192</v>
      </c>
      <c r="B196" s="551" t="s">
        <v>0</v>
      </c>
      <c r="C196" s="390">
        <v>40431</v>
      </c>
      <c r="D196" s="473" t="s">
        <v>27</v>
      </c>
      <c r="E196" s="403">
        <v>124</v>
      </c>
      <c r="F196" s="403">
        <v>1</v>
      </c>
      <c r="G196" s="403">
        <v>12</v>
      </c>
      <c r="H196" s="474">
        <v>567</v>
      </c>
      <c r="I196" s="468">
        <v>95</v>
      </c>
      <c r="J196" s="411">
        <f>+I196/F196</f>
        <v>95</v>
      </c>
      <c r="K196" s="416">
        <f>+H196/I196</f>
        <v>5.968421052631579</v>
      </c>
      <c r="L196" s="475">
        <v>3688296</v>
      </c>
      <c r="M196" s="471">
        <v>331614</v>
      </c>
      <c r="N196" s="544">
        <f>+L196/M196</f>
        <v>11.12225659954043</v>
      </c>
      <c r="O196" s="450"/>
      <c r="P196" s="355"/>
      <c r="Q196" s="66"/>
      <c r="R196" s="66"/>
      <c r="S196" s="66"/>
      <c r="T196" s="66"/>
    </row>
    <row r="197" spans="1:20" ht="15">
      <c r="A197" s="225">
        <v>193</v>
      </c>
      <c r="B197" s="531" t="s">
        <v>146</v>
      </c>
      <c r="C197" s="368">
        <v>40081</v>
      </c>
      <c r="D197" s="357" t="s">
        <v>119</v>
      </c>
      <c r="E197" s="369">
        <v>10</v>
      </c>
      <c r="F197" s="369">
        <v>1</v>
      </c>
      <c r="G197" s="369">
        <v>9</v>
      </c>
      <c r="H197" s="360">
        <v>952</v>
      </c>
      <c r="I197" s="361">
        <v>238</v>
      </c>
      <c r="J197" s="362">
        <f>(I197/F197)</f>
        <v>238</v>
      </c>
      <c r="K197" s="363">
        <f>H197/I197</f>
        <v>4</v>
      </c>
      <c r="L197" s="364">
        <f>15355.5+7416.5+5376.5+1210+1050.5+1780+1780+1780+952</f>
        <v>36701</v>
      </c>
      <c r="M197" s="365">
        <f>1226+729+733+198+202+445+445+445+238</f>
        <v>4661</v>
      </c>
      <c r="N197" s="532">
        <f>L197/M197</f>
        <v>7.874061360223128</v>
      </c>
      <c r="O197" s="408"/>
      <c r="P197" s="355"/>
      <c r="Q197" s="66"/>
      <c r="R197" s="66"/>
      <c r="S197" s="66"/>
      <c r="T197" s="66"/>
    </row>
    <row r="198" spans="1:20" ht="15">
      <c r="A198" s="225">
        <v>194</v>
      </c>
      <c r="B198" s="547" t="s">
        <v>30</v>
      </c>
      <c r="C198" s="368">
        <v>40466</v>
      </c>
      <c r="D198" s="488" t="s">
        <v>23</v>
      </c>
      <c r="E198" s="369">
        <v>119</v>
      </c>
      <c r="F198" s="369">
        <v>3</v>
      </c>
      <c r="G198" s="369">
        <v>15</v>
      </c>
      <c r="H198" s="421">
        <v>2636</v>
      </c>
      <c r="I198" s="422">
        <v>738</v>
      </c>
      <c r="J198" s="414">
        <f aca="true" t="shared" si="33" ref="J198:J212">I198/F198</f>
        <v>246</v>
      </c>
      <c r="K198" s="424">
        <f aca="true" t="shared" si="34" ref="K198:K204">+H198/I198</f>
        <v>3.5718157181571817</v>
      </c>
      <c r="L198" s="425">
        <v>2014015</v>
      </c>
      <c r="M198" s="423">
        <v>175303</v>
      </c>
      <c r="N198" s="546">
        <f aca="true" t="shared" si="35" ref="N198:N212">+L198/M198</f>
        <v>11.488765166597263</v>
      </c>
      <c r="O198" s="452"/>
      <c r="P198" s="355"/>
      <c r="Q198" s="66"/>
      <c r="R198" s="66"/>
      <c r="S198" s="66"/>
      <c r="T198" s="66"/>
    </row>
    <row r="199" spans="1:20" ht="15">
      <c r="A199" s="225">
        <v>195</v>
      </c>
      <c r="B199" s="547" t="s">
        <v>30</v>
      </c>
      <c r="C199" s="368">
        <v>40466</v>
      </c>
      <c r="D199" s="451" t="s">
        <v>23</v>
      </c>
      <c r="E199" s="369">
        <v>119</v>
      </c>
      <c r="F199" s="369">
        <v>3</v>
      </c>
      <c r="G199" s="369">
        <v>12</v>
      </c>
      <c r="H199" s="435">
        <v>999</v>
      </c>
      <c r="I199" s="422">
        <v>212</v>
      </c>
      <c r="J199" s="414">
        <f t="shared" si="33"/>
        <v>70.66666666666667</v>
      </c>
      <c r="K199" s="436">
        <f t="shared" si="34"/>
        <v>4.712264150943396</v>
      </c>
      <c r="L199" s="437">
        <v>2010636</v>
      </c>
      <c r="M199" s="423">
        <v>174432</v>
      </c>
      <c r="N199" s="550">
        <f t="shared" si="35"/>
        <v>11.526761144744084</v>
      </c>
      <c r="O199" s="373"/>
      <c r="P199" s="355"/>
      <c r="Q199" s="66"/>
      <c r="R199" s="66"/>
      <c r="S199" s="66"/>
      <c r="T199" s="66"/>
    </row>
    <row r="200" spans="1:20" ht="15">
      <c r="A200" s="225">
        <v>196</v>
      </c>
      <c r="B200" s="548" t="s">
        <v>30</v>
      </c>
      <c r="C200" s="453">
        <v>40466</v>
      </c>
      <c r="D200" s="454" t="s">
        <v>23</v>
      </c>
      <c r="E200" s="429">
        <v>119</v>
      </c>
      <c r="F200" s="429">
        <v>1</v>
      </c>
      <c r="G200" s="429">
        <v>14</v>
      </c>
      <c r="H200" s="430">
        <v>558</v>
      </c>
      <c r="I200" s="431">
        <v>93</v>
      </c>
      <c r="J200" s="432">
        <f t="shared" si="33"/>
        <v>93</v>
      </c>
      <c r="K200" s="433">
        <f t="shared" si="34"/>
        <v>6</v>
      </c>
      <c r="L200" s="434">
        <v>2011379</v>
      </c>
      <c r="M200" s="432">
        <v>174565</v>
      </c>
      <c r="N200" s="549">
        <f t="shared" si="35"/>
        <v>11.522235270529603</v>
      </c>
      <c r="O200" s="455"/>
      <c r="P200" s="355"/>
      <c r="Q200" s="66"/>
      <c r="R200" s="66"/>
      <c r="S200" s="66"/>
      <c r="T200" s="66"/>
    </row>
    <row r="201" spans="1:20" ht="15">
      <c r="A201" s="225">
        <v>197</v>
      </c>
      <c r="B201" s="531" t="s">
        <v>30</v>
      </c>
      <c r="C201" s="368">
        <v>40466</v>
      </c>
      <c r="D201" s="451" t="s">
        <v>23</v>
      </c>
      <c r="E201" s="369">
        <v>119</v>
      </c>
      <c r="F201" s="369">
        <v>2</v>
      </c>
      <c r="G201" s="369">
        <v>13</v>
      </c>
      <c r="H201" s="421">
        <v>185</v>
      </c>
      <c r="I201" s="422">
        <v>40</v>
      </c>
      <c r="J201" s="414">
        <f t="shared" si="33"/>
        <v>20</v>
      </c>
      <c r="K201" s="424">
        <f t="shared" si="34"/>
        <v>4.625</v>
      </c>
      <c r="L201" s="425">
        <v>2010821</v>
      </c>
      <c r="M201" s="423">
        <v>174472</v>
      </c>
      <c r="N201" s="546">
        <f t="shared" si="35"/>
        <v>11.525178825255628</v>
      </c>
      <c r="O201" s="452"/>
      <c r="P201" s="355"/>
      <c r="Q201" s="66"/>
      <c r="R201" s="66"/>
      <c r="S201" s="66"/>
      <c r="T201" s="66"/>
    </row>
    <row r="202" spans="1:20" ht="15">
      <c r="A202" s="225">
        <v>198</v>
      </c>
      <c r="B202" s="567" t="s">
        <v>30</v>
      </c>
      <c r="C202" s="419">
        <v>40466</v>
      </c>
      <c r="D202" s="418" t="s">
        <v>23</v>
      </c>
      <c r="E202" s="420">
        <v>119</v>
      </c>
      <c r="F202" s="420">
        <v>1</v>
      </c>
      <c r="G202" s="420">
        <v>17</v>
      </c>
      <c r="H202" s="421">
        <v>168</v>
      </c>
      <c r="I202" s="422">
        <v>28</v>
      </c>
      <c r="J202" s="423">
        <f t="shared" si="33"/>
        <v>28</v>
      </c>
      <c r="K202" s="518">
        <f t="shared" si="34"/>
        <v>6</v>
      </c>
      <c r="L202" s="425">
        <v>2014279</v>
      </c>
      <c r="M202" s="516">
        <v>175347</v>
      </c>
      <c r="N202" s="546">
        <f t="shared" si="35"/>
        <v>11.487387865204424</v>
      </c>
      <c r="O202" s="375"/>
      <c r="P202" s="355"/>
      <c r="Q202" s="66"/>
      <c r="R202" s="66"/>
      <c r="S202" s="66"/>
      <c r="T202" s="66"/>
    </row>
    <row r="203" spans="1:20" ht="15">
      <c r="A203" s="225">
        <v>199</v>
      </c>
      <c r="B203" s="568" t="s">
        <v>30</v>
      </c>
      <c r="C203" s="419">
        <v>40466</v>
      </c>
      <c r="D203" s="488" t="s">
        <v>23</v>
      </c>
      <c r="E203" s="427">
        <v>119</v>
      </c>
      <c r="F203" s="427">
        <v>1</v>
      </c>
      <c r="G203" s="427">
        <v>16</v>
      </c>
      <c r="H203" s="421">
        <v>96</v>
      </c>
      <c r="I203" s="422">
        <v>16</v>
      </c>
      <c r="J203" s="423">
        <f t="shared" si="33"/>
        <v>16</v>
      </c>
      <c r="K203" s="518">
        <f t="shared" si="34"/>
        <v>6</v>
      </c>
      <c r="L203" s="425">
        <v>2014111</v>
      </c>
      <c r="M203" s="516">
        <v>175319</v>
      </c>
      <c r="N203" s="541">
        <f t="shared" si="35"/>
        <v>11.488264249739046</v>
      </c>
      <c r="O203" s="373"/>
      <c r="P203" s="355"/>
      <c r="Q203" s="66"/>
      <c r="R203" s="66"/>
      <c r="S203" s="66"/>
      <c r="T203" s="66"/>
    </row>
    <row r="204" spans="1:20" ht="15">
      <c r="A204" s="225">
        <v>200</v>
      </c>
      <c r="B204" s="548" t="s">
        <v>30</v>
      </c>
      <c r="C204" s="453">
        <v>40466</v>
      </c>
      <c r="D204" s="454" t="s">
        <v>23</v>
      </c>
      <c r="E204" s="429">
        <v>119</v>
      </c>
      <c r="F204" s="429">
        <v>1</v>
      </c>
      <c r="G204" s="429">
        <v>18</v>
      </c>
      <c r="H204" s="430">
        <v>66</v>
      </c>
      <c r="I204" s="431">
        <v>11</v>
      </c>
      <c r="J204" s="432">
        <f t="shared" si="33"/>
        <v>11</v>
      </c>
      <c r="K204" s="433">
        <f t="shared" si="34"/>
        <v>6</v>
      </c>
      <c r="L204" s="434">
        <v>2014345</v>
      </c>
      <c r="M204" s="432">
        <v>175358</v>
      </c>
      <c r="N204" s="549">
        <f t="shared" si="35"/>
        <v>11.487043647851824</v>
      </c>
      <c r="O204" s="408"/>
      <c r="P204" s="355"/>
      <c r="Q204" s="66"/>
      <c r="R204" s="66"/>
      <c r="S204" s="66"/>
      <c r="T204" s="66"/>
    </row>
    <row r="205" spans="1:20" ht="15">
      <c r="A205" s="225">
        <v>201</v>
      </c>
      <c r="B205" s="538" t="s">
        <v>29</v>
      </c>
      <c r="C205" s="390">
        <v>40494</v>
      </c>
      <c r="D205" s="389" t="s">
        <v>24</v>
      </c>
      <c r="E205" s="391">
        <v>144</v>
      </c>
      <c r="F205" s="391">
        <v>16</v>
      </c>
      <c r="G205" s="391">
        <v>8</v>
      </c>
      <c r="H205" s="392">
        <v>13943</v>
      </c>
      <c r="I205" s="393">
        <v>2193</v>
      </c>
      <c r="J205" s="394">
        <f t="shared" si="33"/>
        <v>137.0625</v>
      </c>
      <c r="K205" s="395">
        <f aca="true" t="shared" si="36" ref="K205:K210">H205/I205</f>
        <v>6.357957136342909</v>
      </c>
      <c r="L205" s="396">
        <v>6055992</v>
      </c>
      <c r="M205" s="397">
        <v>521768</v>
      </c>
      <c r="N205" s="539">
        <f t="shared" si="35"/>
        <v>11.606675763941062</v>
      </c>
      <c r="O205" s="450"/>
      <c r="P205" s="355"/>
      <c r="Q205" s="66"/>
      <c r="R205" s="66"/>
      <c r="S205" s="66"/>
      <c r="T205" s="66"/>
    </row>
    <row r="206" spans="1:20" ht="15">
      <c r="A206" s="225">
        <v>202</v>
      </c>
      <c r="B206" s="542" t="s">
        <v>29</v>
      </c>
      <c r="C206" s="390">
        <v>40494</v>
      </c>
      <c r="D206" s="402" t="s">
        <v>24</v>
      </c>
      <c r="E206" s="403">
        <v>144</v>
      </c>
      <c r="F206" s="403">
        <v>6</v>
      </c>
      <c r="G206" s="403">
        <v>10</v>
      </c>
      <c r="H206" s="399">
        <v>8265</v>
      </c>
      <c r="I206" s="393">
        <v>1244</v>
      </c>
      <c r="J206" s="394">
        <f t="shared" si="33"/>
        <v>207.33333333333334</v>
      </c>
      <c r="K206" s="400">
        <f t="shared" si="36"/>
        <v>6.643890675241158</v>
      </c>
      <c r="L206" s="401">
        <v>6066619</v>
      </c>
      <c r="M206" s="397">
        <v>523537</v>
      </c>
      <c r="N206" s="541">
        <f t="shared" si="35"/>
        <v>11.587755975222382</v>
      </c>
      <c r="O206" s="366"/>
      <c r="P206" s="355"/>
      <c r="Q206" s="66"/>
      <c r="R206" s="66"/>
      <c r="S206" s="66"/>
      <c r="T206" s="66"/>
    </row>
    <row r="207" spans="1:20" ht="15">
      <c r="A207" s="225">
        <v>203</v>
      </c>
      <c r="B207" s="538" t="s">
        <v>29</v>
      </c>
      <c r="C207" s="390">
        <v>40494</v>
      </c>
      <c r="D207" s="398" t="s">
        <v>24</v>
      </c>
      <c r="E207" s="391">
        <v>144</v>
      </c>
      <c r="F207" s="391">
        <v>3</v>
      </c>
      <c r="G207" s="391">
        <v>11</v>
      </c>
      <c r="H207" s="399">
        <v>2600</v>
      </c>
      <c r="I207" s="393">
        <v>454</v>
      </c>
      <c r="J207" s="394">
        <f t="shared" si="33"/>
        <v>151.33333333333334</v>
      </c>
      <c r="K207" s="400">
        <f t="shared" si="36"/>
        <v>5.726872246696035</v>
      </c>
      <c r="L207" s="401">
        <v>6069219</v>
      </c>
      <c r="M207" s="397">
        <v>523991</v>
      </c>
      <c r="N207" s="541">
        <f t="shared" si="35"/>
        <v>11.582677946758627</v>
      </c>
      <c r="O207" s="373"/>
      <c r="P207" s="355"/>
      <c r="Q207" s="66"/>
      <c r="R207" s="66"/>
      <c r="S207" s="66"/>
      <c r="T207" s="66"/>
    </row>
    <row r="208" spans="1:20" ht="15">
      <c r="A208" s="225">
        <v>204</v>
      </c>
      <c r="B208" s="540" t="s">
        <v>29</v>
      </c>
      <c r="C208" s="390">
        <v>40494</v>
      </c>
      <c r="D208" s="389" t="s">
        <v>24</v>
      </c>
      <c r="E208" s="391">
        <v>144</v>
      </c>
      <c r="F208" s="391">
        <v>3</v>
      </c>
      <c r="G208" s="391">
        <v>9</v>
      </c>
      <c r="H208" s="399">
        <v>2362</v>
      </c>
      <c r="I208" s="393">
        <v>525</v>
      </c>
      <c r="J208" s="394">
        <f t="shared" si="33"/>
        <v>175</v>
      </c>
      <c r="K208" s="400">
        <f t="shared" si="36"/>
        <v>4.499047619047619</v>
      </c>
      <c r="L208" s="401">
        <v>6058354</v>
      </c>
      <c r="M208" s="397">
        <v>522293</v>
      </c>
      <c r="N208" s="541">
        <f t="shared" si="35"/>
        <v>11.599531297566692</v>
      </c>
      <c r="O208" s="388"/>
      <c r="P208" s="355"/>
      <c r="Q208" s="66"/>
      <c r="R208" s="66"/>
      <c r="S208" s="66"/>
      <c r="T208" s="66"/>
    </row>
    <row r="209" spans="1:15" ht="15">
      <c r="A209" s="225">
        <v>205</v>
      </c>
      <c r="B209" s="542" t="s">
        <v>29</v>
      </c>
      <c r="C209" s="404">
        <v>40494</v>
      </c>
      <c r="D209" s="402" t="s">
        <v>24</v>
      </c>
      <c r="E209" s="403">
        <v>144</v>
      </c>
      <c r="F209" s="403">
        <v>1</v>
      </c>
      <c r="G209" s="403">
        <v>13</v>
      </c>
      <c r="H209" s="399">
        <v>2042</v>
      </c>
      <c r="I209" s="393">
        <v>495</v>
      </c>
      <c r="J209" s="394">
        <f t="shared" si="33"/>
        <v>495</v>
      </c>
      <c r="K209" s="400">
        <f t="shared" si="36"/>
        <v>4.125252525252526</v>
      </c>
      <c r="L209" s="401">
        <v>6072415</v>
      </c>
      <c r="M209" s="397">
        <v>524703</v>
      </c>
      <c r="N209" s="541">
        <f t="shared" si="35"/>
        <v>11.573051802638826</v>
      </c>
      <c r="O209" s="366"/>
    </row>
    <row r="210" spans="1:15" ht="15">
      <c r="A210" s="225">
        <v>206</v>
      </c>
      <c r="B210" s="540" t="s">
        <v>29</v>
      </c>
      <c r="C210" s="390">
        <v>40494</v>
      </c>
      <c r="D210" s="398" t="s">
        <v>24</v>
      </c>
      <c r="E210" s="391">
        <v>144</v>
      </c>
      <c r="F210" s="391">
        <v>1</v>
      </c>
      <c r="G210" s="391">
        <v>12</v>
      </c>
      <c r="H210" s="399">
        <v>1154</v>
      </c>
      <c r="I210" s="393">
        <v>217</v>
      </c>
      <c r="J210" s="394">
        <f t="shared" si="33"/>
        <v>217</v>
      </c>
      <c r="K210" s="400">
        <f t="shared" si="36"/>
        <v>5.317972350230415</v>
      </c>
      <c r="L210" s="401">
        <v>6070373</v>
      </c>
      <c r="M210" s="397">
        <v>524208</v>
      </c>
      <c r="N210" s="541">
        <f t="shared" si="35"/>
        <v>11.58008462289778</v>
      </c>
      <c r="O210" s="373"/>
    </row>
    <row r="211" spans="1:15" ht="15">
      <c r="A211" s="225">
        <v>207</v>
      </c>
      <c r="B211" s="547" t="s">
        <v>52</v>
      </c>
      <c r="C211" s="368">
        <v>40494</v>
      </c>
      <c r="D211" s="451" t="s">
        <v>23</v>
      </c>
      <c r="E211" s="369">
        <v>72</v>
      </c>
      <c r="F211" s="369">
        <v>2</v>
      </c>
      <c r="G211" s="369">
        <v>8</v>
      </c>
      <c r="H211" s="435">
        <v>1110</v>
      </c>
      <c r="I211" s="422">
        <v>180</v>
      </c>
      <c r="J211" s="414">
        <f t="shared" si="33"/>
        <v>90</v>
      </c>
      <c r="K211" s="436">
        <f>+H211/I211</f>
        <v>6.166666666666667</v>
      </c>
      <c r="L211" s="437">
        <v>906333</v>
      </c>
      <c r="M211" s="423">
        <v>84860</v>
      </c>
      <c r="N211" s="550">
        <f t="shared" si="35"/>
        <v>10.680332312043365</v>
      </c>
      <c r="O211" s="373">
        <v>1</v>
      </c>
    </row>
    <row r="212" spans="1:15" ht="15">
      <c r="A212" s="225">
        <v>208</v>
      </c>
      <c r="B212" s="531" t="s">
        <v>94</v>
      </c>
      <c r="C212" s="368">
        <v>40459</v>
      </c>
      <c r="D212" s="451" t="s">
        <v>23</v>
      </c>
      <c r="E212" s="369">
        <v>93</v>
      </c>
      <c r="F212" s="369">
        <v>1</v>
      </c>
      <c r="G212" s="369">
        <v>14</v>
      </c>
      <c r="H212" s="421">
        <v>2415</v>
      </c>
      <c r="I212" s="422">
        <v>875</v>
      </c>
      <c r="J212" s="414">
        <f t="shared" si="33"/>
        <v>875</v>
      </c>
      <c r="K212" s="424">
        <f>+H212/I212</f>
        <v>2.76</v>
      </c>
      <c r="L212" s="425">
        <v>1072374</v>
      </c>
      <c r="M212" s="414">
        <v>99383</v>
      </c>
      <c r="N212" s="546">
        <f t="shared" si="35"/>
        <v>10.790316251270339</v>
      </c>
      <c r="O212" s="452"/>
    </row>
    <row r="213" spans="1:15" ht="15">
      <c r="A213" s="225">
        <v>209</v>
      </c>
      <c r="B213" s="538" t="s">
        <v>59</v>
      </c>
      <c r="C213" s="390">
        <v>40529</v>
      </c>
      <c r="D213" s="389" t="s">
        <v>17</v>
      </c>
      <c r="E213" s="391">
        <v>134</v>
      </c>
      <c r="F213" s="391">
        <v>121</v>
      </c>
      <c r="G213" s="391">
        <v>3</v>
      </c>
      <c r="H213" s="415">
        <v>49789.5</v>
      </c>
      <c r="I213" s="410">
        <v>7079</v>
      </c>
      <c r="J213" s="411">
        <f aca="true" t="shared" si="37" ref="J213:J221">IF(H213&lt;&gt;0,I213/F213,"")</f>
        <v>58.50413223140496</v>
      </c>
      <c r="K213" s="416">
        <f aca="true" t="shared" si="38" ref="K213:K221">IF(H213&lt;&gt;0,H213/I213,"")</f>
        <v>7.0334086735414605</v>
      </c>
      <c r="L213" s="417">
        <f>244174+121219.5+H213</f>
        <v>415183</v>
      </c>
      <c r="M213" s="414">
        <f>29518+15718+I213</f>
        <v>52315</v>
      </c>
      <c r="N213" s="544">
        <f aca="true" t="shared" si="39" ref="N213:N221">IF(L213&lt;&gt;0,L213/M213,"")</f>
        <v>7.936213323138679</v>
      </c>
      <c r="O213" s="373"/>
    </row>
    <row r="214" spans="1:15" ht="15">
      <c r="A214" s="225">
        <v>210</v>
      </c>
      <c r="B214" s="540" t="s">
        <v>92</v>
      </c>
      <c r="C214" s="390">
        <v>40529</v>
      </c>
      <c r="D214" s="398" t="s">
        <v>17</v>
      </c>
      <c r="E214" s="391">
        <v>134</v>
      </c>
      <c r="F214" s="391">
        <v>2</v>
      </c>
      <c r="G214" s="391">
        <v>10</v>
      </c>
      <c r="H214" s="413">
        <v>4630</v>
      </c>
      <c r="I214" s="463">
        <v>683</v>
      </c>
      <c r="J214" s="411">
        <f t="shared" si="37"/>
        <v>341.5</v>
      </c>
      <c r="K214" s="412">
        <f t="shared" si="38"/>
        <v>6.77891654465593</v>
      </c>
      <c r="L214" s="413">
        <f>415183+3929+3246+2363+1074+230+2072+4630</f>
        <v>432727</v>
      </c>
      <c r="M214" s="414">
        <f>52315+638+476+361+299+38+414+683</f>
        <v>55224</v>
      </c>
      <c r="N214" s="543">
        <f t="shared" si="39"/>
        <v>7.8358503549181515</v>
      </c>
      <c r="O214" s="388">
        <v>1</v>
      </c>
    </row>
    <row r="215" spans="1:15" ht="15">
      <c r="A215" s="225">
        <v>211</v>
      </c>
      <c r="B215" s="540" t="s">
        <v>92</v>
      </c>
      <c r="C215" s="390">
        <v>40529</v>
      </c>
      <c r="D215" s="389" t="s">
        <v>17</v>
      </c>
      <c r="E215" s="391">
        <v>134</v>
      </c>
      <c r="F215" s="391">
        <v>12</v>
      </c>
      <c r="G215" s="391">
        <v>4</v>
      </c>
      <c r="H215" s="409">
        <v>3929</v>
      </c>
      <c r="I215" s="410">
        <v>638</v>
      </c>
      <c r="J215" s="411">
        <f t="shared" si="37"/>
        <v>53.166666666666664</v>
      </c>
      <c r="K215" s="412">
        <f t="shared" si="38"/>
        <v>6.158307210031348</v>
      </c>
      <c r="L215" s="413">
        <f>415183+3929</f>
        <v>419112</v>
      </c>
      <c r="M215" s="414">
        <f>52315+638</f>
        <v>52953</v>
      </c>
      <c r="N215" s="543">
        <f t="shared" si="39"/>
        <v>7.914792363038921</v>
      </c>
      <c r="O215" s="388">
        <v>1</v>
      </c>
    </row>
    <row r="216" spans="1:15" ht="15">
      <c r="A216" s="225">
        <v>212</v>
      </c>
      <c r="B216" s="542" t="s">
        <v>92</v>
      </c>
      <c r="C216" s="390">
        <v>40529</v>
      </c>
      <c r="D216" s="402" t="s">
        <v>17</v>
      </c>
      <c r="E216" s="403">
        <v>134</v>
      </c>
      <c r="F216" s="403">
        <v>8</v>
      </c>
      <c r="G216" s="403">
        <v>5</v>
      </c>
      <c r="H216" s="409">
        <v>3246</v>
      </c>
      <c r="I216" s="410">
        <v>476</v>
      </c>
      <c r="J216" s="411">
        <f t="shared" si="37"/>
        <v>59.5</v>
      </c>
      <c r="K216" s="412">
        <f t="shared" si="38"/>
        <v>6.819327731092437</v>
      </c>
      <c r="L216" s="413">
        <f>415183+3929+3246</f>
        <v>422358</v>
      </c>
      <c r="M216" s="414">
        <f>52315+638+476</f>
        <v>53429</v>
      </c>
      <c r="N216" s="543">
        <f t="shared" si="39"/>
        <v>7.9050328473301015</v>
      </c>
      <c r="O216" s="366">
        <v>1</v>
      </c>
    </row>
    <row r="217" spans="1:15" ht="15">
      <c r="A217" s="225">
        <v>213</v>
      </c>
      <c r="B217" s="538" t="s">
        <v>59</v>
      </c>
      <c r="C217" s="390">
        <v>40529</v>
      </c>
      <c r="D217" s="398" t="s">
        <v>17</v>
      </c>
      <c r="E217" s="391">
        <v>134</v>
      </c>
      <c r="F217" s="391">
        <v>6</v>
      </c>
      <c r="G217" s="391">
        <v>6</v>
      </c>
      <c r="H217" s="409">
        <v>2363</v>
      </c>
      <c r="I217" s="410">
        <v>361</v>
      </c>
      <c r="J217" s="411">
        <f t="shared" si="37"/>
        <v>60.166666666666664</v>
      </c>
      <c r="K217" s="412">
        <f t="shared" si="38"/>
        <v>6.545706371191136</v>
      </c>
      <c r="L217" s="413">
        <f>415183+3929+3246+2363</f>
        <v>424721</v>
      </c>
      <c r="M217" s="414">
        <f>52315+638+476+361</f>
        <v>53790</v>
      </c>
      <c r="N217" s="543">
        <f t="shared" si="39"/>
        <v>7.8959100204498975</v>
      </c>
      <c r="O217" s="388">
        <v>1</v>
      </c>
    </row>
    <row r="218" spans="1:15" ht="15">
      <c r="A218" s="225">
        <v>214</v>
      </c>
      <c r="B218" s="542" t="s">
        <v>59</v>
      </c>
      <c r="C218" s="404">
        <v>40529</v>
      </c>
      <c r="D218" s="402" t="s">
        <v>17</v>
      </c>
      <c r="E218" s="403">
        <v>134</v>
      </c>
      <c r="F218" s="403">
        <v>2</v>
      </c>
      <c r="G218" s="403">
        <v>9</v>
      </c>
      <c r="H218" s="415">
        <v>2072</v>
      </c>
      <c r="I218" s="464">
        <v>414</v>
      </c>
      <c r="J218" s="465">
        <f t="shared" si="37"/>
        <v>207</v>
      </c>
      <c r="K218" s="416">
        <f t="shared" si="38"/>
        <v>5.004830917874396</v>
      </c>
      <c r="L218" s="417">
        <f>415183+3929+3246+2363+1074+230+2072</f>
        <v>428097</v>
      </c>
      <c r="M218" s="466">
        <f>52315+638+476+361+299+38+414</f>
        <v>54541</v>
      </c>
      <c r="N218" s="544">
        <f t="shared" si="39"/>
        <v>7.84908600869071</v>
      </c>
      <c r="O218" s="366">
        <v>1</v>
      </c>
    </row>
    <row r="219" spans="1:15" ht="15">
      <c r="A219" s="225">
        <v>215</v>
      </c>
      <c r="B219" s="559" t="s">
        <v>59</v>
      </c>
      <c r="C219" s="510">
        <v>40529</v>
      </c>
      <c r="D219" s="511" t="s">
        <v>17</v>
      </c>
      <c r="E219" s="512">
        <v>134</v>
      </c>
      <c r="F219" s="512">
        <v>1</v>
      </c>
      <c r="G219" s="512">
        <v>11</v>
      </c>
      <c r="H219" s="409">
        <v>1180</v>
      </c>
      <c r="I219" s="410">
        <v>192</v>
      </c>
      <c r="J219" s="513">
        <f t="shared" si="37"/>
        <v>192</v>
      </c>
      <c r="K219" s="514">
        <f t="shared" si="38"/>
        <v>6.145833333333333</v>
      </c>
      <c r="L219" s="413">
        <f>415183+3929+3246+2363+1074+230+2072+4630+1180</f>
        <v>433907</v>
      </c>
      <c r="M219" s="414">
        <f>52315+638+476+361+299+38+414+683+192</f>
        <v>55416</v>
      </c>
      <c r="N219" s="569">
        <f t="shared" si="39"/>
        <v>7.829994947307637</v>
      </c>
      <c r="O219" s="586">
        <v>1</v>
      </c>
    </row>
    <row r="220" spans="1:15" ht="15">
      <c r="A220" s="225">
        <v>216</v>
      </c>
      <c r="B220" s="559" t="s">
        <v>59</v>
      </c>
      <c r="C220" s="390">
        <v>40529</v>
      </c>
      <c r="D220" s="398" t="s">
        <v>17</v>
      </c>
      <c r="E220" s="391">
        <v>134</v>
      </c>
      <c r="F220" s="391">
        <v>6</v>
      </c>
      <c r="G220" s="391">
        <v>6</v>
      </c>
      <c r="H220" s="409">
        <v>1074</v>
      </c>
      <c r="I220" s="410">
        <v>299</v>
      </c>
      <c r="J220" s="411">
        <f t="shared" si="37"/>
        <v>49.833333333333336</v>
      </c>
      <c r="K220" s="412">
        <f t="shared" si="38"/>
        <v>3.591973244147157</v>
      </c>
      <c r="L220" s="413">
        <f>415183+3929+3246+2363+1074</f>
        <v>425795</v>
      </c>
      <c r="M220" s="414">
        <f>52315+638+476+361+299</f>
        <v>54089</v>
      </c>
      <c r="N220" s="543">
        <f t="shared" si="39"/>
        <v>7.872118175599475</v>
      </c>
      <c r="O220" s="408">
        <v>1</v>
      </c>
    </row>
    <row r="221" spans="1:15" ht="15">
      <c r="A221" s="225">
        <v>217</v>
      </c>
      <c r="B221" s="542" t="s">
        <v>92</v>
      </c>
      <c r="C221" s="404">
        <v>40529</v>
      </c>
      <c r="D221" s="402" t="s">
        <v>17</v>
      </c>
      <c r="E221" s="403">
        <v>134</v>
      </c>
      <c r="F221" s="403">
        <v>1</v>
      </c>
      <c r="G221" s="403">
        <v>8</v>
      </c>
      <c r="H221" s="409">
        <v>230</v>
      </c>
      <c r="I221" s="410">
        <v>38</v>
      </c>
      <c r="J221" s="411">
        <f t="shared" si="37"/>
        <v>38</v>
      </c>
      <c r="K221" s="412">
        <f t="shared" si="38"/>
        <v>6.052631578947368</v>
      </c>
      <c r="L221" s="413">
        <f>415183+3929+3246+2363+1074+230</f>
        <v>426025</v>
      </c>
      <c r="M221" s="414">
        <f>52315+638+476+361+299+38</f>
        <v>54127</v>
      </c>
      <c r="N221" s="543">
        <f t="shared" si="39"/>
        <v>7.870840800339941</v>
      </c>
      <c r="O221" s="366">
        <v>1</v>
      </c>
    </row>
    <row r="222" spans="1:15" ht="15">
      <c r="A222" s="225">
        <v>218</v>
      </c>
      <c r="B222" s="537" t="s">
        <v>161</v>
      </c>
      <c r="C222" s="358">
        <v>40053</v>
      </c>
      <c r="D222" s="357" t="s">
        <v>119</v>
      </c>
      <c r="E222" s="359">
        <v>14</v>
      </c>
      <c r="F222" s="359">
        <v>1</v>
      </c>
      <c r="G222" s="359">
        <v>11</v>
      </c>
      <c r="H222" s="360">
        <v>952</v>
      </c>
      <c r="I222" s="361">
        <v>238</v>
      </c>
      <c r="J222" s="362">
        <f>(I222/F222)</f>
        <v>238</v>
      </c>
      <c r="K222" s="363">
        <f>H222/I222</f>
        <v>4</v>
      </c>
      <c r="L222" s="364">
        <f>46744+27773.5+29652+15092+1850+3126+1717.5+468+83+54+952</f>
        <v>127512</v>
      </c>
      <c r="M222" s="365">
        <f>3724+2772+2752+1903+308+472+380+135+20+18+238</f>
        <v>12722</v>
      </c>
      <c r="N222" s="532">
        <f>L222/M222</f>
        <v>10.022952365980192</v>
      </c>
      <c r="O222" s="366"/>
    </row>
    <row r="223" spans="1:15" ht="15">
      <c r="A223" s="225">
        <v>219</v>
      </c>
      <c r="B223" s="537" t="s">
        <v>161</v>
      </c>
      <c r="C223" s="358">
        <v>40053</v>
      </c>
      <c r="D223" s="357" t="s">
        <v>119</v>
      </c>
      <c r="E223" s="359">
        <v>14</v>
      </c>
      <c r="F223" s="359">
        <v>1</v>
      </c>
      <c r="G223" s="359">
        <v>12</v>
      </c>
      <c r="H223" s="370">
        <v>236</v>
      </c>
      <c r="I223" s="376">
        <v>59</v>
      </c>
      <c r="J223" s="377">
        <f>(I223/F223)</f>
        <v>59</v>
      </c>
      <c r="K223" s="371">
        <f>H223/I223</f>
        <v>4</v>
      </c>
      <c r="L223" s="372">
        <f>46744+27773.5+29652+15092+1850+3126+1717.5+468+83+54+952+236</f>
        <v>127748</v>
      </c>
      <c r="M223" s="378">
        <f>3724+2772+2752+1903+308+472+380+135+20+18+238+59</f>
        <v>12781</v>
      </c>
      <c r="N223" s="534">
        <f>L223/M223</f>
        <v>9.99514904937016</v>
      </c>
      <c r="O223" s="366"/>
    </row>
    <row r="224" spans="1:15" ht="15">
      <c r="A224" s="225">
        <v>220</v>
      </c>
      <c r="B224" s="551" t="s">
        <v>152</v>
      </c>
      <c r="C224" s="390">
        <v>40529</v>
      </c>
      <c r="D224" s="473" t="s">
        <v>27</v>
      </c>
      <c r="E224" s="403">
        <v>32</v>
      </c>
      <c r="F224" s="403">
        <v>5</v>
      </c>
      <c r="G224" s="403">
        <v>3</v>
      </c>
      <c r="H224" s="474">
        <v>964</v>
      </c>
      <c r="I224" s="468">
        <v>140</v>
      </c>
      <c r="J224" s="411">
        <f>+I224/F224</f>
        <v>28</v>
      </c>
      <c r="K224" s="416">
        <f>+H224/I224</f>
        <v>6.885714285714286</v>
      </c>
      <c r="L224" s="475">
        <v>18563</v>
      </c>
      <c r="M224" s="471">
        <v>1767</v>
      </c>
      <c r="N224" s="544">
        <f>+L224/M224</f>
        <v>10.505376344086022</v>
      </c>
      <c r="O224" s="450"/>
    </row>
    <row r="225" spans="1:15" ht="15">
      <c r="A225" s="225">
        <v>221</v>
      </c>
      <c r="B225" s="542" t="s">
        <v>101</v>
      </c>
      <c r="C225" s="390">
        <v>40529</v>
      </c>
      <c r="D225" s="473" t="s">
        <v>27</v>
      </c>
      <c r="E225" s="403">
        <v>32</v>
      </c>
      <c r="F225" s="403">
        <v>1</v>
      </c>
      <c r="G225" s="403">
        <v>4</v>
      </c>
      <c r="H225" s="467">
        <v>523</v>
      </c>
      <c r="I225" s="468">
        <v>92</v>
      </c>
      <c r="J225" s="411">
        <f>+I225/F225</f>
        <v>92</v>
      </c>
      <c r="K225" s="412">
        <f>+H225/I225</f>
        <v>5.684782608695652</v>
      </c>
      <c r="L225" s="470">
        <v>19085</v>
      </c>
      <c r="M225" s="471">
        <v>1859</v>
      </c>
      <c r="N225" s="543">
        <f>+L225/M225</f>
        <v>10.266272189349113</v>
      </c>
      <c r="O225" s="388">
        <v>1</v>
      </c>
    </row>
    <row r="226" spans="1:15" ht="15">
      <c r="A226" s="225">
        <v>222</v>
      </c>
      <c r="B226" s="533" t="s">
        <v>8</v>
      </c>
      <c r="C226" s="368">
        <v>40347</v>
      </c>
      <c r="D226" s="357" t="s">
        <v>119</v>
      </c>
      <c r="E226" s="369">
        <v>2</v>
      </c>
      <c r="F226" s="369">
        <v>1</v>
      </c>
      <c r="G226" s="369">
        <v>20</v>
      </c>
      <c r="H226" s="370">
        <v>713</v>
      </c>
      <c r="I226" s="361">
        <v>178</v>
      </c>
      <c r="J226" s="362">
        <f>(I226/F226)</f>
        <v>178</v>
      </c>
      <c r="K226" s="371">
        <f>H226/I226</f>
        <v>4.00561797752809</v>
      </c>
      <c r="L226" s="372">
        <f>15693+762+1031+1133+707+492+1323.5+1397+447+357+524+229+713</f>
        <v>24808.5</v>
      </c>
      <c r="M226" s="365">
        <f>1559+119+194+179+86+57+150+195+165+58+85+48+178</f>
        <v>3073</v>
      </c>
      <c r="N226" s="534">
        <f>L226/M226</f>
        <v>8.073055645948584</v>
      </c>
      <c r="O226" s="373">
        <v>1</v>
      </c>
    </row>
    <row r="227" spans="1:15" ht="15">
      <c r="A227" s="225">
        <v>223</v>
      </c>
      <c r="B227" s="547" t="s">
        <v>71</v>
      </c>
      <c r="C227" s="368">
        <v>40536</v>
      </c>
      <c r="D227" s="451" t="s">
        <v>23</v>
      </c>
      <c r="E227" s="369">
        <v>112</v>
      </c>
      <c r="F227" s="369">
        <v>116</v>
      </c>
      <c r="G227" s="369">
        <v>2</v>
      </c>
      <c r="H227" s="435">
        <v>694227</v>
      </c>
      <c r="I227" s="422">
        <v>58647</v>
      </c>
      <c r="J227" s="414">
        <f aca="true" t="shared" si="40" ref="J227:J237">I227/F227</f>
        <v>505.57758620689657</v>
      </c>
      <c r="K227" s="436">
        <f aca="true" t="shared" si="41" ref="K227:K237">+H227/I227</f>
        <v>11.837382986342012</v>
      </c>
      <c r="L227" s="437">
        <v>1663782</v>
      </c>
      <c r="M227" s="423">
        <v>141056</v>
      </c>
      <c r="N227" s="550">
        <f aca="true" t="shared" si="42" ref="N227:N237">+L227/M227</f>
        <v>11.795187726860254</v>
      </c>
      <c r="O227" s="388"/>
    </row>
    <row r="228" spans="1:15" ht="15">
      <c r="A228" s="225">
        <v>224</v>
      </c>
      <c r="B228" s="531" t="s">
        <v>71</v>
      </c>
      <c r="C228" s="368">
        <v>40536</v>
      </c>
      <c r="D228" s="451" t="s">
        <v>23</v>
      </c>
      <c r="E228" s="369">
        <v>112</v>
      </c>
      <c r="F228" s="369">
        <v>114</v>
      </c>
      <c r="G228" s="369">
        <v>3</v>
      </c>
      <c r="H228" s="421">
        <v>439081</v>
      </c>
      <c r="I228" s="422">
        <v>38093</v>
      </c>
      <c r="J228" s="414">
        <f t="shared" si="40"/>
        <v>334.14912280701753</v>
      </c>
      <c r="K228" s="424">
        <f t="shared" si="41"/>
        <v>11.526553435014307</v>
      </c>
      <c r="L228" s="425">
        <v>2102863</v>
      </c>
      <c r="M228" s="423">
        <v>179149</v>
      </c>
      <c r="N228" s="546">
        <f t="shared" si="42"/>
        <v>11.738067195462994</v>
      </c>
      <c r="O228" s="452"/>
    </row>
    <row r="229" spans="1:15" ht="15">
      <c r="A229" s="225">
        <v>225</v>
      </c>
      <c r="B229" s="545" t="s">
        <v>71</v>
      </c>
      <c r="C229" s="368">
        <v>40536</v>
      </c>
      <c r="D229" s="357" t="s">
        <v>23</v>
      </c>
      <c r="E229" s="359">
        <v>112</v>
      </c>
      <c r="F229" s="359">
        <v>67</v>
      </c>
      <c r="G229" s="359">
        <v>7</v>
      </c>
      <c r="H229" s="421">
        <v>251883</v>
      </c>
      <c r="I229" s="422">
        <v>23368</v>
      </c>
      <c r="J229" s="414">
        <f t="shared" si="40"/>
        <v>348.7761194029851</v>
      </c>
      <c r="K229" s="424">
        <f t="shared" si="41"/>
        <v>10.778971242725094</v>
      </c>
      <c r="L229" s="425">
        <v>2567209</v>
      </c>
      <c r="M229" s="423">
        <v>225627</v>
      </c>
      <c r="N229" s="546">
        <f t="shared" si="42"/>
        <v>11.378110775749356</v>
      </c>
      <c r="O229" s="375"/>
    </row>
    <row r="230" spans="1:15" ht="15">
      <c r="A230" s="225">
        <v>226</v>
      </c>
      <c r="B230" s="548" t="s">
        <v>71</v>
      </c>
      <c r="C230" s="453">
        <v>40536</v>
      </c>
      <c r="D230" s="454" t="s">
        <v>23</v>
      </c>
      <c r="E230" s="429">
        <v>112</v>
      </c>
      <c r="F230" s="429">
        <v>51</v>
      </c>
      <c r="G230" s="429">
        <v>4</v>
      </c>
      <c r="H230" s="430">
        <v>136869</v>
      </c>
      <c r="I230" s="431">
        <v>12796</v>
      </c>
      <c r="J230" s="432">
        <f t="shared" si="40"/>
        <v>250.90196078431373</v>
      </c>
      <c r="K230" s="433">
        <f t="shared" si="41"/>
        <v>10.696233197874335</v>
      </c>
      <c r="L230" s="434">
        <v>2239732</v>
      </c>
      <c r="M230" s="432">
        <v>191945</v>
      </c>
      <c r="N230" s="549">
        <f t="shared" si="42"/>
        <v>11.668613404881606</v>
      </c>
      <c r="O230" s="455"/>
    </row>
    <row r="231" spans="1:15" ht="15">
      <c r="A231" s="225">
        <v>227</v>
      </c>
      <c r="B231" s="548" t="s">
        <v>71</v>
      </c>
      <c r="C231" s="453">
        <v>40536</v>
      </c>
      <c r="D231" s="454" t="s">
        <v>23</v>
      </c>
      <c r="E231" s="429">
        <v>112</v>
      </c>
      <c r="F231" s="429">
        <v>76</v>
      </c>
      <c r="G231" s="429">
        <v>8</v>
      </c>
      <c r="H231" s="430">
        <v>133175</v>
      </c>
      <c r="I231" s="431">
        <v>12385</v>
      </c>
      <c r="J231" s="432">
        <f t="shared" si="40"/>
        <v>162.96052631578948</v>
      </c>
      <c r="K231" s="433">
        <f t="shared" si="41"/>
        <v>10.752926927735164</v>
      </c>
      <c r="L231" s="434">
        <v>2700384</v>
      </c>
      <c r="M231" s="432">
        <v>238012</v>
      </c>
      <c r="N231" s="549">
        <f t="shared" si="42"/>
        <v>11.345579214493387</v>
      </c>
      <c r="O231" s="408"/>
    </row>
    <row r="232" spans="1:15" ht="15">
      <c r="A232" s="225">
        <v>228</v>
      </c>
      <c r="B232" s="531" t="s">
        <v>71</v>
      </c>
      <c r="C232" s="368">
        <v>40536</v>
      </c>
      <c r="D232" s="488" t="s">
        <v>23</v>
      </c>
      <c r="E232" s="369">
        <v>112</v>
      </c>
      <c r="F232" s="369">
        <v>16</v>
      </c>
      <c r="G232" s="369">
        <v>6</v>
      </c>
      <c r="H232" s="421">
        <v>40300</v>
      </c>
      <c r="I232" s="422">
        <v>4735</v>
      </c>
      <c r="J232" s="414">
        <f t="shared" si="40"/>
        <v>295.9375</v>
      </c>
      <c r="K232" s="424">
        <f t="shared" si="41"/>
        <v>8.511087645195353</v>
      </c>
      <c r="L232" s="425">
        <v>2315326</v>
      </c>
      <c r="M232" s="423">
        <v>202259</v>
      </c>
      <c r="N232" s="541">
        <f t="shared" si="42"/>
        <v>11.447332380759324</v>
      </c>
      <c r="O232" s="373"/>
    </row>
    <row r="233" spans="1:15" ht="15">
      <c r="A233" s="225">
        <v>229</v>
      </c>
      <c r="B233" s="547" t="s">
        <v>71</v>
      </c>
      <c r="C233" s="368">
        <v>40536</v>
      </c>
      <c r="D233" s="488" t="s">
        <v>23</v>
      </c>
      <c r="E233" s="369">
        <v>112</v>
      </c>
      <c r="F233" s="369">
        <v>26</v>
      </c>
      <c r="G233" s="369">
        <v>5</v>
      </c>
      <c r="H233" s="421">
        <v>35294</v>
      </c>
      <c r="I233" s="422">
        <v>5579</v>
      </c>
      <c r="J233" s="414">
        <f t="shared" si="40"/>
        <v>214.57692307692307</v>
      </c>
      <c r="K233" s="424">
        <f t="shared" si="41"/>
        <v>6.3262233375156836</v>
      </c>
      <c r="L233" s="425">
        <v>2275026</v>
      </c>
      <c r="M233" s="423">
        <v>197524</v>
      </c>
      <c r="N233" s="546">
        <f t="shared" si="42"/>
        <v>11.51771936574796</v>
      </c>
      <c r="O233" s="452"/>
    </row>
    <row r="234" spans="1:15" ht="15">
      <c r="A234" s="225">
        <v>230</v>
      </c>
      <c r="B234" s="545" t="s">
        <v>71</v>
      </c>
      <c r="C234" s="358">
        <v>40536</v>
      </c>
      <c r="D234" s="357" t="s">
        <v>23</v>
      </c>
      <c r="E234" s="359">
        <v>112</v>
      </c>
      <c r="F234" s="359">
        <v>21</v>
      </c>
      <c r="G234" s="359">
        <v>9</v>
      </c>
      <c r="H234" s="421">
        <v>25605</v>
      </c>
      <c r="I234" s="422">
        <v>2458</v>
      </c>
      <c r="J234" s="414">
        <f t="shared" si="40"/>
        <v>117.04761904761905</v>
      </c>
      <c r="K234" s="424">
        <f t="shared" si="41"/>
        <v>10.417005695687552</v>
      </c>
      <c r="L234" s="425">
        <v>2725989</v>
      </c>
      <c r="M234" s="423">
        <v>240471</v>
      </c>
      <c r="N234" s="546">
        <f t="shared" si="42"/>
        <v>11.33604052047856</v>
      </c>
      <c r="O234" s="366"/>
    </row>
    <row r="235" spans="1:15" ht="15">
      <c r="A235" s="225">
        <v>231</v>
      </c>
      <c r="B235" s="545" t="s">
        <v>71</v>
      </c>
      <c r="C235" s="358">
        <v>40536</v>
      </c>
      <c r="D235" s="357" t="s">
        <v>23</v>
      </c>
      <c r="E235" s="359">
        <v>112</v>
      </c>
      <c r="F235" s="359">
        <v>15</v>
      </c>
      <c r="G235" s="359">
        <v>10</v>
      </c>
      <c r="H235" s="435">
        <v>6766</v>
      </c>
      <c r="I235" s="489">
        <v>855</v>
      </c>
      <c r="J235" s="466">
        <f t="shared" si="40"/>
        <v>57</v>
      </c>
      <c r="K235" s="436">
        <f t="shared" si="41"/>
        <v>7.913450292397661</v>
      </c>
      <c r="L235" s="437">
        <v>2732755</v>
      </c>
      <c r="M235" s="490">
        <v>241326</v>
      </c>
      <c r="N235" s="550">
        <f t="shared" si="42"/>
        <v>11.323914538839578</v>
      </c>
      <c r="O235" s="366"/>
    </row>
    <row r="236" spans="1:15" ht="15">
      <c r="A236" s="225">
        <v>232</v>
      </c>
      <c r="B236" s="531" t="s">
        <v>71</v>
      </c>
      <c r="C236" s="368">
        <v>40536</v>
      </c>
      <c r="D236" s="488" t="s">
        <v>23</v>
      </c>
      <c r="E236" s="369">
        <v>112</v>
      </c>
      <c r="F236" s="369">
        <v>11</v>
      </c>
      <c r="G236" s="369">
        <v>11</v>
      </c>
      <c r="H236" s="425">
        <v>4094</v>
      </c>
      <c r="I236" s="414">
        <v>695</v>
      </c>
      <c r="J236" s="414">
        <f t="shared" si="40"/>
        <v>63.18181818181818</v>
      </c>
      <c r="K236" s="424">
        <f t="shared" si="41"/>
        <v>5.890647482014389</v>
      </c>
      <c r="L236" s="425">
        <v>2736849</v>
      </c>
      <c r="M236" s="423">
        <v>242021</v>
      </c>
      <c r="N236" s="546">
        <f t="shared" si="42"/>
        <v>11.30831208862041</v>
      </c>
      <c r="O236" s="452"/>
    </row>
    <row r="237" spans="1:15" ht="15">
      <c r="A237" s="225">
        <v>233</v>
      </c>
      <c r="B237" s="565" t="s">
        <v>71</v>
      </c>
      <c r="C237" s="501">
        <v>40536</v>
      </c>
      <c r="D237" s="502" t="s">
        <v>23</v>
      </c>
      <c r="E237" s="503">
        <v>112</v>
      </c>
      <c r="F237" s="503">
        <v>7</v>
      </c>
      <c r="G237" s="503">
        <v>12</v>
      </c>
      <c r="H237" s="504">
        <v>3805</v>
      </c>
      <c r="I237" s="505">
        <v>818</v>
      </c>
      <c r="J237" s="506">
        <f t="shared" si="40"/>
        <v>116.85714285714286</v>
      </c>
      <c r="K237" s="507">
        <f t="shared" si="41"/>
        <v>4.65158924205379</v>
      </c>
      <c r="L237" s="508">
        <v>2740654</v>
      </c>
      <c r="M237" s="509">
        <v>242839</v>
      </c>
      <c r="N237" s="566">
        <f t="shared" si="42"/>
        <v>11.28588900464917</v>
      </c>
      <c r="O237" s="586"/>
    </row>
    <row r="238" spans="1:15" ht="15">
      <c r="A238" s="225">
        <v>234</v>
      </c>
      <c r="B238" s="533" t="s">
        <v>63</v>
      </c>
      <c r="C238" s="368">
        <v>40529</v>
      </c>
      <c r="D238" s="367" t="s">
        <v>26</v>
      </c>
      <c r="E238" s="369">
        <v>5</v>
      </c>
      <c r="F238" s="369">
        <v>3</v>
      </c>
      <c r="G238" s="369">
        <v>3</v>
      </c>
      <c r="H238" s="435">
        <v>2915</v>
      </c>
      <c r="I238" s="422">
        <v>305</v>
      </c>
      <c r="J238" s="411">
        <f>IF(H238&lt;&gt;0,I238/F238,"")</f>
        <v>101.66666666666667</v>
      </c>
      <c r="K238" s="416">
        <f>IF(H238&lt;&gt;0,H238/I238,"")</f>
        <v>9.557377049180328</v>
      </c>
      <c r="L238" s="437">
        <f>9892.5+4913+2915</f>
        <v>17720.5</v>
      </c>
      <c r="M238" s="414">
        <f>1037+523+305</f>
        <v>1865</v>
      </c>
      <c r="N238" s="544">
        <f>IF(L238&lt;&gt;0,L238/M238,"")</f>
        <v>9.501608579088472</v>
      </c>
      <c r="O238" s="373"/>
    </row>
    <row r="239" spans="1:15" ht="15">
      <c r="A239" s="225">
        <v>235</v>
      </c>
      <c r="B239" s="533" t="s">
        <v>98</v>
      </c>
      <c r="C239" s="368">
        <v>40410</v>
      </c>
      <c r="D239" s="357" t="s">
        <v>119</v>
      </c>
      <c r="E239" s="369">
        <v>100</v>
      </c>
      <c r="F239" s="369">
        <v>1</v>
      </c>
      <c r="G239" s="369">
        <v>18</v>
      </c>
      <c r="H239" s="360">
        <v>1782</v>
      </c>
      <c r="I239" s="361">
        <v>445</v>
      </c>
      <c r="J239" s="362">
        <f aca="true" t="shared" si="43" ref="J239:J258">(I239/F239)</f>
        <v>445</v>
      </c>
      <c r="K239" s="363">
        <f aca="true" t="shared" si="44" ref="K239:K259">H239/I239</f>
        <v>4.004494382022472</v>
      </c>
      <c r="L239" s="364">
        <f>4793.5+233907+173006+95171+69286+22212.5+11921.5+10683+6473+5548+3621+5930+360+5346+2138.5+6058.5+4752+950.5+1782</f>
        <v>663940</v>
      </c>
      <c r="M239" s="365">
        <f>312+25267+17706+10642+10638+3791+2335+2134+1501+1673+635+1434+72+1336+534+1515+1188+238+445</f>
        <v>83396</v>
      </c>
      <c r="N239" s="532">
        <f aca="true" t="shared" si="45" ref="N239:N258">L239/M239</f>
        <v>7.9612931075830975</v>
      </c>
      <c r="O239" s="373"/>
    </row>
    <row r="240" spans="1:15" ht="15">
      <c r="A240" s="225">
        <v>236</v>
      </c>
      <c r="B240" s="531" t="s">
        <v>98</v>
      </c>
      <c r="C240" s="368">
        <v>40410</v>
      </c>
      <c r="D240" s="357" t="s">
        <v>119</v>
      </c>
      <c r="E240" s="369">
        <v>100</v>
      </c>
      <c r="F240" s="369">
        <v>1</v>
      </c>
      <c r="G240" s="369">
        <v>17</v>
      </c>
      <c r="H240" s="360">
        <v>950.5</v>
      </c>
      <c r="I240" s="361">
        <v>238</v>
      </c>
      <c r="J240" s="362">
        <f t="shared" si="43"/>
        <v>238</v>
      </c>
      <c r="K240" s="363">
        <f t="shared" si="44"/>
        <v>3.9936974789915967</v>
      </c>
      <c r="L240" s="364">
        <f>4793.5+233907+173006+95171+69286+22212.5+11921.5+10683+6473+5548+3621+5930+360+5346+2138.5+6058.5+4752+950.5</f>
        <v>662158</v>
      </c>
      <c r="M240" s="365">
        <f>312+25267+17706+10642+10638+3791+2335+2134+1501+1673+635+1434+72+1336+534+1515+1188+238</f>
        <v>82951</v>
      </c>
      <c r="N240" s="532">
        <f t="shared" si="45"/>
        <v>7.9825198008462825</v>
      </c>
      <c r="O240" s="450"/>
    </row>
    <row r="241" spans="1:15" ht="15">
      <c r="A241" s="225">
        <v>237</v>
      </c>
      <c r="B241" s="537" t="s">
        <v>162</v>
      </c>
      <c r="C241" s="358">
        <v>40039</v>
      </c>
      <c r="D241" s="357" t="s">
        <v>119</v>
      </c>
      <c r="E241" s="359">
        <v>8</v>
      </c>
      <c r="F241" s="359">
        <v>1</v>
      </c>
      <c r="G241" s="359">
        <v>11</v>
      </c>
      <c r="H241" s="360">
        <v>952</v>
      </c>
      <c r="I241" s="361">
        <v>238</v>
      </c>
      <c r="J241" s="362">
        <f t="shared" si="43"/>
        <v>238</v>
      </c>
      <c r="K241" s="363">
        <f t="shared" si="44"/>
        <v>4</v>
      </c>
      <c r="L241" s="364">
        <f>29121.25+9335.5+10783.5+6805.5+6780.5+3746+1541.5+84+273+1188+952</f>
        <v>70610.75</v>
      </c>
      <c r="M241" s="365">
        <f>2428+976+1509+1029+1087+466+273+24+62+297+238</f>
        <v>8389</v>
      </c>
      <c r="N241" s="532">
        <f t="shared" si="45"/>
        <v>8.417064012397187</v>
      </c>
      <c r="O241" s="366"/>
    </row>
    <row r="242" spans="1:15" ht="15">
      <c r="A242" s="225">
        <v>238</v>
      </c>
      <c r="B242" s="570" t="s">
        <v>2</v>
      </c>
      <c r="C242" s="368">
        <v>40522</v>
      </c>
      <c r="D242" s="357" t="s">
        <v>119</v>
      </c>
      <c r="E242" s="369">
        <v>127</v>
      </c>
      <c r="F242" s="369">
        <v>65</v>
      </c>
      <c r="G242" s="369">
        <v>4</v>
      </c>
      <c r="H242" s="370">
        <v>70165.5</v>
      </c>
      <c r="I242" s="361">
        <v>8841</v>
      </c>
      <c r="J242" s="362">
        <f t="shared" si="43"/>
        <v>136.01538461538462</v>
      </c>
      <c r="K242" s="371">
        <f t="shared" si="44"/>
        <v>7.9363759755683745</v>
      </c>
      <c r="L242" s="372">
        <f>1048675+809166.5+457718.5+70165.5</f>
        <v>2385725.5</v>
      </c>
      <c r="M242" s="365">
        <f>92481+73795+43350+8841</f>
        <v>218467</v>
      </c>
      <c r="N242" s="534">
        <f t="shared" si="45"/>
        <v>10.92030146429438</v>
      </c>
      <c r="O242" s="450">
        <v>1</v>
      </c>
    </row>
    <row r="243" spans="1:15" ht="15">
      <c r="A243" s="225">
        <v>239</v>
      </c>
      <c r="B243" s="571" t="s">
        <v>2</v>
      </c>
      <c r="C243" s="379">
        <v>40522</v>
      </c>
      <c r="D243" s="357" t="s">
        <v>119</v>
      </c>
      <c r="E243" s="380">
        <v>127</v>
      </c>
      <c r="F243" s="380">
        <v>11</v>
      </c>
      <c r="G243" s="380">
        <v>6</v>
      </c>
      <c r="H243" s="381">
        <v>12164</v>
      </c>
      <c r="I243" s="382">
        <v>2869</v>
      </c>
      <c r="J243" s="383">
        <f t="shared" si="43"/>
        <v>260.8181818181818</v>
      </c>
      <c r="K243" s="384">
        <f t="shared" si="44"/>
        <v>4.239804810038341</v>
      </c>
      <c r="L243" s="385">
        <f>1048675+809166.5+457718.5+70165.5+7102+12164</f>
        <v>2404991.5</v>
      </c>
      <c r="M243" s="386">
        <f>92481+73795+43350+8841+1153+2869</f>
        <v>222489</v>
      </c>
      <c r="N243" s="536">
        <f t="shared" si="45"/>
        <v>10.809484963301557</v>
      </c>
      <c r="O243" s="387"/>
    </row>
    <row r="244" spans="1:15" ht="15">
      <c r="A244" s="225">
        <v>240</v>
      </c>
      <c r="B244" s="571" t="s">
        <v>2</v>
      </c>
      <c r="C244" s="368">
        <v>40522</v>
      </c>
      <c r="D244" s="357" t="s">
        <v>119</v>
      </c>
      <c r="E244" s="369">
        <v>127</v>
      </c>
      <c r="F244" s="369">
        <v>8</v>
      </c>
      <c r="G244" s="369">
        <v>8</v>
      </c>
      <c r="H244" s="360">
        <v>11777.5</v>
      </c>
      <c r="I244" s="361">
        <v>2831</v>
      </c>
      <c r="J244" s="362">
        <f t="shared" si="43"/>
        <v>353.875</v>
      </c>
      <c r="K244" s="363">
        <f t="shared" si="44"/>
        <v>4.160190745319675</v>
      </c>
      <c r="L244" s="364">
        <f>1048675+809166.5+457718.5+70165.5+7102+12164+8619.5+11777.5</f>
        <v>2425388.5</v>
      </c>
      <c r="M244" s="365">
        <f>92481+73795+43350+8841+1153+2869+1615+2831</f>
        <v>226935</v>
      </c>
      <c r="N244" s="532">
        <f t="shared" si="45"/>
        <v>10.68759116046445</v>
      </c>
      <c r="O244" s="373"/>
    </row>
    <row r="245" spans="1:15" ht="15">
      <c r="A245" s="225">
        <v>241</v>
      </c>
      <c r="B245" s="537" t="s">
        <v>2</v>
      </c>
      <c r="C245" s="358">
        <v>40522</v>
      </c>
      <c r="D245" s="357" t="s">
        <v>119</v>
      </c>
      <c r="E245" s="359">
        <v>127</v>
      </c>
      <c r="F245" s="359">
        <v>10</v>
      </c>
      <c r="G245" s="359">
        <v>11</v>
      </c>
      <c r="H245" s="360">
        <v>10420.5</v>
      </c>
      <c r="I245" s="361">
        <v>2477</v>
      </c>
      <c r="J245" s="362">
        <f t="shared" si="43"/>
        <v>247.7</v>
      </c>
      <c r="K245" s="363">
        <f t="shared" si="44"/>
        <v>4.206903512313282</v>
      </c>
      <c r="L245" s="364">
        <f>1048675+809166.5+457718.5+70165.5+7102+12164+8619.5+11777.5+6559.5+3338.5+10420.5</f>
        <v>2445707</v>
      </c>
      <c r="M245" s="365">
        <f>92481+73795+43350+8841+1153+2869+1615+2831+1620+630+2477</f>
        <v>231662</v>
      </c>
      <c r="N245" s="532">
        <f t="shared" si="45"/>
        <v>10.557221296544103</v>
      </c>
      <c r="O245" s="366"/>
    </row>
    <row r="246" spans="1:15" ht="15">
      <c r="A246" s="225">
        <v>242</v>
      </c>
      <c r="B246" s="570" t="s">
        <v>2</v>
      </c>
      <c r="C246" s="368">
        <v>40522</v>
      </c>
      <c r="D246" s="357" t="s">
        <v>119</v>
      </c>
      <c r="E246" s="369">
        <v>127</v>
      </c>
      <c r="F246" s="369">
        <v>10</v>
      </c>
      <c r="G246" s="369">
        <v>7</v>
      </c>
      <c r="H246" s="360">
        <v>8619.5</v>
      </c>
      <c r="I246" s="361">
        <v>1615</v>
      </c>
      <c r="J246" s="362">
        <f t="shared" si="43"/>
        <v>161.5</v>
      </c>
      <c r="K246" s="363">
        <f t="shared" si="44"/>
        <v>5.337151702786378</v>
      </c>
      <c r="L246" s="364">
        <f>1048675+809166.5+457718.5+70165.5+7102+12164+8619.5</f>
        <v>2413611</v>
      </c>
      <c r="M246" s="365">
        <f>92481+73795+43350+8841+1153+2869+1615</f>
        <v>224104</v>
      </c>
      <c r="N246" s="532">
        <f t="shared" si="45"/>
        <v>10.770048727376576</v>
      </c>
      <c r="O246" s="373"/>
    </row>
    <row r="247" spans="1:15" ht="15">
      <c r="A247" s="225">
        <v>243</v>
      </c>
      <c r="B247" s="571" t="s">
        <v>2</v>
      </c>
      <c r="C247" s="368">
        <v>40522</v>
      </c>
      <c r="D247" s="357" t="s">
        <v>119</v>
      </c>
      <c r="E247" s="369">
        <v>127</v>
      </c>
      <c r="F247" s="369">
        <v>10</v>
      </c>
      <c r="G247" s="369">
        <v>5</v>
      </c>
      <c r="H247" s="360">
        <v>7102</v>
      </c>
      <c r="I247" s="361">
        <v>1153</v>
      </c>
      <c r="J247" s="362">
        <f t="shared" si="43"/>
        <v>115.3</v>
      </c>
      <c r="K247" s="363">
        <f t="shared" si="44"/>
        <v>6.159583694709454</v>
      </c>
      <c r="L247" s="364">
        <f>1048675+809166.5+457718.5+70165.5+7102</f>
        <v>2392827.5</v>
      </c>
      <c r="M247" s="365">
        <f>92481+73795+43350+8841+1153</f>
        <v>219620</v>
      </c>
      <c r="N247" s="532">
        <f t="shared" si="45"/>
        <v>10.8953078043894</v>
      </c>
      <c r="O247" s="450"/>
    </row>
    <row r="248" spans="1:15" ht="15">
      <c r="A248" s="225">
        <v>244</v>
      </c>
      <c r="B248" s="537" t="s">
        <v>2</v>
      </c>
      <c r="C248" s="368">
        <v>40522</v>
      </c>
      <c r="D248" s="357" t="s">
        <v>119</v>
      </c>
      <c r="E248" s="359">
        <v>127</v>
      </c>
      <c r="F248" s="359">
        <v>5</v>
      </c>
      <c r="G248" s="359">
        <v>9</v>
      </c>
      <c r="H248" s="360">
        <v>6559.5</v>
      </c>
      <c r="I248" s="361">
        <v>1620</v>
      </c>
      <c r="J248" s="362">
        <f t="shared" si="43"/>
        <v>324</v>
      </c>
      <c r="K248" s="363">
        <f t="shared" si="44"/>
        <v>4.049074074074074</v>
      </c>
      <c r="L248" s="364">
        <f>1048675+809166.5+457718.5+70165.5+7102+12164+8619.5+11777.5+6559.5</f>
        <v>2431948</v>
      </c>
      <c r="M248" s="365">
        <f>92481+73795+43350+8841+1153+2869+1615+2831+1620</f>
        <v>228555</v>
      </c>
      <c r="N248" s="532">
        <f t="shared" si="45"/>
        <v>10.640537288617619</v>
      </c>
      <c r="O248" s="375"/>
    </row>
    <row r="249" spans="1:15" ht="15">
      <c r="A249" s="225">
        <v>245</v>
      </c>
      <c r="B249" s="572" t="s">
        <v>2</v>
      </c>
      <c r="C249" s="379">
        <v>40522</v>
      </c>
      <c r="D249" s="357" t="s">
        <v>119</v>
      </c>
      <c r="E249" s="380">
        <v>127</v>
      </c>
      <c r="F249" s="380">
        <v>5</v>
      </c>
      <c r="G249" s="380">
        <v>10</v>
      </c>
      <c r="H249" s="381">
        <v>3338.5</v>
      </c>
      <c r="I249" s="382">
        <v>630</v>
      </c>
      <c r="J249" s="383">
        <f t="shared" si="43"/>
        <v>126</v>
      </c>
      <c r="K249" s="384">
        <f t="shared" si="44"/>
        <v>5.299206349206349</v>
      </c>
      <c r="L249" s="385">
        <f>1048675+809166.5+457718.5+70165.5+7102+12164+8619.5+11777.5+6559.5+3338.5</f>
        <v>2435286.5</v>
      </c>
      <c r="M249" s="386">
        <f>92481+73795+43350+8841+1153+2869+1615+2831+1620+630</f>
        <v>229185</v>
      </c>
      <c r="N249" s="536">
        <f t="shared" si="45"/>
        <v>10.625854658900016</v>
      </c>
      <c r="O249" s="408"/>
    </row>
    <row r="250" spans="1:15" ht="15">
      <c r="A250" s="225">
        <v>246</v>
      </c>
      <c r="B250" s="537" t="s">
        <v>2</v>
      </c>
      <c r="C250" s="358">
        <v>40522</v>
      </c>
      <c r="D250" s="357" t="s">
        <v>119</v>
      </c>
      <c r="E250" s="359">
        <v>127</v>
      </c>
      <c r="F250" s="359">
        <v>6</v>
      </c>
      <c r="G250" s="359">
        <v>12</v>
      </c>
      <c r="H250" s="370">
        <v>3303</v>
      </c>
      <c r="I250" s="376">
        <v>726</v>
      </c>
      <c r="J250" s="377">
        <f t="shared" si="43"/>
        <v>121</v>
      </c>
      <c r="K250" s="371">
        <f t="shared" si="44"/>
        <v>4.549586776859504</v>
      </c>
      <c r="L250" s="372">
        <f>1048675+809166.5+457718.5+70165.5+7102+12164+8619.5+11777.5+6559.5+3338.5+10420.5+3303</f>
        <v>2449010</v>
      </c>
      <c r="M250" s="378">
        <f>92481+73795+43350+8841+1153+2869+1615+2831+1620+630+2477+726</f>
        <v>232388</v>
      </c>
      <c r="N250" s="534">
        <f t="shared" si="45"/>
        <v>10.538452932165171</v>
      </c>
      <c r="O250" s="366"/>
    </row>
    <row r="251" spans="1:15" ht="15">
      <c r="A251" s="225">
        <v>247</v>
      </c>
      <c r="B251" s="571" t="s">
        <v>2</v>
      </c>
      <c r="C251" s="368">
        <v>40522</v>
      </c>
      <c r="D251" s="374" t="s">
        <v>119</v>
      </c>
      <c r="E251" s="369">
        <v>127</v>
      </c>
      <c r="F251" s="369">
        <v>5</v>
      </c>
      <c r="G251" s="369">
        <v>13</v>
      </c>
      <c r="H251" s="364">
        <v>3205</v>
      </c>
      <c r="I251" s="365">
        <v>513</v>
      </c>
      <c r="J251" s="362">
        <f t="shared" si="43"/>
        <v>102.6</v>
      </c>
      <c r="K251" s="363">
        <f t="shared" si="44"/>
        <v>6.247563352826511</v>
      </c>
      <c r="L251" s="364">
        <f>1048675+809166.5+457718.5+70165.5+7102+12164+8619.5+11777.5+6559.5+3338.5+10420.5+3303+3205</f>
        <v>2452215</v>
      </c>
      <c r="M251" s="365">
        <f>92481+73795+43350+8841+1153+2869+1615+2831+1620+630+2477+726+513</f>
        <v>232901</v>
      </c>
      <c r="N251" s="532">
        <f t="shared" si="45"/>
        <v>10.529001592951511</v>
      </c>
      <c r="O251" s="388"/>
    </row>
    <row r="252" spans="1:15" ht="15">
      <c r="A252" s="225">
        <v>248</v>
      </c>
      <c r="B252" s="571" t="s">
        <v>2</v>
      </c>
      <c r="C252" s="368">
        <v>40522</v>
      </c>
      <c r="D252" s="374" t="s">
        <v>119</v>
      </c>
      <c r="E252" s="369">
        <v>127</v>
      </c>
      <c r="F252" s="369">
        <v>2</v>
      </c>
      <c r="G252" s="369">
        <v>14</v>
      </c>
      <c r="H252" s="360">
        <v>2076</v>
      </c>
      <c r="I252" s="361">
        <v>481</v>
      </c>
      <c r="J252" s="362">
        <f t="shared" si="43"/>
        <v>240.5</v>
      </c>
      <c r="K252" s="363">
        <f t="shared" si="44"/>
        <v>4.316008316008316</v>
      </c>
      <c r="L252" s="364">
        <f>1048675+809166.5+457718.5+70165.5+7102+12164+8619.5+11777.5+6559.5+3338.5+10420.5+3303+3205+2076</f>
        <v>2454291</v>
      </c>
      <c r="M252" s="365">
        <f>92481+73795+43350+8841+1153+2869+1615+2831+1620+630+2477+726+513+481</f>
        <v>233382</v>
      </c>
      <c r="N252" s="532">
        <f t="shared" si="45"/>
        <v>10.516196621847444</v>
      </c>
      <c r="O252" s="586"/>
    </row>
    <row r="253" spans="1:15" ht="15">
      <c r="A253" s="225">
        <v>249</v>
      </c>
      <c r="B253" s="533" t="s">
        <v>151</v>
      </c>
      <c r="C253" s="368">
        <v>40529</v>
      </c>
      <c r="D253" s="357" t="s">
        <v>119</v>
      </c>
      <c r="E253" s="369">
        <v>27</v>
      </c>
      <c r="F253" s="369">
        <v>11</v>
      </c>
      <c r="G253" s="369">
        <v>3</v>
      </c>
      <c r="H253" s="370">
        <v>7073.5</v>
      </c>
      <c r="I253" s="361">
        <v>920</v>
      </c>
      <c r="J253" s="362">
        <f t="shared" si="43"/>
        <v>83.63636363636364</v>
      </c>
      <c r="K253" s="371">
        <f t="shared" si="44"/>
        <v>7.688586956521739</v>
      </c>
      <c r="L253" s="372">
        <f>68045+25663+7073.5</f>
        <v>100781.5</v>
      </c>
      <c r="M253" s="365">
        <f>5442+2277+920</f>
        <v>8639</v>
      </c>
      <c r="N253" s="534">
        <f t="shared" si="45"/>
        <v>11.665875680055562</v>
      </c>
      <c r="O253" s="373">
        <v>1</v>
      </c>
    </row>
    <row r="254" spans="1:15" ht="15">
      <c r="A254" s="225">
        <v>250</v>
      </c>
      <c r="B254" s="535" t="s">
        <v>105</v>
      </c>
      <c r="C254" s="379">
        <v>40529</v>
      </c>
      <c r="D254" s="357" t="s">
        <v>119</v>
      </c>
      <c r="E254" s="380">
        <v>27</v>
      </c>
      <c r="F254" s="380">
        <v>4</v>
      </c>
      <c r="G254" s="380">
        <v>4</v>
      </c>
      <c r="H254" s="360">
        <v>5233</v>
      </c>
      <c r="I254" s="361">
        <v>1185</v>
      </c>
      <c r="J254" s="362">
        <f t="shared" si="43"/>
        <v>296.25</v>
      </c>
      <c r="K254" s="363">
        <f t="shared" si="44"/>
        <v>4.4160337552742615</v>
      </c>
      <c r="L254" s="364">
        <f>68045+25663+7073.5+5233</f>
        <v>106014.5</v>
      </c>
      <c r="M254" s="365">
        <f>5442+2277+920+1185</f>
        <v>9824</v>
      </c>
      <c r="N254" s="532">
        <f t="shared" si="45"/>
        <v>10.79137825732899</v>
      </c>
      <c r="O254" s="450"/>
    </row>
    <row r="255" spans="1:15" ht="15">
      <c r="A255" s="225">
        <v>251</v>
      </c>
      <c r="B255" s="533" t="s">
        <v>105</v>
      </c>
      <c r="C255" s="368">
        <v>40529</v>
      </c>
      <c r="D255" s="357" t="s">
        <v>119</v>
      </c>
      <c r="E255" s="369">
        <v>27</v>
      </c>
      <c r="F255" s="369">
        <v>2</v>
      </c>
      <c r="G255" s="369">
        <v>5</v>
      </c>
      <c r="H255" s="360">
        <v>3859</v>
      </c>
      <c r="I255" s="361">
        <v>711</v>
      </c>
      <c r="J255" s="362">
        <f t="shared" si="43"/>
        <v>355.5</v>
      </c>
      <c r="K255" s="363">
        <f t="shared" si="44"/>
        <v>5.427566807313643</v>
      </c>
      <c r="L255" s="364">
        <f>68045+25663+7073.5+5233+3859</f>
        <v>109873.5</v>
      </c>
      <c r="M255" s="365">
        <f>5442+2277+920+1185+711</f>
        <v>10535</v>
      </c>
      <c r="N255" s="532">
        <f t="shared" si="45"/>
        <v>10.42937826293308</v>
      </c>
      <c r="O255" s="373"/>
    </row>
    <row r="256" spans="1:15" ht="15">
      <c r="A256" s="225">
        <v>252</v>
      </c>
      <c r="B256" s="531" t="s">
        <v>105</v>
      </c>
      <c r="C256" s="368">
        <v>40529</v>
      </c>
      <c r="D256" s="374" t="s">
        <v>119</v>
      </c>
      <c r="E256" s="369">
        <v>27</v>
      </c>
      <c r="F256" s="369">
        <v>1</v>
      </c>
      <c r="G256" s="369">
        <v>8</v>
      </c>
      <c r="H256" s="364">
        <v>1497</v>
      </c>
      <c r="I256" s="365">
        <v>218</v>
      </c>
      <c r="J256" s="362">
        <f t="shared" si="43"/>
        <v>218</v>
      </c>
      <c r="K256" s="363">
        <f t="shared" si="44"/>
        <v>6.86697247706422</v>
      </c>
      <c r="L256" s="364">
        <f>68045+25663+7073.5+5233+3859+470+100+1497</f>
        <v>111940.5</v>
      </c>
      <c r="M256" s="365">
        <f>5442+2277+920+1185+711+78+13+218</f>
        <v>10844</v>
      </c>
      <c r="N256" s="532">
        <f t="shared" si="45"/>
        <v>10.322805237919587</v>
      </c>
      <c r="O256" s="388"/>
    </row>
    <row r="257" spans="1:15" ht="15">
      <c r="A257" s="225">
        <v>253</v>
      </c>
      <c r="B257" s="535" t="s">
        <v>105</v>
      </c>
      <c r="C257" s="379">
        <v>40529</v>
      </c>
      <c r="D257" s="357" t="s">
        <v>119</v>
      </c>
      <c r="E257" s="380">
        <v>27</v>
      </c>
      <c r="F257" s="380">
        <v>1</v>
      </c>
      <c r="G257" s="380">
        <v>6</v>
      </c>
      <c r="H257" s="360">
        <v>470</v>
      </c>
      <c r="I257" s="361">
        <v>78</v>
      </c>
      <c r="J257" s="362">
        <f t="shared" si="43"/>
        <v>78</v>
      </c>
      <c r="K257" s="363">
        <f t="shared" si="44"/>
        <v>6.0256410256410255</v>
      </c>
      <c r="L257" s="364">
        <f>68045+25663+7073.5+5233+3859+470</f>
        <v>110343.5</v>
      </c>
      <c r="M257" s="365">
        <f>5442+2277+920+1185+711+78</f>
        <v>10613</v>
      </c>
      <c r="N257" s="532">
        <f t="shared" si="45"/>
        <v>10.397013097145011</v>
      </c>
      <c r="O257" s="408"/>
    </row>
    <row r="258" spans="1:15" ht="15">
      <c r="A258" s="225">
        <v>254</v>
      </c>
      <c r="B258" s="537" t="s">
        <v>105</v>
      </c>
      <c r="C258" s="358">
        <v>40529</v>
      </c>
      <c r="D258" s="357" t="s">
        <v>119</v>
      </c>
      <c r="E258" s="359">
        <v>27</v>
      </c>
      <c r="F258" s="359">
        <v>1</v>
      </c>
      <c r="G258" s="359">
        <v>7</v>
      </c>
      <c r="H258" s="360">
        <v>100</v>
      </c>
      <c r="I258" s="361">
        <v>13</v>
      </c>
      <c r="J258" s="362">
        <f t="shared" si="43"/>
        <v>13</v>
      </c>
      <c r="K258" s="363">
        <f t="shared" si="44"/>
        <v>7.6923076923076925</v>
      </c>
      <c r="L258" s="364">
        <f>68045+25663+7073.5+5233+3859+470+100</f>
        <v>110443.5</v>
      </c>
      <c r="M258" s="365">
        <f>5442+2277+920+1185+711+78+13</f>
        <v>10626</v>
      </c>
      <c r="N258" s="532">
        <f t="shared" si="45"/>
        <v>10.393704121964992</v>
      </c>
      <c r="O258" s="366"/>
    </row>
    <row r="259" spans="1:15" ht="15">
      <c r="A259" s="225">
        <v>255</v>
      </c>
      <c r="B259" s="542" t="s">
        <v>114</v>
      </c>
      <c r="C259" s="390">
        <v>40417</v>
      </c>
      <c r="D259" s="402" t="s">
        <v>24</v>
      </c>
      <c r="E259" s="403">
        <v>119</v>
      </c>
      <c r="F259" s="403">
        <v>1</v>
      </c>
      <c r="G259" s="403">
        <v>15</v>
      </c>
      <c r="H259" s="399">
        <v>941</v>
      </c>
      <c r="I259" s="393">
        <v>843</v>
      </c>
      <c r="J259" s="394">
        <f>I259/F259</f>
        <v>843</v>
      </c>
      <c r="K259" s="400">
        <f t="shared" si="44"/>
        <v>1.1162514827995256</v>
      </c>
      <c r="L259" s="401">
        <v>859853</v>
      </c>
      <c r="M259" s="397">
        <v>97516</v>
      </c>
      <c r="N259" s="541">
        <f aca="true" t="shared" si="46" ref="N259:N272">+L259/M259</f>
        <v>8.817558144304524</v>
      </c>
      <c r="O259" s="366"/>
    </row>
    <row r="260" spans="1:15" ht="15">
      <c r="A260" s="225">
        <v>256</v>
      </c>
      <c r="B260" s="551" t="s">
        <v>37</v>
      </c>
      <c r="C260" s="390">
        <v>40480</v>
      </c>
      <c r="D260" s="473" t="s">
        <v>27</v>
      </c>
      <c r="E260" s="403">
        <v>21</v>
      </c>
      <c r="F260" s="403">
        <v>12</v>
      </c>
      <c r="G260" s="403">
        <v>10</v>
      </c>
      <c r="H260" s="474">
        <v>8985</v>
      </c>
      <c r="I260" s="468">
        <v>1356</v>
      </c>
      <c r="J260" s="411">
        <f aca="true" t="shared" si="47" ref="J260:J266">+I260/F260</f>
        <v>113</v>
      </c>
      <c r="K260" s="416">
        <f aca="true" t="shared" si="48" ref="K260:K266">+H260/I260</f>
        <v>6.626106194690266</v>
      </c>
      <c r="L260" s="475">
        <v>295457</v>
      </c>
      <c r="M260" s="471">
        <v>26551</v>
      </c>
      <c r="N260" s="544">
        <f t="shared" si="46"/>
        <v>11.127904787013671</v>
      </c>
      <c r="O260" s="450"/>
    </row>
    <row r="261" spans="1:15" ht="15">
      <c r="A261" s="225">
        <v>257</v>
      </c>
      <c r="B261" s="542" t="s">
        <v>37</v>
      </c>
      <c r="C261" s="404">
        <v>40480</v>
      </c>
      <c r="D261" s="402" t="s">
        <v>27</v>
      </c>
      <c r="E261" s="403">
        <v>21</v>
      </c>
      <c r="F261" s="403">
        <v>3</v>
      </c>
      <c r="G261" s="403">
        <v>13</v>
      </c>
      <c r="H261" s="467">
        <v>2972</v>
      </c>
      <c r="I261" s="468">
        <v>535</v>
      </c>
      <c r="J261" s="411">
        <f t="shared" si="47"/>
        <v>178.33333333333334</v>
      </c>
      <c r="K261" s="412">
        <f t="shared" si="48"/>
        <v>5.555140186915888</v>
      </c>
      <c r="L261" s="470">
        <v>302074</v>
      </c>
      <c r="M261" s="471">
        <v>27572</v>
      </c>
      <c r="N261" s="543">
        <f t="shared" si="46"/>
        <v>10.95582474974612</v>
      </c>
      <c r="O261" s="366"/>
    </row>
    <row r="262" spans="1:15" ht="15">
      <c r="A262" s="225">
        <v>258</v>
      </c>
      <c r="B262" s="542" t="s">
        <v>37</v>
      </c>
      <c r="C262" s="390">
        <v>40480</v>
      </c>
      <c r="D262" s="472" t="s">
        <v>27</v>
      </c>
      <c r="E262" s="403">
        <v>21</v>
      </c>
      <c r="F262" s="403">
        <v>1</v>
      </c>
      <c r="G262" s="403">
        <v>12</v>
      </c>
      <c r="H262" s="467">
        <v>1139</v>
      </c>
      <c r="I262" s="468">
        <v>203</v>
      </c>
      <c r="J262" s="411">
        <f t="shared" si="47"/>
        <v>203</v>
      </c>
      <c r="K262" s="412">
        <f t="shared" si="48"/>
        <v>5.610837438423645</v>
      </c>
      <c r="L262" s="470">
        <v>299102</v>
      </c>
      <c r="M262" s="471">
        <v>27037</v>
      </c>
      <c r="N262" s="543">
        <f t="shared" si="46"/>
        <v>11.062691866701186</v>
      </c>
      <c r="O262" s="408"/>
    </row>
    <row r="263" spans="1:15" ht="15">
      <c r="A263" s="225">
        <v>259</v>
      </c>
      <c r="B263" s="542" t="s">
        <v>37</v>
      </c>
      <c r="C263" s="404">
        <v>40480</v>
      </c>
      <c r="D263" s="402" t="s">
        <v>27</v>
      </c>
      <c r="E263" s="403">
        <v>21</v>
      </c>
      <c r="F263" s="403">
        <v>1</v>
      </c>
      <c r="G263" s="403">
        <v>14</v>
      </c>
      <c r="H263" s="474">
        <v>1028</v>
      </c>
      <c r="I263" s="494">
        <v>201</v>
      </c>
      <c r="J263" s="465">
        <f t="shared" si="47"/>
        <v>201</v>
      </c>
      <c r="K263" s="416">
        <f t="shared" si="48"/>
        <v>5.114427860696518</v>
      </c>
      <c r="L263" s="475">
        <v>303102</v>
      </c>
      <c r="M263" s="495">
        <v>27773</v>
      </c>
      <c r="N263" s="544">
        <f t="shared" si="46"/>
        <v>10.913549130450438</v>
      </c>
      <c r="O263" s="366"/>
    </row>
    <row r="264" spans="1:15" ht="15">
      <c r="A264" s="225">
        <v>260</v>
      </c>
      <c r="B264" s="542" t="s">
        <v>37</v>
      </c>
      <c r="C264" s="390">
        <v>40480</v>
      </c>
      <c r="D264" s="472" t="s">
        <v>27</v>
      </c>
      <c r="E264" s="403">
        <v>21</v>
      </c>
      <c r="F264" s="403">
        <v>1</v>
      </c>
      <c r="G264" s="403">
        <v>15</v>
      </c>
      <c r="H264" s="470">
        <v>484</v>
      </c>
      <c r="I264" s="471">
        <v>96</v>
      </c>
      <c r="J264" s="411">
        <f t="shared" si="47"/>
        <v>96</v>
      </c>
      <c r="K264" s="412">
        <f t="shared" si="48"/>
        <v>5.041666666666667</v>
      </c>
      <c r="L264" s="470">
        <v>303586</v>
      </c>
      <c r="M264" s="471">
        <v>27869</v>
      </c>
      <c r="N264" s="543">
        <f t="shared" si="46"/>
        <v>10.89332232947002</v>
      </c>
      <c r="O264" s="388"/>
    </row>
    <row r="265" spans="1:15" ht="15">
      <c r="A265" s="225">
        <v>261</v>
      </c>
      <c r="B265" s="542" t="s">
        <v>37</v>
      </c>
      <c r="C265" s="390">
        <v>40480</v>
      </c>
      <c r="D265" s="472" t="s">
        <v>27</v>
      </c>
      <c r="E265" s="403">
        <v>21</v>
      </c>
      <c r="F265" s="403">
        <v>1</v>
      </c>
      <c r="G265" s="403">
        <v>16</v>
      </c>
      <c r="H265" s="467">
        <v>273</v>
      </c>
      <c r="I265" s="468">
        <v>53</v>
      </c>
      <c r="J265" s="411">
        <f t="shared" si="47"/>
        <v>53</v>
      </c>
      <c r="K265" s="412">
        <f t="shared" si="48"/>
        <v>5.150943396226415</v>
      </c>
      <c r="L265" s="470">
        <v>303859</v>
      </c>
      <c r="M265" s="471">
        <v>27922</v>
      </c>
      <c r="N265" s="543">
        <f t="shared" si="46"/>
        <v>10.882422462574315</v>
      </c>
      <c r="O265" s="586"/>
    </row>
    <row r="266" spans="1:15" ht="15">
      <c r="A266" s="225">
        <v>262</v>
      </c>
      <c r="B266" s="542" t="s">
        <v>108</v>
      </c>
      <c r="C266" s="390">
        <v>37193</v>
      </c>
      <c r="D266" s="402" t="s">
        <v>27</v>
      </c>
      <c r="E266" s="403">
        <v>21</v>
      </c>
      <c r="F266" s="403">
        <v>1</v>
      </c>
      <c r="G266" s="403">
        <v>11</v>
      </c>
      <c r="H266" s="467">
        <v>2506</v>
      </c>
      <c r="I266" s="468">
        <v>283</v>
      </c>
      <c r="J266" s="411">
        <f t="shared" si="47"/>
        <v>283</v>
      </c>
      <c r="K266" s="412">
        <f t="shared" si="48"/>
        <v>8.855123674911662</v>
      </c>
      <c r="L266" s="470">
        <v>297963</v>
      </c>
      <c r="M266" s="471">
        <v>26834</v>
      </c>
      <c r="N266" s="543">
        <f t="shared" si="46"/>
        <v>11.103935305955131</v>
      </c>
      <c r="O266" s="366"/>
    </row>
    <row r="267" spans="1:15" ht="15">
      <c r="A267" s="225">
        <v>263</v>
      </c>
      <c r="B267" s="540" t="s">
        <v>131</v>
      </c>
      <c r="C267" s="390">
        <v>40473</v>
      </c>
      <c r="D267" s="398" t="s">
        <v>24</v>
      </c>
      <c r="E267" s="391">
        <v>74</v>
      </c>
      <c r="F267" s="391">
        <v>1</v>
      </c>
      <c r="G267" s="391">
        <v>9</v>
      </c>
      <c r="H267" s="399">
        <v>3572</v>
      </c>
      <c r="I267" s="393">
        <v>893</v>
      </c>
      <c r="J267" s="394">
        <f>I267/F267</f>
        <v>893</v>
      </c>
      <c r="K267" s="400">
        <f>H267/I267</f>
        <v>4</v>
      </c>
      <c r="L267" s="401">
        <v>981252</v>
      </c>
      <c r="M267" s="397">
        <v>84379</v>
      </c>
      <c r="N267" s="541">
        <f t="shared" si="46"/>
        <v>11.62910202775572</v>
      </c>
      <c r="O267" s="373"/>
    </row>
    <row r="268" spans="1:15" ht="15">
      <c r="A268" s="225">
        <v>264</v>
      </c>
      <c r="B268" s="540" t="s">
        <v>131</v>
      </c>
      <c r="C268" s="390">
        <v>40473</v>
      </c>
      <c r="D268" s="398" t="s">
        <v>24</v>
      </c>
      <c r="E268" s="391">
        <v>74</v>
      </c>
      <c r="F268" s="391">
        <v>1</v>
      </c>
      <c r="G268" s="391">
        <v>11</v>
      </c>
      <c r="H268" s="399">
        <v>1190</v>
      </c>
      <c r="I268" s="393">
        <v>238</v>
      </c>
      <c r="J268" s="394">
        <f>I268/F268</f>
        <v>238</v>
      </c>
      <c r="K268" s="400">
        <f>H268/I268</f>
        <v>5</v>
      </c>
      <c r="L268" s="401">
        <v>983217</v>
      </c>
      <c r="M268" s="397">
        <v>84696</v>
      </c>
      <c r="N268" s="541">
        <f t="shared" si="46"/>
        <v>11.608777274015301</v>
      </c>
      <c r="O268" s="586"/>
    </row>
    <row r="269" spans="1:15" ht="15">
      <c r="A269" s="225">
        <v>265</v>
      </c>
      <c r="B269" s="540" t="s">
        <v>131</v>
      </c>
      <c r="C269" s="390">
        <v>40473</v>
      </c>
      <c r="D269" s="398" t="s">
        <v>24</v>
      </c>
      <c r="E269" s="391">
        <v>74</v>
      </c>
      <c r="F269" s="391">
        <v>1</v>
      </c>
      <c r="G269" s="391">
        <v>10</v>
      </c>
      <c r="H269" s="401">
        <v>775</v>
      </c>
      <c r="I269" s="397">
        <v>79</v>
      </c>
      <c r="J269" s="394">
        <f>I269/F269</f>
        <v>79</v>
      </c>
      <c r="K269" s="400">
        <f>H269/I269</f>
        <v>9.810126582278482</v>
      </c>
      <c r="L269" s="401">
        <f>981252+775</f>
        <v>982027</v>
      </c>
      <c r="M269" s="397">
        <f>84379+79</f>
        <v>84458</v>
      </c>
      <c r="N269" s="541">
        <f t="shared" si="46"/>
        <v>11.627400601482394</v>
      </c>
      <c r="O269" s="388"/>
    </row>
    <row r="270" spans="1:15" ht="15">
      <c r="A270" s="225">
        <v>266</v>
      </c>
      <c r="B270" s="551" t="s">
        <v>1</v>
      </c>
      <c r="C270" s="390">
        <v>40522</v>
      </c>
      <c r="D270" s="473" t="s">
        <v>27</v>
      </c>
      <c r="E270" s="403">
        <v>110</v>
      </c>
      <c r="F270" s="403">
        <v>110</v>
      </c>
      <c r="G270" s="403">
        <v>4</v>
      </c>
      <c r="H270" s="474">
        <v>694041</v>
      </c>
      <c r="I270" s="468">
        <v>64977</v>
      </c>
      <c r="J270" s="411">
        <f>+I270/F270</f>
        <v>590.7</v>
      </c>
      <c r="K270" s="416">
        <f>+H270/I270</f>
        <v>10.681333394893578</v>
      </c>
      <c r="L270" s="475">
        <v>4602088</v>
      </c>
      <c r="M270" s="471">
        <v>434759</v>
      </c>
      <c r="N270" s="544">
        <f t="shared" si="46"/>
        <v>10.5853771859812</v>
      </c>
      <c r="O270" s="450"/>
    </row>
    <row r="271" spans="1:15" ht="15">
      <c r="A271" s="225">
        <v>267</v>
      </c>
      <c r="B271" s="542" t="s">
        <v>1</v>
      </c>
      <c r="C271" s="390">
        <v>40522</v>
      </c>
      <c r="D271" s="473" t="s">
        <v>27</v>
      </c>
      <c r="E271" s="403">
        <v>110</v>
      </c>
      <c r="F271" s="403">
        <v>71</v>
      </c>
      <c r="G271" s="403">
        <v>5</v>
      </c>
      <c r="H271" s="467">
        <v>224162</v>
      </c>
      <c r="I271" s="468">
        <v>19224</v>
      </c>
      <c r="J271" s="411">
        <f>+I271/F271</f>
        <v>270.76056338028167</v>
      </c>
      <c r="K271" s="412">
        <f>+H271/I271</f>
        <v>11.660528506034124</v>
      </c>
      <c r="L271" s="470">
        <v>4826250</v>
      </c>
      <c r="M271" s="471">
        <v>453983</v>
      </c>
      <c r="N271" s="543">
        <f t="shared" si="46"/>
        <v>10.63090468145283</v>
      </c>
      <c r="O271" s="388"/>
    </row>
    <row r="272" spans="1:15" ht="15">
      <c r="A272" s="225">
        <v>268</v>
      </c>
      <c r="B272" s="542" t="s">
        <v>1</v>
      </c>
      <c r="C272" s="390">
        <v>40522</v>
      </c>
      <c r="D272" s="402" t="s">
        <v>27</v>
      </c>
      <c r="E272" s="403">
        <v>110</v>
      </c>
      <c r="F272" s="403">
        <v>66</v>
      </c>
      <c r="G272" s="403">
        <v>6</v>
      </c>
      <c r="H272" s="467">
        <v>118638</v>
      </c>
      <c r="I272" s="468">
        <v>12477</v>
      </c>
      <c r="J272" s="411">
        <f>+I272/F272</f>
        <v>189.04545454545453</v>
      </c>
      <c r="K272" s="412">
        <f>+H272/I272</f>
        <v>9.508535705698485</v>
      </c>
      <c r="L272" s="470">
        <v>4944888</v>
      </c>
      <c r="M272" s="471">
        <v>466460</v>
      </c>
      <c r="N272" s="543">
        <f t="shared" si="46"/>
        <v>10.600883248295673</v>
      </c>
      <c r="O272" s="366"/>
    </row>
    <row r="273" spans="1:15" ht="15">
      <c r="A273" s="225">
        <v>269</v>
      </c>
      <c r="B273" s="551" t="s">
        <v>1</v>
      </c>
      <c r="C273" s="390">
        <v>40522</v>
      </c>
      <c r="D273" s="472" t="s">
        <v>27</v>
      </c>
      <c r="E273" s="403">
        <v>110</v>
      </c>
      <c r="F273" s="403">
        <v>32</v>
      </c>
      <c r="G273" s="403">
        <v>7</v>
      </c>
      <c r="H273" s="467">
        <v>51075</v>
      </c>
      <c r="I273" s="468">
        <v>6840</v>
      </c>
      <c r="J273" s="362">
        <f>(I273/F273)</f>
        <v>213.75</v>
      </c>
      <c r="K273" s="363">
        <f>H273/I273</f>
        <v>7.467105263157895</v>
      </c>
      <c r="L273" s="470">
        <v>4995963</v>
      </c>
      <c r="M273" s="471">
        <v>473300</v>
      </c>
      <c r="N273" s="532">
        <f>L273/M273</f>
        <v>10.55559476019438</v>
      </c>
      <c r="O273" s="373"/>
    </row>
    <row r="274" spans="1:15" ht="15">
      <c r="A274" s="225">
        <v>270</v>
      </c>
      <c r="B274" s="542" t="s">
        <v>1</v>
      </c>
      <c r="C274" s="390">
        <v>40522</v>
      </c>
      <c r="D274" s="472" t="s">
        <v>27</v>
      </c>
      <c r="E274" s="403">
        <v>110</v>
      </c>
      <c r="F274" s="403">
        <v>6</v>
      </c>
      <c r="G274" s="403">
        <v>10</v>
      </c>
      <c r="H274" s="467">
        <v>4744</v>
      </c>
      <c r="I274" s="468">
        <v>1467</v>
      </c>
      <c r="J274" s="411">
        <f aca="true" t="shared" si="49" ref="J274:J279">+I274/F274</f>
        <v>244.5</v>
      </c>
      <c r="K274" s="412">
        <f aca="true" t="shared" si="50" ref="K274:K280">+H274/I274</f>
        <v>3.2338104976141784</v>
      </c>
      <c r="L274" s="470">
        <v>5008119</v>
      </c>
      <c r="M274" s="471">
        <v>476107</v>
      </c>
      <c r="N274" s="543">
        <f aca="true" t="shared" si="51" ref="N274:N289">+L274/M274</f>
        <v>10.518893862094025</v>
      </c>
      <c r="O274" s="408"/>
    </row>
    <row r="275" spans="1:15" ht="15">
      <c r="A275" s="225">
        <v>271</v>
      </c>
      <c r="B275" s="542" t="s">
        <v>1</v>
      </c>
      <c r="C275" s="390">
        <v>40522</v>
      </c>
      <c r="D275" s="402" t="s">
        <v>27</v>
      </c>
      <c r="E275" s="403">
        <v>110</v>
      </c>
      <c r="F275" s="403">
        <v>6</v>
      </c>
      <c r="G275" s="403">
        <v>9</v>
      </c>
      <c r="H275" s="467">
        <v>4075</v>
      </c>
      <c r="I275" s="468">
        <v>848</v>
      </c>
      <c r="J275" s="411">
        <f t="shared" si="49"/>
        <v>141.33333333333334</v>
      </c>
      <c r="K275" s="412">
        <f t="shared" si="50"/>
        <v>4.805424528301887</v>
      </c>
      <c r="L275" s="470">
        <v>5003375</v>
      </c>
      <c r="M275" s="471">
        <v>474640</v>
      </c>
      <c r="N275" s="543">
        <f t="shared" si="51"/>
        <v>10.541410332041126</v>
      </c>
      <c r="O275" s="375"/>
    </row>
    <row r="276" spans="1:15" ht="15">
      <c r="A276" s="225">
        <v>272</v>
      </c>
      <c r="B276" s="542" t="s">
        <v>1</v>
      </c>
      <c r="C276" s="404">
        <v>40522</v>
      </c>
      <c r="D276" s="402" t="s">
        <v>27</v>
      </c>
      <c r="E276" s="403">
        <v>110</v>
      </c>
      <c r="F276" s="403">
        <v>9</v>
      </c>
      <c r="G276" s="403">
        <v>11</v>
      </c>
      <c r="H276" s="467">
        <v>3734</v>
      </c>
      <c r="I276" s="468">
        <v>594</v>
      </c>
      <c r="J276" s="411">
        <f t="shared" si="49"/>
        <v>66</v>
      </c>
      <c r="K276" s="412">
        <f t="shared" si="50"/>
        <v>6.286195286195286</v>
      </c>
      <c r="L276" s="470">
        <v>5011853</v>
      </c>
      <c r="M276" s="471">
        <v>476701</v>
      </c>
      <c r="N276" s="543">
        <f t="shared" si="51"/>
        <v>10.513619648374977</v>
      </c>
      <c r="O276" s="366"/>
    </row>
    <row r="277" spans="1:15" ht="15">
      <c r="A277" s="225">
        <v>273</v>
      </c>
      <c r="B277" s="542" t="s">
        <v>1</v>
      </c>
      <c r="C277" s="390">
        <v>40522</v>
      </c>
      <c r="D277" s="472" t="s">
        <v>27</v>
      </c>
      <c r="E277" s="403">
        <v>110</v>
      </c>
      <c r="F277" s="403">
        <v>7</v>
      </c>
      <c r="G277" s="403">
        <v>8</v>
      </c>
      <c r="H277" s="467">
        <v>3338</v>
      </c>
      <c r="I277" s="468">
        <v>492</v>
      </c>
      <c r="J277" s="411">
        <f t="shared" si="49"/>
        <v>70.28571428571429</v>
      </c>
      <c r="K277" s="412">
        <f t="shared" si="50"/>
        <v>6.784552845528455</v>
      </c>
      <c r="L277" s="470">
        <v>4999300</v>
      </c>
      <c r="M277" s="471">
        <v>473792</v>
      </c>
      <c r="N277" s="541">
        <f t="shared" si="51"/>
        <v>10.551676685127651</v>
      </c>
      <c r="O277" s="373"/>
    </row>
    <row r="278" spans="1:15" ht="15">
      <c r="A278" s="225">
        <v>274</v>
      </c>
      <c r="B278" s="542" t="s">
        <v>1</v>
      </c>
      <c r="C278" s="390">
        <v>40522</v>
      </c>
      <c r="D278" s="472" t="s">
        <v>27</v>
      </c>
      <c r="E278" s="403">
        <v>110</v>
      </c>
      <c r="F278" s="403">
        <v>4</v>
      </c>
      <c r="G278" s="403">
        <v>13</v>
      </c>
      <c r="H278" s="470">
        <v>2400</v>
      </c>
      <c r="I278" s="471">
        <v>492</v>
      </c>
      <c r="J278" s="411">
        <f t="shared" si="49"/>
        <v>123</v>
      </c>
      <c r="K278" s="412">
        <f t="shared" si="50"/>
        <v>4.878048780487805</v>
      </c>
      <c r="L278" s="470">
        <v>5014749</v>
      </c>
      <c r="M278" s="471">
        <v>477268</v>
      </c>
      <c r="N278" s="543">
        <f t="shared" si="51"/>
        <v>10.507197214143835</v>
      </c>
      <c r="O278" s="388"/>
    </row>
    <row r="279" spans="1:15" ht="15">
      <c r="A279" s="225">
        <v>275</v>
      </c>
      <c r="B279" s="542" t="s">
        <v>1</v>
      </c>
      <c r="C279" s="404">
        <v>40522</v>
      </c>
      <c r="D279" s="402" t="s">
        <v>27</v>
      </c>
      <c r="E279" s="403">
        <v>110</v>
      </c>
      <c r="F279" s="403">
        <v>2</v>
      </c>
      <c r="G279" s="403">
        <v>12</v>
      </c>
      <c r="H279" s="474">
        <v>496</v>
      </c>
      <c r="I279" s="494">
        <v>75</v>
      </c>
      <c r="J279" s="465">
        <f t="shared" si="49"/>
        <v>37.5</v>
      </c>
      <c r="K279" s="416">
        <f t="shared" si="50"/>
        <v>6.613333333333333</v>
      </c>
      <c r="L279" s="475">
        <v>5012349</v>
      </c>
      <c r="M279" s="495">
        <v>476776</v>
      </c>
      <c r="N279" s="544">
        <f t="shared" si="51"/>
        <v>10.513006107689984</v>
      </c>
      <c r="O279" s="366"/>
    </row>
    <row r="280" spans="1:15" ht="15">
      <c r="A280" s="225">
        <v>276</v>
      </c>
      <c r="B280" s="538" t="s">
        <v>73</v>
      </c>
      <c r="C280" s="390">
        <v>40536</v>
      </c>
      <c r="D280" s="389" t="s">
        <v>24</v>
      </c>
      <c r="E280" s="391">
        <v>48</v>
      </c>
      <c r="F280" s="391">
        <v>48</v>
      </c>
      <c r="G280" s="391">
        <v>2</v>
      </c>
      <c r="H280" s="392">
        <v>281047</v>
      </c>
      <c r="I280" s="393">
        <v>23436</v>
      </c>
      <c r="J280" s="394">
        <f aca="true" t="shared" si="52" ref="J280:J289">I280/F280</f>
        <v>488.25</v>
      </c>
      <c r="K280" s="436">
        <f t="shared" si="50"/>
        <v>11.992106161461</v>
      </c>
      <c r="L280" s="396">
        <v>605758</v>
      </c>
      <c r="M280" s="397">
        <v>52142</v>
      </c>
      <c r="N280" s="539">
        <f t="shared" si="51"/>
        <v>11.61746768440029</v>
      </c>
      <c r="O280" s="449"/>
    </row>
    <row r="281" spans="1:15" ht="15">
      <c r="A281" s="225">
        <v>277</v>
      </c>
      <c r="B281" s="540" t="s">
        <v>73</v>
      </c>
      <c r="C281" s="390">
        <v>40536</v>
      </c>
      <c r="D281" s="389" t="s">
        <v>24</v>
      </c>
      <c r="E281" s="391">
        <v>48</v>
      </c>
      <c r="F281" s="391">
        <v>36</v>
      </c>
      <c r="G281" s="391">
        <v>3</v>
      </c>
      <c r="H281" s="399">
        <v>66790</v>
      </c>
      <c r="I281" s="393">
        <v>5435</v>
      </c>
      <c r="J281" s="394">
        <f t="shared" si="52"/>
        <v>150.97222222222223</v>
      </c>
      <c r="K281" s="400">
        <f aca="true" t="shared" si="53" ref="K281:K306">H281/I281</f>
        <v>12.288868445262189</v>
      </c>
      <c r="L281" s="401">
        <v>672548</v>
      </c>
      <c r="M281" s="397">
        <v>57577</v>
      </c>
      <c r="N281" s="541">
        <f t="shared" si="51"/>
        <v>11.6808447817705</v>
      </c>
      <c r="O281" s="388"/>
    </row>
    <row r="282" spans="1:15" ht="15">
      <c r="A282" s="225">
        <v>278</v>
      </c>
      <c r="B282" s="538" t="s">
        <v>73</v>
      </c>
      <c r="C282" s="390">
        <v>40536</v>
      </c>
      <c r="D282" s="398" t="s">
        <v>24</v>
      </c>
      <c r="E282" s="391">
        <v>48</v>
      </c>
      <c r="F282" s="391">
        <v>10</v>
      </c>
      <c r="G282" s="391">
        <v>5</v>
      </c>
      <c r="H282" s="399">
        <v>11003</v>
      </c>
      <c r="I282" s="393">
        <v>1816</v>
      </c>
      <c r="J282" s="394">
        <f t="shared" si="52"/>
        <v>181.6</v>
      </c>
      <c r="K282" s="400">
        <f t="shared" si="53"/>
        <v>6.058920704845815</v>
      </c>
      <c r="L282" s="401">
        <v>691927</v>
      </c>
      <c r="M282" s="397">
        <v>60452</v>
      </c>
      <c r="N282" s="541">
        <f t="shared" si="51"/>
        <v>11.445890954807119</v>
      </c>
      <c r="O282" s="373"/>
    </row>
    <row r="283" spans="1:15" ht="15">
      <c r="A283" s="225">
        <v>279</v>
      </c>
      <c r="B283" s="542" t="s">
        <v>73</v>
      </c>
      <c r="C283" s="390">
        <v>40536</v>
      </c>
      <c r="D283" s="402" t="s">
        <v>24</v>
      </c>
      <c r="E283" s="403">
        <v>48</v>
      </c>
      <c r="F283" s="403">
        <v>7</v>
      </c>
      <c r="G283" s="403">
        <v>4</v>
      </c>
      <c r="H283" s="399">
        <v>8376</v>
      </c>
      <c r="I283" s="393">
        <v>1059</v>
      </c>
      <c r="J283" s="394">
        <f t="shared" si="52"/>
        <v>151.28571428571428</v>
      </c>
      <c r="K283" s="400">
        <f t="shared" si="53"/>
        <v>7.909348441926346</v>
      </c>
      <c r="L283" s="401">
        <v>680924</v>
      </c>
      <c r="M283" s="397">
        <v>58636</v>
      </c>
      <c r="N283" s="541">
        <f t="shared" si="51"/>
        <v>11.612729381267481</v>
      </c>
      <c r="O283" s="366"/>
    </row>
    <row r="284" spans="1:15" ht="15">
      <c r="A284" s="225">
        <v>280</v>
      </c>
      <c r="B284" s="542" t="s">
        <v>73</v>
      </c>
      <c r="C284" s="404">
        <v>40536</v>
      </c>
      <c r="D284" s="402" t="s">
        <v>24</v>
      </c>
      <c r="E284" s="403">
        <v>48</v>
      </c>
      <c r="F284" s="403">
        <v>4</v>
      </c>
      <c r="G284" s="403">
        <v>9</v>
      </c>
      <c r="H284" s="399">
        <v>3417</v>
      </c>
      <c r="I284" s="393">
        <v>493</v>
      </c>
      <c r="J284" s="394">
        <f t="shared" si="52"/>
        <v>123.25</v>
      </c>
      <c r="K284" s="400">
        <f t="shared" si="53"/>
        <v>6.931034482758621</v>
      </c>
      <c r="L284" s="401">
        <v>702704</v>
      </c>
      <c r="M284" s="397">
        <v>62786</v>
      </c>
      <c r="N284" s="541">
        <f t="shared" si="51"/>
        <v>11.192049182938872</v>
      </c>
      <c r="O284" s="366"/>
    </row>
    <row r="285" spans="1:15" ht="15">
      <c r="A285" s="225">
        <v>281</v>
      </c>
      <c r="B285" s="540" t="s">
        <v>73</v>
      </c>
      <c r="C285" s="390">
        <v>40536</v>
      </c>
      <c r="D285" s="398" t="s">
        <v>24</v>
      </c>
      <c r="E285" s="391">
        <v>48</v>
      </c>
      <c r="F285" s="391">
        <v>5</v>
      </c>
      <c r="G285" s="391">
        <v>8</v>
      </c>
      <c r="H285" s="399">
        <v>2592</v>
      </c>
      <c r="I285" s="393">
        <v>363</v>
      </c>
      <c r="J285" s="394">
        <f t="shared" si="52"/>
        <v>72.6</v>
      </c>
      <c r="K285" s="400">
        <f t="shared" si="53"/>
        <v>7.140495867768595</v>
      </c>
      <c r="L285" s="401">
        <v>699287</v>
      </c>
      <c r="M285" s="397">
        <v>62293</v>
      </c>
      <c r="N285" s="541">
        <f t="shared" si="51"/>
        <v>11.225771756056057</v>
      </c>
      <c r="O285" s="408"/>
    </row>
    <row r="286" spans="1:15" ht="15">
      <c r="A286" s="225">
        <v>282</v>
      </c>
      <c r="B286" s="542" t="s">
        <v>73</v>
      </c>
      <c r="C286" s="390">
        <v>40536</v>
      </c>
      <c r="D286" s="402" t="s">
        <v>24</v>
      </c>
      <c r="E286" s="403">
        <v>48</v>
      </c>
      <c r="F286" s="403">
        <v>2</v>
      </c>
      <c r="G286" s="403">
        <v>7</v>
      </c>
      <c r="H286" s="399">
        <v>2498</v>
      </c>
      <c r="I286" s="393">
        <v>822</v>
      </c>
      <c r="J286" s="394">
        <f t="shared" si="52"/>
        <v>411</v>
      </c>
      <c r="K286" s="400">
        <f t="shared" si="53"/>
        <v>3.0389294403892944</v>
      </c>
      <c r="L286" s="401">
        <v>696695</v>
      </c>
      <c r="M286" s="397">
        <v>61930</v>
      </c>
      <c r="N286" s="541">
        <f t="shared" si="51"/>
        <v>11.249717422896818</v>
      </c>
      <c r="O286" s="375"/>
    </row>
    <row r="287" spans="1:15" ht="15">
      <c r="A287" s="225">
        <v>283</v>
      </c>
      <c r="B287" s="540" t="s">
        <v>73</v>
      </c>
      <c r="C287" s="390">
        <v>40536</v>
      </c>
      <c r="D287" s="398" t="s">
        <v>24</v>
      </c>
      <c r="E287" s="391">
        <v>48</v>
      </c>
      <c r="F287" s="391">
        <v>3</v>
      </c>
      <c r="G287" s="391">
        <v>6</v>
      </c>
      <c r="H287" s="399">
        <v>2270</v>
      </c>
      <c r="I287" s="393">
        <v>656</v>
      </c>
      <c r="J287" s="394">
        <f t="shared" si="52"/>
        <v>218.66666666666666</v>
      </c>
      <c r="K287" s="400">
        <f t="shared" si="53"/>
        <v>3.4603658536585367</v>
      </c>
      <c r="L287" s="401">
        <v>694197</v>
      </c>
      <c r="M287" s="397">
        <v>61108</v>
      </c>
      <c r="N287" s="541">
        <f t="shared" si="51"/>
        <v>11.360165608430975</v>
      </c>
      <c r="O287" s="373"/>
    </row>
    <row r="288" spans="1:15" ht="15">
      <c r="A288" s="225">
        <v>284</v>
      </c>
      <c r="B288" s="540" t="s">
        <v>73</v>
      </c>
      <c r="C288" s="390">
        <v>40536</v>
      </c>
      <c r="D288" s="398" t="s">
        <v>24</v>
      </c>
      <c r="E288" s="391">
        <v>48</v>
      </c>
      <c r="F288" s="391">
        <v>1</v>
      </c>
      <c r="G288" s="391">
        <v>10</v>
      </c>
      <c r="H288" s="401">
        <v>1190</v>
      </c>
      <c r="I288" s="397">
        <v>396</v>
      </c>
      <c r="J288" s="394">
        <f t="shared" si="52"/>
        <v>396</v>
      </c>
      <c r="K288" s="400">
        <f t="shared" si="53"/>
        <v>3.005050505050505</v>
      </c>
      <c r="L288" s="401">
        <v>703894</v>
      </c>
      <c r="M288" s="397">
        <v>63182</v>
      </c>
      <c r="N288" s="541">
        <f t="shared" si="51"/>
        <v>11.140736285650977</v>
      </c>
      <c r="O288" s="388"/>
    </row>
    <row r="289" spans="1:15" ht="15">
      <c r="A289" s="225">
        <v>285</v>
      </c>
      <c r="B289" s="542" t="s">
        <v>167</v>
      </c>
      <c r="C289" s="404">
        <v>39577</v>
      </c>
      <c r="D289" s="402" t="s">
        <v>168</v>
      </c>
      <c r="E289" s="403">
        <v>26</v>
      </c>
      <c r="F289" s="403">
        <v>1</v>
      </c>
      <c r="G289" s="403">
        <v>16</v>
      </c>
      <c r="H289" s="474">
        <v>1188</v>
      </c>
      <c r="I289" s="494">
        <v>198</v>
      </c>
      <c r="J289" s="496">
        <f t="shared" si="52"/>
        <v>198</v>
      </c>
      <c r="K289" s="497">
        <f t="shared" si="53"/>
        <v>6</v>
      </c>
      <c r="L289" s="475">
        <v>117962.42</v>
      </c>
      <c r="M289" s="495">
        <v>13895</v>
      </c>
      <c r="N289" s="573">
        <f t="shared" si="51"/>
        <v>8.48955883411299</v>
      </c>
      <c r="O289" s="366"/>
    </row>
    <row r="290" spans="1:15" ht="15">
      <c r="A290" s="225">
        <v>286</v>
      </c>
      <c r="B290" s="533" t="s">
        <v>65</v>
      </c>
      <c r="C290" s="368">
        <v>40508</v>
      </c>
      <c r="D290" s="357" t="s">
        <v>119</v>
      </c>
      <c r="E290" s="369">
        <v>44</v>
      </c>
      <c r="F290" s="369">
        <v>2</v>
      </c>
      <c r="G290" s="369">
        <v>6</v>
      </c>
      <c r="H290" s="370">
        <v>1171.5</v>
      </c>
      <c r="I290" s="361">
        <v>282</v>
      </c>
      <c r="J290" s="362">
        <f aca="true" t="shared" si="54" ref="J290:J306">(I290/F290)</f>
        <v>141</v>
      </c>
      <c r="K290" s="371">
        <f t="shared" si="53"/>
        <v>4.154255319148936</v>
      </c>
      <c r="L290" s="372">
        <f>49086+11854+1926+2212.5+1180+1171.5</f>
        <v>67430</v>
      </c>
      <c r="M290" s="365">
        <f>5689+1635+274+420+165+282</f>
        <v>8465</v>
      </c>
      <c r="N290" s="534">
        <f aca="true" t="shared" si="55" ref="N290:N306">L290/M290</f>
        <v>7.96574128765505</v>
      </c>
      <c r="O290" s="450"/>
    </row>
    <row r="291" spans="1:15" ht="15">
      <c r="A291" s="225">
        <v>287</v>
      </c>
      <c r="B291" s="554" t="s">
        <v>3</v>
      </c>
      <c r="C291" s="456">
        <v>40473</v>
      </c>
      <c r="D291" s="357" t="s">
        <v>119</v>
      </c>
      <c r="E291" s="457">
        <v>2</v>
      </c>
      <c r="F291" s="457">
        <v>1</v>
      </c>
      <c r="G291" s="457">
        <v>8</v>
      </c>
      <c r="H291" s="370">
        <v>2138.5</v>
      </c>
      <c r="I291" s="376">
        <v>534</v>
      </c>
      <c r="J291" s="377">
        <f t="shared" si="54"/>
        <v>534</v>
      </c>
      <c r="K291" s="371">
        <f t="shared" si="53"/>
        <v>4.004681647940075</v>
      </c>
      <c r="L291" s="372">
        <f>6832+2665+3612+1330+1973+129+396+2138.5</f>
        <v>19075.5</v>
      </c>
      <c r="M291" s="378">
        <f>659+312+817+151+365+14+89+534</f>
        <v>2941</v>
      </c>
      <c r="N291" s="534">
        <f t="shared" si="55"/>
        <v>6.486059163549813</v>
      </c>
      <c r="O291" s="366"/>
    </row>
    <row r="292" spans="1:15" ht="15">
      <c r="A292" s="225">
        <v>288</v>
      </c>
      <c r="B292" s="556" t="s">
        <v>3</v>
      </c>
      <c r="C292" s="460">
        <v>40473</v>
      </c>
      <c r="D292" s="374" t="s">
        <v>119</v>
      </c>
      <c r="E292" s="461">
        <v>2</v>
      </c>
      <c r="F292" s="461">
        <v>1</v>
      </c>
      <c r="G292" s="461">
        <v>9</v>
      </c>
      <c r="H292" s="364">
        <v>1307</v>
      </c>
      <c r="I292" s="365">
        <v>327</v>
      </c>
      <c r="J292" s="362">
        <f t="shared" si="54"/>
        <v>327</v>
      </c>
      <c r="K292" s="363">
        <f t="shared" si="53"/>
        <v>3.996941896024465</v>
      </c>
      <c r="L292" s="364">
        <f>6832+2665+3612+1330+1973+129+396+2138.5+1307</f>
        <v>20382.5</v>
      </c>
      <c r="M292" s="365">
        <f>659+312+817+151+365+14+89+534+327</f>
        <v>3268</v>
      </c>
      <c r="N292" s="532">
        <f t="shared" si="55"/>
        <v>6.236995104039168</v>
      </c>
      <c r="O292" s="388"/>
    </row>
    <row r="293" spans="1:15" ht="15">
      <c r="A293" s="225">
        <v>289</v>
      </c>
      <c r="B293" s="556" t="s">
        <v>3</v>
      </c>
      <c r="C293" s="460">
        <v>40473</v>
      </c>
      <c r="D293" s="357" t="s">
        <v>119</v>
      </c>
      <c r="E293" s="461">
        <v>2</v>
      </c>
      <c r="F293" s="461">
        <v>1</v>
      </c>
      <c r="G293" s="461">
        <v>7</v>
      </c>
      <c r="H293" s="360">
        <v>396</v>
      </c>
      <c r="I293" s="361">
        <v>89</v>
      </c>
      <c r="J293" s="362">
        <f t="shared" si="54"/>
        <v>89</v>
      </c>
      <c r="K293" s="363">
        <f t="shared" si="53"/>
        <v>4.449438202247191</v>
      </c>
      <c r="L293" s="364">
        <f>6832+2665+3612+1330+1973+129+396</f>
        <v>16937</v>
      </c>
      <c r="M293" s="365">
        <f>659+312+817+151+365+14+89</f>
        <v>2407</v>
      </c>
      <c r="N293" s="532">
        <f t="shared" si="55"/>
        <v>7.036560033236394</v>
      </c>
      <c r="O293" s="450"/>
    </row>
    <row r="294" spans="1:15" ht="15">
      <c r="A294" s="225">
        <v>290</v>
      </c>
      <c r="B294" s="557" t="s">
        <v>3</v>
      </c>
      <c r="C294" s="460">
        <v>40473</v>
      </c>
      <c r="D294" s="357" t="s">
        <v>119</v>
      </c>
      <c r="E294" s="461">
        <v>2</v>
      </c>
      <c r="F294" s="461">
        <v>1</v>
      </c>
      <c r="G294" s="461">
        <v>6</v>
      </c>
      <c r="H294" s="370">
        <v>129</v>
      </c>
      <c r="I294" s="361">
        <v>14</v>
      </c>
      <c r="J294" s="362">
        <f t="shared" si="54"/>
        <v>14</v>
      </c>
      <c r="K294" s="371">
        <f t="shared" si="53"/>
        <v>9.214285714285714</v>
      </c>
      <c r="L294" s="372">
        <f>6832+2665+3612+1330+1973+129</f>
        <v>16541</v>
      </c>
      <c r="M294" s="365">
        <f>659+312+817+151+365+14</f>
        <v>2318</v>
      </c>
      <c r="N294" s="534">
        <f t="shared" si="55"/>
        <v>7.135893011216566</v>
      </c>
      <c r="O294" s="373"/>
    </row>
    <row r="295" spans="1:15" ht="15">
      <c r="A295" s="225">
        <v>291</v>
      </c>
      <c r="B295" s="533" t="s">
        <v>53</v>
      </c>
      <c r="C295" s="368">
        <v>40494</v>
      </c>
      <c r="D295" s="357" t="s">
        <v>119</v>
      </c>
      <c r="E295" s="369">
        <v>80</v>
      </c>
      <c r="F295" s="369">
        <v>13</v>
      </c>
      <c r="G295" s="369">
        <v>8</v>
      </c>
      <c r="H295" s="370">
        <v>11751.5</v>
      </c>
      <c r="I295" s="361">
        <v>2055</v>
      </c>
      <c r="J295" s="362">
        <f t="shared" si="54"/>
        <v>158.07692307692307</v>
      </c>
      <c r="K295" s="371">
        <f t="shared" si="53"/>
        <v>5.718491484184915</v>
      </c>
      <c r="L295" s="372">
        <f>400584.5+260220.5+91588.5+26738.5+6598.5+10112.5+8832+11751.5</f>
        <v>816426.5</v>
      </c>
      <c r="M295" s="365">
        <f>34427+24318+9929+5066+1310+1866+1322+2055</f>
        <v>80293</v>
      </c>
      <c r="N295" s="534">
        <f t="shared" si="55"/>
        <v>10.168090618111167</v>
      </c>
      <c r="O295" s="450"/>
    </row>
    <row r="296" spans="1:15" ht="15">
      <c r="A296" s="225">
        <v>292</v>
      </c>
      <c r="B296" s="533" t="s">
        <v>53</v>
      </c>
      <c r="C296" s="368">
        <v>40494</v>
      </c>
      <c r="D296" s="357" t="s">
        <v>119</v>
      </c>
      <c r="E296" s="369">
        <v>80</v>
      </c>
      <c r="F296" s="369">
        <v>1</v>
      </c>
      <c r="G296" s="369">
        <v>11</v>
      </c>
      <c r="H296" s="360">
        <v>3564</v>
      </c>
      <c r="I296" s="361">
        <v>891</v>
      </c>
      <c r="J296" s="362">
        <f t="shared" si="54"/>
        <v>891</v>
      </c>
      <c r="K296" s="363">
        <f t="shared" si="53"/>
        <v>4</v>
      </c>
      <c r="L296" s="364">
        <f>400584.5+260220.5+91588.5+26738.5+6598.5+10112.5+8832+11751.5+1782+1570.5+3564</f>
        <v>823343</v>
      </c>
      <c r="M296" s="365">
        <f>34427+24318+9929+5066+1310+1866+1322+2055+445+470+891</f>
        <v>82099</v>
      </c>
      <c r="N296" s="532">
        <f t="shared" si="55"/>
        <v>10.02866051961656</v>
      </c>
      <c r="O296" s="373"/>
    </row>
    <row r="297" spans="1:15" ht="15">
      <c r="A297" s="225">
        <v>293</v>
      </c>
      <c r="B297" s="531" t="s">
        <v>53</v>
      </c>
      <c r="C297" s="368">
        <v>40494</v>
      </c>
      <c r="D297" s="357" t="s">
        <v>119</v>
      </c>
      <c r="E297" s="369">
        <v>80</v>
      </c>
      <c r="F297" s="369">
        <v>1</v>
      </c>
      <c r="G297" s="369">
        <v>9</v>
      </c>
      <c r="H297" s="360">
        <v>1782</v>
      </c>
      <c r="I297" s="361">
        <v>445</v>
      </c>
      <c r="J297" s="362">
        <f t="shared" si="54"/>
        <v>445</v>
      </c>
      <c r="K297" s="363">
        <f t="shared" si="53"/>
        <v>4.004494382022472</v>
      </c>
      <c r="L297" s="364">
        <f>400584.5+260220.5+91588.5+26738.5+6598.5+10112.5+8832+11751.5+1782</f>
        <v>818208.5</v>
      </c>
      <c r="M297" s="365">
        <f>34427+24318+9929+5066+1310+1866+1322+2055+445</f>
        <v>80738</v>
      </c>
      <c r="N297" s="532">
        <f t="shared" si="55"/>
        <v>10.134119002204661</v>
      </c>
      <c r="O297" s="450"/>
    </row>
    <row r="298" spans="1:15" ht="15">
      <c r="A298" s="225">
        <v>294</v>
      </c>
      <c r="B298" s="535" t="s">
        <v>53</v>
      </c>
      <c r="C298" s="379">
        <v>40494</v>
      </c>
      <c r="D298" s="357" t="s">
        <v>119</v>
      </c>
      <c r="E298" s="380">
        <v>80</v>
      </c>
      <c r="F298" s="380">
        <v>2</v>
      </c>
      <c r="G298" s="380">
        <v>10</v>
      </c>
      <c r="H298" s="381">
        <v>1570.5</v>
      </c>
      <c r="I298" s="382">
        <v>470</v>
      </c>
      <c r="J298" s="383">
        <f t="shared" si="54"/>
        <v>235</v>
      </c>
      <c r="K298" s="384">
        <f t="shared" si="53"/>
        <v>3.3414893617021275</v>
      </c>
      <c r="L298" s="385">
        <f>400584.5+260220.5+91588.5+26738.5+6598.5+10112.5+8832+11751.5+1782+1570.5</f>
        <v>819779</v>
      </c>
      <c r="M298" s="386">
        <f>34427+24318+9929+5066+1310+1866+1322+2055+445+470</f>
        <v>81208</v>
      </c>
      <c r="N298" s="536">
        <f t="shared" si="55"/>
        <v>10.094805930450201</v>
      </c>
      <c r="O298" s="387"/>
    </row>
    <row r="299" spans="1:15" ht="15">
      <c r="A299" s="225">
        <v>295</v>
      </c>
      <c r="B299" s="531" t="s">
        <v>132</v>
      </c>
      <c r="C299" s="368">
        <v>40445</v>
      </c>
      <c r="D299" s="357" t="s">
        <v>119</v>
      </c>
      <c r="E299" s="369">
        <v>99</v>
      </c>
      <c r="F299" s="369">
        <v>1</v>
      </c>
      <c r="G299" s="369">
        <v>13</v>
      </c>
      <c r="H299" s="360">
        <v>966</v>
      </c>
      <c r="I299" s="361">
        <v>317</v>
      </c>
      <c r="J299" s="362">
        <f t="shared" si="54"/>
        <v>317</v>
      </c>
      <c r="K299" s="363">
        <f t="shared" si="53"/>
        <v>3.047318611987382</v>
      </c>
      <c r="L299" s="364">
        <f>321502+248658+168337.5+120626.5+93787.5+82596.5+8900+14133+4789+1421+2440+594+966</f>
        <v>1068751</v>
      </c>
      <c r="M299" s="365">
        <f>37510+29635+22309+17930+15012+11746+1292+2243+804+260+600+115+317</f>
        <v>139773</v>
      </c>
      <c r="N299" s="532">
        <f t="shared" si="55"/>
        <v>7.64633369821067</v>
      </c>
      <c r="O299" s="373">
        <v>1</v>
      </c>
    </row>
    <row r="300" spans="1:15" ht="15">
      <c r="A300" s="225">
        <v>296</v>
      </c>
      <c r="B300" s="537" t="s">
        <v>163</v>
      </c>
      <c r="C300" s="358">
        <v>40445</v>
      </c>
      <c r="D300" s="357" t="s">
        <v>119</v>
      </c>
      <c r="E300" s="359">
        <v>99</v>
      </c>
      <c r="F300" s="359">
        <v>1</v>
      </c>
      <c r="G300" s="359">
        <v>14</v>
      </c>
      <c r="H300" s="360">
        <v>678</v>
      </c>
      <c r="I300" s="361">
        <v>102</v>
      </c>
      <c r="J300" s="362">
        <f t="shared" si="54"/>
        <v>102</v>
      </c>
      <c r="K300" s="363">
        <f t="shared" si="53"/>
        <v>6.647058823529412</v>
      </c>
      <c r="L300" s="364">
        <f>321502+248658+168337.5+120626.5+93787.5+82596.5+8900+14133+4789+1421+2440+594+966+678</f>
        <v>1069429</v>
      </c>
      <c r="M300" s="365">
        <f>37510+29635+22309+17930+15012+11746+1292+2243+804+260+600+115+317+102</f>
        <v>139875</v>
      </c>
      <c r="N300" s="532">
        <f t="shared" si="55"/>
        <v>7.645605004468275</v>
      </c>
      <c r="O300" s="366">
        <v>1</v>
      </c>
    </row>
    <row r="301" spans="1:15" ht="15">
      <c r="A301" s="225">
        <v>297</v>
      </c>
      <c r="B301" s="531" t="s">
        <v>100</v>
      </c>
      <c r="C301" s="368">
        <v>40445</v>
      </c>
      <c r="D301" s="357" t="s">
        <v>119</v>
      </c>
      <c r="E301" s="369">
        <v>99</v>
      </c>
      <c r="F301" s="369">
        <v>1</v>
      </c>
      <c r="G301" s="369">
        <v>12</v>
      </c>
      <c r="H301" s="360">
        <v>594</v>
      </c>
      <c r="I301" s="361">
        <v>115</v>
      </c>
      <c r="J301" s="362">
        <f t="shared" si="54"/>
        <v>115</v>
      </c>
      <c r="K301" s="363">
        <f t="shared" si="53"/>
        <v>5.165217391304348</v>
      </c>
      <c r="L301" s="364">
        <f>321502+248658+168337.5+120626.5+93787.5+82596.5+8900+14133+4789+1421+2440+594</f>
        <v>1067785</v>
      </c>
      <c r="M301" s="365">
        <f>37510+29635+22309+17930+15012+11746+1292+2243+804+260+600+115</f>
        <v>139456</v>
      </c>
      <c r="N301" s="532">
        <f t="shared" si="55"/>
        <v>7.65678780403855</v>
      </c>
      <c r="O301" s="450">
        <v>1</v>
      </c>
    </row>
    <row r="302" spans="1:15" ht="15">
      <c r="A302" s="225">
        <v>298</v>
      </c>
      <c r="B302" s="533" t="s">
        <v>35</v>
      </c>
      <c r="C302" s="368">
        <v>40508</v>
      </c>
      <c r="D302" s="357" t="s">
        <v>119</v>
      </c>
      <c r="E302" s="369">
        <v>34</v>
      </c>
      <c r="F302" s="369">
        <v>17</v>
      </c>
      <c r="G302" s="369">
        <v>6</v>
      </c>
      <c r="H302" s="370">
        <v>14630.5</v>
      </c>
      <c r="I302" s="361">
        <v>2283</v>
      </c>
      <c r="J302" s="362">
        <f t="shared" si="54"/>
        <v>134.2941176470588</v>
      </c>
      <c r="K302" s="371">
        <f t="shared" si="53"/>
        <v>6.408453788874288</v>
      </c>
      <c r="L302" s="372">
        <f>122173+87330+23120+25637+29159.5+14630.5</f>
        <v>302050</v>
      </c>
      <c r="M302" s="365">
        <f>10588+8153+2702+3877+4807+2283</f>
        <v>32410</v>
      </c>
      <c r="N302" s="534">
        <f t="shared" si="55"/>
        <v>9.319654427645789</v>
      </c>
      <c r="O302" s="388"/>
    </row>
    <row r="303" spans="1:15" ht="15">
      <c r="A303" s="225">
        <v>299</v>
      </c>
      <c r="B303" s="533" t="s">
        <v>35</v>
      </c>
      <c r="C303" s="368">
        <v>40508</v>
      </c>
      <c r="D303" s="357" t="s">
        <v>119</v>
      </c>
      <c r="E303" s="369">
        <v>34</v>
      </c>
      <c r="F303" s="369">
        <v>2</v>
      </c>
      <c r="G303" s="369">
        <v>8</v>
      </c>
      <c r="H303" s="360">
        <v>1246</v>
      </c>
      <c r="I303" s="361">
        <v>199</v>
      </c>
      <c r="J303" s="362">
        <f t="shared" si="54"/>
        <v>99.5</v>
      </c>
      <c r="K303" s="363">
        <f t="shared" si="53"/>
        <v>6.261306532663316</v>
      </c>
      <c r="L303" s="364">
        <f>122173+87330+23120+25637+29159.5+14630.5+403+1246</f>
        <v>303699</v>
      </c>
      <c r="M303" s="365">
        <f>10588+8153+2702+3877+4807+2283+58+199</f>
        <v>32667</v>
      </c>
      <c r="N303" s="532">
        <f t="shared" si="55"/>
        <v>9.296813297823492</v>
      </c>
      <c r="O303" s="373"/>
    </row>
    <row r="304" spans="1:15" ht="15">
      <c r="A304" s="225">
        <v>300</v>
      </c>
      <c r="B304" s="531" t="s">
        <v>35</v>
      </c>
      <c r="C304" s="368">
        <v>40508</v>
      </c>
      <c r="D304" s="374" t="s">
        <v>119</v>
      </c>
      <c r="E304" s="369">
        <v>34</v>
      </c>
      <c r="F304" s="369">
        <v>1</v>
      </c>
      <c r="G304" s="369">
        <v>10</v>
      </c>
      <c r="H304" s="364">
        <v>767</v>
      </c>
      <c r="I304" s="365">
        <v>115</v>
      </c>
      <c r="J304" s="362">
        <f t="shared" si="54"/>
        <v>115</v>
      </c>
      <c r="K304" s="363">
        <f t="shared" si="53"/>
        <v>6.6695652173913045</v>
      </c>
      <c r="L304" s="364">
        <f>122173+87330+23120+25637+29159.5+14630.5+403+1246+229+767</f>
        <v>304695</v>
      </c>
      <c r="M304" s="365">
        <f>10588+8153+2702+3877+4807+2283+58+199+33+115</f>
        <v>32815</v>
      </c>
      <c r="N304" s="532">
        <f t="shared" si="55"/>
        <v>9.28523541063538</v>
      </c>
      <c r="O304" s="388"/>
    </row>
    <row r="305" spans="1:15" ht="15">
      <c r="A305" s="225">
        <v>301</v>
      </c>
      <c r="B305" s="531" t="s">
        <v>35</v>
      </c>
      <c r="C305" s="368">
        <v>40508</v>
      </c>
      <c r="D305" s="357" t="s">
        <v>119</v>
      </c>
      <c r="E305" s="369">
        <v>34</v>
      </c>
      <c r="F305" s="369">
        <v>1</v>
      </c>
      <c r="G305" s="369">
        <v>7</v>
      </c>
      <c r="H305" s="360">
        <v>403</v>
      </c>
      <c r="I305" s="361">
        <v>58</v>
      </c>
      <c r="J305" s="362">
        <f t="shared" si="54"/>
        <v>58</v>
      </c>
      <c r="K305" s="363">
        <f t="shared" si="53"/>
        <v>6.948275862068965</v>
      </c>
      <c r="L305" s="364">
        <f>122173+87330+23120+25637+29159.5+14630.5+403</f>
        <v>302453</v>
      </c>
      <c r="M305" s="365">
        <f>10588+8153+2702+3877+4807+2283+58</f>
        <v>32468</v>
      </c>
      <c r="N305" s="532">
        <f t="shared" si="55"/>
        <v>9.315418257977084</v>
      </c>
      <c r="O305" s="450"/>
    </row>
    <row r="306" spans="1:15" ht="15">
      <c r="A306" s="225">
        <v>302</v>
      </c>
      <c r="B306" s="537" t="s">
        <v>35</v>
      </c>
      <c r="C306" s="358">
        <v>40508</v>
      </c>
      <c r="D306" s="357" t="s">
        <v>119</v>
      </c>
      <c r="E306" s="359">
        <v>34</v>
      </c>
      <c r="F306" s="359">
        <v>1</v>
      </c>
      <c r="G306" s="359">
        <v>9</v>
      </c>
      <c r="H306" s="370">
        <v>229</v>
      </c>
      <c r="I306" s="376">
        <v>33</v>
      </c>
      <c r="J306" s="377">
        <f t="shared" si="54"/>
        <v>33</v>
      </c>
      <c r="K306" s="371">
        <f t="shared" si="53"/>
        <v>6.9393939393939394</v>
      </c>
      <c r="L306" s="372">
        <f>122173+87330+23120+25637+29159.5+14630.5+403+1246+229</f>
        <v>303928</v>
      </c>
      <c r="M306" s="378">
        <f>10588+8153+2702+3877+4807+2283+58+199+33</f>
        <v>32700</v>
      </c>
      <c r="N306" s="534">
        <f t="shared" si="55"/>
        <v>9.294434250764526</v>
      </c>
      <c r="O306" s="366"/>
    </row>
    <row r="307" spans="1:15" ht="15">
      <c r="A307" s="225">
        <v>303</v>
      </c>
      <c r="B307" s="537" t="s">
        <v>110</v>
      </c>
      <c r="C307" s="368">
        <v>40487</v>
      </c>
      <c r="D307" s="357" t="s">
        <v>26</v>
      </c>
      <c r="E307" s="359">
        <v>162</v>
      </c>
      <c r="F307" s="359">
        <v>2</v>
      </c>
      <c r="G307" s="359">
        <v>10</v>
      </c>
      <c r="H307" s="421">
        <v>1340</v>
      </c>
      <c r="I307" s="422">
        <v>198</v>
      </c>
      <c r="J307" s="411">
        <f>IF(H307&lt;&gt;0,I307/F307,"")</f>
        <v>99</v>
      </c>
      <c r="K307" s="412">
        <f>IF(H307&lt;&gt;0,H307/I307,"")</f>
        <v>6.767676767676767</v>
      </c>
      <c r="L307" s="425">
        <f>525983.5+915356-20+520720.5+229861+37809.5+41066.5+9062.5+5020+8527+1340</f>
        <v>2294726.5</v>
      </c>
      <c r="M307" s="414">
        <f>56225+93965-2+58841+28041+5233+5910+1474+785+1182+198</f>
        <v>251852</v>
      </c>
      <c r="N307" s="543">
        <f>IF(L307&lt;&gt;0,L307/M307,"")</f>
        <v>9.111408684465479</v>
      </c>
      <c r="O307" s="366"/>
    </row>
    <row r="308" spans="1:15" ht="15">
      <c r="A308" s="225">
        <v>304</v>
      </c>
      <c r="B308" s="533" t="s">
        <v>76</v>
      </c>
      <c r="C308" s="368">
        <v>40487</v>
      </c>
      <c r="D308" s="367" t="s">
        <v>26</v>
      </c>
      <c r="E308" s="369">
        <v>162</v>
      </c>
      <c r="F308" s="369">
        <v>8</v>
      </c>
      <c r="G308" s="369">
        <v>9</v>
      </c>
      <c r="H308" s="435">
        <v>8527</v>
      </c>
      <c r="I308" s="422">
        <v>1182</v>
      </c>
      <c r="J308" s="411">
        <f>IF(H308&lt;&gt;0,I308/F308,"")</f>
        <v>147.75</v>
      </c>
      <c r="K308" s="416">
        <f>IF(H308&lt;&gt;0,H308/I308,"")</f>
        <v>7.214043993231811</v>
      </c>
      <c r="L308" s="437">
        <f>525983.5+915356-20+520720.5+229861+37809.5+41066.5+9062.5+5020+8527</f>
        <v>2293386.5</v>
      </c>
      <c r="M308" s="414">
        <f>56225+93965-2+58841+28041+5233+5910+1474+785+1182</f>
        <v>251654</v>
      </c>
      <c r="N308" s="544">
        <f>IF(L308&lt;&gt;0,L308/M308,"")</f>
        <v>9.11325272000445</v>
      </c>
      <c r="O308" s="373"/>
    </row>
    <row r="309" spans="1:15" ht="15">
      <c r="A309" s="225">
        <v>305</v>
      </c>
      <c r="B309" s="531" t="s">
        <v>76</v>
      </c>
      <c r="C309" s="368">
        <v>40487</v>
      </c>
      <c r="D309" s="374" t="s">
        <v>26</v>
      </c>
      <c r="E309" s="369">
        <v>162</v>
      </c>
      <c r="F309" s="369">
        <v>1</v>
      </c>
      <c r="G309" s="369">
        <v>12</v>
      </c>
      <c r="H309" s="421">
        <v>1941</v>
      </c>
      <c r="I309" s="422">
        <v>388</v>
      </c>
      <c r="J309" s="414">
        <f>I309/F309</f>
        <v>388</v>
      </c>
      <c r="K309" s="424">
        <f>+H309/I309</f>
        <v>5.002577319587629</v>
      </c>
      <c r="L309" s="425">
        <f>525983.5+915356-20+520720.5+229861+37809.5+41066.5+9062.5+5020+8527+1340+1644+1941</f>
        <v>2298311.5</v>
      </c>
      <c r="M309" s="414">
        <f>56225+93965-2+58841+28041+5233+5910+1474+785+1182+198+319+388</f>
        <v>252559</v>
      </c>
      <c r="N309" s="541">
        <f>+L309/M309</f>
        <v>9.100097402983065</v>
      </c>
      <c r="O309" s="373">
        <v>1</v>
      </c>
    </row>
    <row r="310" spans="1:15" ht="15">
      <c r="A310" s="225">
        <v>306</v>
      </c>
      <c r="B310" s="533" t="s">
        <v>124</v>
      </c>
      <c r="C310" s="368">
        <v>40487</v>
      </c>
      <c r="D310" s="374" t="s">
        <v>26</v>
      </c>
      <c r="E310" s="369">
        <v>162</v>
      </c>
      <c r="F310" s="369">
        <v>3</v>
      </c>
      <c r="G310" s="369">
        <v>11</v>
      </c>
      <c r="H310" s="421">
        <v>1644</v>
      </c>
      <c r="I310" s="422">
        <v>319</v>
      </c>
      <c r="J310" s="362">
        <f>(I310/F310)</f>
        <v>106.33333333333333</v>
      </c>
      <c r="K310" s="363">
        <f>H310/I310</f>
        <v>5.153605015673981</v>
      </c>
      <c r="L310" s="425">
        <f>525983.5+915356-20+520720.5+229861+37809.5+41066.5+9062.5+5020+8527+1340+1644</f>
        <v>2296370.5</v>
      </c>
      <c r="M310" s="414">
        <f>56225+93965-2+58841+28041+5233+5910+1474+785+1182+198+319</f>
        <v>252171</v>
      </c>
      <c r="N310" s="532">
        <f>L310/M310</f>
        <v>9.106402004988679</v>
      </c>
      <c r="O310" s="373">
        <v>1</v>
      </c>
    </row>
    <row r="311" spans="1:15" ht="15">
      <c r="A311" s="225">
        <v>307</v>
      </c>
      <c r="B311" s="531" t="s">
        <v>76</v>
      </c>
      <c r="C311" s="368">
        <v>40487</v>
      </c>
      <c r="D311" s="374" t="s">
        <v>26</v>
      </c>
      <c r="E311" s="369">
        <v>162</v>
      </c>
      <c r="F311" s="369">
        <v>1</v>
      </c>
      <c r="G311" s="369">
        <v>16</v>
      </c>
      <c r="H311" s="425">
        <v>1503</v>
      </c>
      <c r="I311" s="414">
        <v>288</v>
      </c>
      <c r="J311" s="481">
        <v>19.8181818181821</v>
      </c>
      <c r="K311" s="482">
        <v>6.92102754237288</v>
      </c>
      <c r="L311" s="425">
        <f>525983.5+915356-20+520720.5+229861+37809.5+41066.5+9062.5+5020+8527+1340+1644+1941+1056+313+102+1503</f>
        <v>2301285.5</v>
      </c>
      <c r="M311" s="414">
        <f>56225+93965-2+58841+28041+5233+5910+1474+785+1182+198+319+388+171+52+17+288</f>
        <v>253087</v>
      </c>
      <c r="N311" s="574">
        <v>2.1488509451776</v>
      </c>
      <c r="O311" s="388">
        <v>1</v>
      </c>
    </row>
    <row r="312" spans="1:15" ht="15">
      <c r="A312" s="225">
        <v>308</v>
      </c>
      <c r="B312" s="548" t="s">
        <v>124</v>
      </c>
      <c r="C312" s="428">
        <v>40487</v>
      </c>
      <c r="D312" s="498" t="s">
        <v>26</v>
      </c>
      <c r="E312" s="429">
        <v>162</v>
      </c>
      <c r="F312" s="429">
        <v>1</v>
      </c>
      <c r="G312" s="429">
        <v>13</v>
      </c>
      <c r="H312" s="499">
        <v>1056</v>
      </c>
      <c r="I312" s="431">
        <v>171</v>
      </c>
      <c r="J312" s="432">
        <f>I312/F312</f>
        <v>171</v>
      </c>
      <c r="K312" s="433">
        <f>H312/I312</f>
        <v>6.175438596491228</v>
      </c>
      <c r="L312" s="500">
        <f>525983.5+915356-20+520720.5+229861+37809.5+41066.5+9062.5+5020+8527+1340+1644+1941+1056</f>
        <v>2299367.5</v>
      </c>
      <c r="M312" s="432">
        <f>56225+93965-2+58841+28041+5233+5910+1474+785+1182+198+319+388+171</f>
        <v>252730</v>
      </c>
      <c r="N312" s="549">
        <f>L312/M312</f>
        <v>9.098118545483322</v>
      </c>
      <c r="O312" s="408">
        <v>1</v>
      </c>
    </row>
    <row r="313" spans="1:15" ht="15">
      <c r="A313" s="225">
        <v>309</v>
      </c>
      <c r="B313" s="537" t="s">
        <v>76</v>
      </c>
      <c r="C313" s="358">
        <v>40487</v>
      </c>
      <c r="D313" s="357" t="s">
        <v>26</v>
      </c>
      <c r="E313" s="359">
        <v>162</v>
      </c>
      <c r="F313" s="359">
        <v>1</v>
      </c>
      <c r="G313" s="359">
        <v>14</v>
      </c>
      <c r="H313" s="421">
        <v>313</v>
      </c>
      <c r="I313" s="422">
        <v>52</v>
      </c>
      <c r="J313" s="411">
        <f>+I313/F313</f>
        <v>52</v>
      </c>
      <c r="K313" s="412">
        <f>+H313/I313</f>
        <v>6.019230769230769</v>
      </c>
      <c r="L313" s="425">
        <f>525983.5+915356-20+520720.5+229861+37809.5+41066.5+9062.5+5020+8527+1340+1644+1941+1056+313</f>
        <v>2299680.5</v>
      </c>
      <c r="M313" s="414">
        <f>56225+93965-2+58841+28041+5233+5910+1474+785+1182+198+319+388+171+52</f>
        <v>252782</v>
      </c>
      <c r="N313" s="543">
        <f>+L313/M313</f>
        <v>9.097485184862846</v>
      </c>
      <c r="O313" s="366">
        <v>1</v>
      </c>
    </row>
    <row r="314" spans="1:15" ht="15">
      <c r="A314" s="225">
        <v>310</v>
      </c>
      <c r="B314" s="537" t="s">
        <v>76</v>
      </c>
      <c r="C314" s="358">
        <v>40487</v>
      </c>
      <c r="D314" s="357" t="s">
        <v>26</v>
      </c>
      <c r="E314" s="359">
        <v>162</v>
      </c>
      <c r="F314" s="359">
        <v>1</v>
      </c>
      <c r="G314" s="359">
        <v>15</v>
      </c>
      <c r="H314" s="435">
        <v>102</v>
      </c>
      <c r="I314" s="489">
        <v>17</v>
      </c>
      <c r="J314" s="465">
        <f>+I314/F314</f>
        <v>17</v>
      </c>
      <c r="K314" s="416">
        <f>+H314/I314</f>
        <v>6</v>
      </c>
      <c r="L314" s="437">
        <f>525983.5+915356-20+520720.5+229861+37809.5+41066.5+9062.5+5020+8527+1340+1644+1941+1056+313+102</f>
        <v>2299782.5</v>
      </c>
      <c r="M314" s="466">
        <f>56225+93965-2+58841+28041+5233+5910+1474+785+1182+198+319+388+171+52+17</f>
        <v>252799</v>
      </c>
      <c r="N314" s="544">
        <f>+L314/M314</f>
        <v>9.097276887962373</v>
      </c>
      <c r="O314" s="366">
        <v>1</v>
      </c>
    </row>
    <row r="315" spans="1:15" ht="15">
      <c r="A315" s="225">
        <v>311</v>
      </c>
      <c r="B315" s="531" t="s">
        <v>135</v>
      </c>
      <c r="C315" s="368">
        <v>40235</v>
      </c>
      <c r="D315" s="357" t="s">
        <v>119</v>
      </c>
      <c r="E315" s="369">
        <v>227</v>
      </c>
      <c r="F315" s="369">
        <v>1</v>
      </c>
      <c r="G315" s="369">
        <v>30</v>
      </c>
      <c r="H315" s="360">
        <v>950.5</v>
      </c>
      <c r="I315" s="361">
        <v>238</v>
      </c>
      <c r="J315" s="362">
        <f aca="true" t="shared" si="56" ref="J315:J323">(I315/F315)</f>
        <v>238</v>
      </c>
      <c r="K315" s="363">
        <f aca="true" t="shared" si="57" ref="K315:K323">H315/I315</f>
        <v>3.9936974789915967</v>
      </c>
      <c r="L315" s="364">
        <f>8240207.5+202+255+7892+2376+1782+1782+2376+950.5</f>
        <v>8257823</v>
      </c>
      <c r="M315" s="365">
        <f>1023896+40+51+1967+594+445+445+594+238</f>
        <v>1028270</v>
      </c>
      <c r="N315" s="532">
        <f aca="true" t="shared" si="58" ref="N315:N323">L315/M315</f>
        <v>8.030792496134284</v>
      </c>
      <c r="O315" s="373">
        <v>1</v>
      </c>
    </row>
    <row r="316" spans="1:15" ht="15">
      <c r="A316" s="225">
        <v>312</v>
      </c>
      <c r="B316" s="535" t="s">
        <v>21</v>
      </c>
      <c r="C316" s="379">
        <v>40480</v>
      </c>
      <c r="D316" s="357" t="s">
        <v>119</v>
      </c>
      <c r="E316" s="380">
        <v>100</v>
      </c>
      <c r="F316" s="380">
        <v>4</v>
      </c>
      <c r="G316" s="380">
        <v>15</v>
      </c>
      <c r="H316" s="381">
        <v>8910</v>
      </c>
      <c r="I316" s="382">
        <v>2228</v>
      </c>
      <c r="J316" s="383">
        <f t="shared" si="56"/>
        <v>557</v>
      </c>
      <c r="K316" s="384">
        <f t="shared" si="57"/>
        <v>3.9991023339317775</v>
      </c>
      <c r="L316" s="385">
        <f>1221166+429124.5+378100+240009.5+108018.5+26890.5+15319+16968+7345.5+4160+1262+1510+3920.5+2732.5+8910</f>
        <v>2465436.5</v>
      </c>
      <c r="M316" s="386">
        <f>114702+40612+35598+23284+12543+4168+3055+2661+1161+850+210+377+981+684+2228</f>
        <v>243114</v>
      </c>
      <c r="N316" s="536">
        <f t="shared" si="58"/>
        <v>10.141071678307297</v>
      </c>
      <c r="O316" s="408"/>
    </row>
    <row r="317" spans="1:15" ht="15">
      <c r="A317" s="225">
        <v>313</v>
      </c>
      <c r="B317" s="533" t="s">
        <v>21</v>
      </c>
      <c r="C317" s="368">
        <v>40480</v>
      </c>
      <c r="D317" s="357" t="s">
        <v>119</v>
      </c>
      <c r="E317" s="369">
        <v>100</v>
      </c>
      <c r="F317" s="369">
        <v>11</v>
      </c>
      <c r="G317" s="369">
        <v>10</v>
      </c>
      <c r="H317" s="370">
        <v>4160</v>
      </c>
      <c r="I317" s="361">
        <v>850</v>
      </c>
      <c r="J317" s="362">
        <f t="shared" si="56"/>
        <v>77.27272727272727</v>
      </c>
      <c r="K317" s="371">
        <f t="shared" si="57"/>
        <v>4.894117647058824</v>
      </c>
      <c r="L317" s="372">
        <f>1221166+429124.5+378100+240009.5+108018.5+26890.5+15319+16968+7345.5+4160</f>
        <v>2447101.5</v>
      </c>
      <c r="M317" s="365">
        <f>114702+40612+35598+23284+12543+4168+3055+2661+1161+850</f>
        <v>238634</v>
      </c>
      <c r="N317" s="534">
        <f t="shared" si="58"/>
        <v>10.254622141019302</v>
      </c>
      <c r="O317" s="373">
        <v>1</v>
      </c>
    </row>
    <row r="318" spans="1:15" ht="15">
      <c r="A318" s="225">
        <v>314</v>
      </c>
      <c r="B318" s="531" t="s">
        <v>21</v>
      </c>
      <c r="C318" s="368">
        <v>40480</v>
      </c>
      <c r="D318" s="357" t="s">
        <v>119</v>
      </c>
      <c r="E318" s="369">
        <v>100</v>
      </c>
      <c r="F318" s="369">
        <v>2</v>
      </c>
      <c r="G318" s="369">
        <v>13</v>
      </c>
      <c r="H318" s="360">
        <v>3920.5</v>
      </c>
      <c r="I318" s="361">
        <v>982</v>
      </c>
      <c r="J318" s="362">
        <f t="shared" si="56"/>
        <v>491</v>
      </c>
      <c r="K318" s="363">
        <f t="shared" si="57"/>
        <v>3.9923625254582484</v>
      </c>
      <c r="L318" s="364">
        <f>1221166+429124.5+378100+240009.5+108018.5+26890.5+15319+16968+7345.5+4160+1262+1510+3920.5</f>
        <v>2453794</v>
      </c>
      <c r="M318" s="365">
        <f>114702+40612+35598+23284+12543+4168+3055+2661+1161+850+210+377+982</f>
        <v>240203</v>
      </c>
      <c r="N318" s="532">
        <f t="shared" si="58"/>
        <v>10.215501055357343</v>
      </c>
      <c r="O318" s="373"/>
    </row>
    <row r="319" spans="1:15" ht="15">
      <c r="A319" s="225">
        <v>315</v>
      </c>
      <c r="B319" s="545" t="s">
        <v>21</v>
      </c>
      <c r="C319" s="419">
        <v>40480</v>
      </c>
      <c r="D319" s="418" t="s">
        <v>119</v>
      </c>
      <c r="E319" s="420">
        <v>100</v>
      </c>
      <c r="F319" s="420">
        <v>2</v>
      </c>
      <c r="G319" s="420">
        <v>14</v>
      </c>
      <c r="H319" s="360">
        <v>2732.5</v>
      </c>
      <c r="I319" s="361">
        <v>684</v>
      </c>
      <c r="J319" s="362">
        <f t="shared" si="56"/>
        <v>342</v>
      </c>
      <c r="K319" s="363">
        <f t="shared" si="57"/>
        <v>3.9948830409356724</v>
      </c>
      <c r="L319" s="364">
        <f>1221166+429124.5+378100+240009.5+108018.5+26890.5+15319+16968+7345.5+4160+1262+1510+3920.5+2732.5</f>
        <v>2456526.5</v>
      </c>
      <c r="M319" s="365">
        <f>114702+40612+35598+23284+12543+4168+3055+2661+1161+850+210+377+981+684</f>
        <v>240886</v>
      </c>
      <c r="N319" s="532">
        <f t="shared" si="58"/>
        <v>10.197879909998921</v>
      </c>
      <c r="O319" s="375"/>
    </row>
    <row r="320" spans="1:15" ht="15">
      <c r="A320" s="225">
        <v>316</v>
      </c>
      <c r="B320" s="535" t="s">
        <v>21</v>
      </c>
      <c r="C320" s="379">
        <v>40480</v>
      </c>
      <c r="D320" s="357" t="s">
        <v>119</v>
      </c>
      <c r="E320" s="380">
        <v>100</v>
      </c>
      <c r="F320" s="380">
        <v>1</v>
      </c>
      <c r="G320" s="380">
        <v>12</v>
      </c>
      <c r="H320" s="381">
        <v>1510</v>
      </c>
      <c r="I320" s="382">
        <v>377</v>
      </c>
      <c r="J320" s="383">
        <f t="shared" si="56"/>
        <v>377</v>
      </c>
      <c r="K320" s="384">
        <f t="shared" si="57"/>
        <v>4.005305039787799</v>
      </c>
      <c r="L320" s="385">
        <f>1221166+429124.5+378100+240009.5+108018.5+26890.5+15319+16968+7345.5+4160+1262+1510</f>
        <v>2449873.5</v>
      </c>
      <c r="M320" s="386">
        <f>114702+40612+35598+23284+12543+4168+3055+2661+1161+850+210+377</f>
        <v>239221</v>
      </c>
      <c r="N320" s="536">
        <f t="shared" si="58"/>
        <v>10.24104698166131</v>
      </c>
      <c r="O320" s="387"/>
    </row>
    <row r="321" spans="1:15" ht="15">
      <c r="A321" s="225">
        <v>317</v>
      </c>
      <c r="B321" s="531" t="s">
        <v>21</v>
      </c>
      <c r="C321" s="368">
        <v>40480</v>
      </c>
      <c r="D321" s="357" t="s">
        <v>119</v>
      </c>
      <c r="E321" s="369">
        <v>100</v>
      </c>
      <c r="F321" s="369">
        <v>2</v>
      </c>
      <c r="G321" s="369">
        <v>11</v>
      </c>
      <c r="H321" s="360">
        <v>1262</v>
      </c>
      <c r="I321" s="361">
        <v>210</v>
      </c>
      <c r="J321" s="362">
        <f t="shared" si="56"/>
        <v>105</v>
      </c>
      <c r="K321" s="363">
        <f t="shared" si="57"/>
        <v>6.0095238095238095</v>
      </c>
      <c r="L321" s="364">
        <f>1221166+429124.5+378100+240009.5+108018.5+26890.5+15319+16968+7345.5+4160+1262</f>
        <v>2448363.5</v>
      </c>
      <c r="M321" s="365">
        <f>114702+40612+35598+23284+12543+4168+3055+2661+1161+850+210</f>
        <v>238844</v>
      </c>
      <c r="N321" s="532">
        <f t="shared" si="58"/>
        <v>10.250889702064946</v>
      </c>
      <c r="O321" s="450"/>
    </row>
    <row r="322" spans="1:15" ht="15">
      <c r="A322" s="225">
        <v>318</v>
      </c>
      <c r="B322" s="531" t="s">
        <v>21</v>
      </c>
      <c r="C322" s="368">
        <v>40480</v>
      </c>
      <c r="D322" s="374" t="s">
        <v>119</v>
      </c>
      <c r="E322" s="369">
        <v>100</v>
      </c>
      <c r="F322" s="369">
        <v>1</v>
      </c>
      <c r="G322" s="369">
        <v>17</v>
      </c>
      <c r="H322" s="360">
        <v>670</v>
      </c>
      <c r="I322" s="361">
        <v>109</v>
      </c>
      <c r="J322" s="362">
        <f t="shared" si="56"/>
        <v>109</v>
      </c>
      <c r="K322" s="363">
        <f t="shared" si="57"/>
        <v>6.146788990825688</v>
      </c>
      <c r="L322" s="364">
        <f>1221166+429124.5+378100+240009.5+108018.5+26890.5+15319+16968+7345.5+4160+1262+1510+3920.5+2732.5+8910+571+670</f>
        <v>2466677.5</v>
      </c>
      <c r="M322" s="365">
        <f>114702+40612+35598+23284+12543+4168+3055+2661+1161+850+210+377+981+684+2228+92+109</f>
        <v>243315</v>
      </c>
      <c r="N322" s="532">
        <f t="shared" si="58"/>
        <v>10.13779462836241</v>
      </c>
      <c r="O322" s="586"/>
    </row>
    <row r="323" spans="1:15" ht="15">
      <c r="A323" s="225">
        <v>319</v>
      </c>
      <c r="B323" s="531" t="s">
        <v>21</v>
      </c>
      <c r="C323" s="368">
        <v>40480</v>
      </c>
      <c r="D323" s="374" t="s">
        <v>119</v>
      </c>
      <c r="E323" s="369">
        <v>100</v>
      </c>
      <c r="F323" s="369">
        <v>1</v>
      </c>
      <c r="G323" s="369">
        <v>16</v>
      </c>
      <c r="H323" s="364">
        <v>571</v>
      </c>
      <c r="I323" s="365">
        <v>92</v>
      </c>
      <c r="J323" s="362">
        <f t="shared" si="56"/>
        <v>92</v>
      </c>
      <c r="K323" s="363">
        <f t="shared" si="57"/>
        <v>6.206521739130435</v>
      </c>
      <c r="L323" s="364">
        <f>1221166+429124.5+378100+240009.5+108018.5+26890.5+15319+16968+7345.5+4160+1262+1510+3920.5+2732.5+8910+571</f>
        <v>2466007.5</v>
      </c>
      <c r="M323" s="365">
        <f>114702+40612+35598+23284+12543+4168+3055+2661+1161+850+210+377+981+684+2228+92</f>
        <v>243206</v>
      </c>
      <c r="N323" s="532">
        <f t="shared" si="58"/>
        <v>10.139583316201081</v>
      </c>
      <c r="O323" s="388"/>
    </row>
    <row r="324" spans="1:15" ht="15">
      <c r="A324" s="225">
        <v>320</v>
      </c>
      <c r="B324" s="547" t="s">
        <v>36</v>
      </c>
      <c r="C324" s="368">
        <v>40508</v>
      </c>
      <c r="D324" s="451" t="s">
        <v>23</v>
      </c>
      <c r="E324" s="369">
        <v>11</v>
      </c>
      <c r="F324" s="369">
        <v>3</v>
      </c>
      <c r="G324" s="369">
        <v>6</v>
      </c>
      <c r="H324" s="435">
        <v>3343</v>
      </c>
      <c r="I324" s="422">
        <v>754</v>
      </c>
      <c r="J324" s="414">
        <f>I324/F324</f>
        <v>251.33333333333334</v>
      </c>
      <c r="K324" s="436">
        <f>+H324/I324</f>
        <v>4.43368700265252</v>
      </c>
      <c r="L324" s="437">
        <v>107677</v>
      </c>
      <c r="M324" s="423">
        <v>8838</v>
      </c>
      <c r="N324" s="550">
        <f>+L324/M324</f>
        <v>12.183412536773025</v>
      </c>
      <c r="O324" s="373">
        <v>1</v>
      </c>
    </row>
    <row r="325" spans="1:15" ht="15.75" thickBot="1">
      <c r="A325" s="225">
        <v>321</v>
      </c>
      <c r="B325" s="575" t="s">
        <v>36</v>
      </c>
      <c r="C325" s="576">
        <v>40508</v>
      </c>
      <c r="D325" s="577" t="s">
        <v>23</v>
      </c>
      <c r="E325" s="578">
        <v>11</v>
      </c>
      <c r="F325" s="578">
        <v>1</v>
      </c>
      <c r="G325" s="578">
        <v>9</v>
      </c>
      <c r="H325" s="579">
        <v>1240</v>
      </c>
      <c r="I325" s="580">
        <v>164</v>
      </c>
      <c r="J325" s="581">
        <f>I325/F325</f>
        <v>164</v>
      </c>
      <c r="K325" s="582">
        <f>+H325/I325</f>
        <v>7.560975609756097</v>
      </c>
      <c r="L325" s="583">
        <v>108917</v>
      </c>
      <c r="M325" s="584">
        <v>9002</v>
      </c>
      <c r="N325" s="585">
        <f>+L325/M325</f>
        <v>12.09920017773828</v>
      </c>
      <c r="O325" s="455"/>
    </row>
    <row r="326" ht="15">
      <c r="O326" s="356"/>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unlockedFormula="1"/>
    <ignoredError sqref="R27:S27 R31:S31 R32:S32 R26:S26"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2011-03-19T07:00:28Z</dcterms:modified>
  <cp:category/>
  <cp:version/>
  <cp:contentType/>
  <cp:contentStatus/>
</cp:coreProperties>
</file>