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16" windowWidth="20610" windowHeight="11640" tabRatio="867" activeTab="0"/>
  </bookViews>
  <sheets>
    <sheet name="18-24 Feb' 11 (WK 08)" sheetId="1" r:id="rId1"/>
    <sheet name="31 Dec 10'-24 Feb' 11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'18-24 Feb'' 11 (WK 08)'!$A$1:$N$71</definedName>
    <definedName name="_xlnm.Print_Area" localSheetId="1">'31 Dec 10'-24 Feb' 11 (Annual)'!#REF!</definedName>
  </definedNames>
  <calcPr fullCalcOnLoad="1"/>
</workbook>
</file>

<file path=xl/sharedStrings.xml><?xml version="1.0" encoding="utf-8"?>
<sst xmlns="http://schemas.openxmlformats.org/spreadsheetml/2006/main" count="775" uniqueCount="199">
  <si>
    <t>RESIDENT EVIL: AFTERLIFE</t>
  </si>
  <si>
    <t>THE TOURIST</t>
  </si>
  <si>
    <t>THE CHRONICLES OF NARNIA: THE VOVAYE OF THE DAWN TREADER</t>
  </si>
  <si>
    <t>UNCLE BOONMEE WHO CAN RECALL HIS PAST LIVES</t>
  </si>
  <si>
    <t>BLACK HEAVEN</t>
  </si>
  <si>
    <t>Admission</t>
  </si>
  <si>
    <t>Title</t>
  </si>
  <si>
    <t>G.B.O. YTL</t>
  </si>
  <si>
    <t>TALE 52</t>
  </si>
  <si>
    <t>LE CONCERT</t>
  </si>
  <si>
    <t>EAT PRAY LOVE</t>
  </si>
  <si>
    <t>MY SOUL TO TAKE</t>
  </si>
  <si>
    <t>AYLA</t>
  </si>
  <si>
    <t>PARANORMAL ACTIVITY 2</t>
  </si>
  <si>
    <t>CENTURION</t>
  </si>
  <si>
    <t>L'AGE DE RAISON</t>
  </si>
  <si>
    <t>AFTER.LIFE</t>
  </si>
  <si>
    <t>MEDYAVİZYON</t>
  </si>
  <si>
    <t>HARRY POTTER 7a</t>
  </si>
  <si>
    <t>OPEN SEASON 3</t>
  </si>
  <si>
    <t>GARFIELD'S PET FORCE</t>
  </si>
  <si>
    <t>WINX CLUB 3D: MAGICAL ADVENTURE</t>
  </si>
  <si>
    <t>INHALE</t>
  </si>
  <si>
    <t>UIP TÜRKİYE</t>
  </si>
  <si>
    <t>WARNER BROS. TÜRKİYE</t>
  </si>
  <si>
    <t>CINE FILM</t>
  </si>
  <si>
    <t>ÖZEN FİLM</t>
  </si>
  <si>
    <t>PİNEMA</t>
  </si>
  <si>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</si>
  <si>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SAW 3D</t>
  </si>
  <si>
    <t>SAMMY'S ADVENTURES</t>
  </si>
  <si>
    <t>MFP-CINEGROUP</t>
  </si>
  <si>
    <t>Weeks in Release</t>
  </si>
  <si>
    <t>Distributor</t>
  </si>
  <si>
    <t>DUE DATE</t>
  </si>
  <si>
    <t>VAMPIRES SUCK</t>
  </si>
  <si>
    <t>YOU AGAIN</t>
  </si>
  <si>
    <t>THE LAST EXORCISM</t>
  </si>
  <si>
    <t>Screen Avg. (Adm.)</t>
  </si>
  <si>
    <t>Release Date</t>
  </si>
  <si>
    <t>Week in Release</t>
  </si>
  <si>
    <t>Avg. Ticket Price</t>
  </si>
  <si>
    <t>Türkiye Distributor</t>
  </si>
  <si>
    <t>Release
Date</t>
  </si>
  <si>
    <t># of
Prints</t>
  </si>
  <si>
    <t>Week</t>
  </si>
  <si>
    <t>Cumulative</t>
  </si>
  <si>
    <t>G.B.O.</t>
  </si>
  <si>
    <t>Adm.</t>
  </si>
  <si>
    <t>Avg.
Ticket</t>
  </si>
  <si>
    <t xml:space="preserve">Avg.
Ticket </t>
  </si>
  <si>
    <t># of
Screen</t>
  </si>
  <si>
    <t>SKYLINE</t>
  </si>
  <si>
    <t>UNSTOPPABLE</t>
  </si>
  <si>
    <r>
      <t>Yukarıdaki Turkey's Weekend Market Datas adlı tablo Türkiye'deki film da</t>
    </r>
    <r>
      <rPr>
        <i/>
        <sz val="9"/>
        <color indexed="23"/>
        <rFont val="Didot"/>
        <family val="0"/>
      </rPr>
      <t>ğ</t>
    </r>
    <r>
      <rPr>
        <i/>
        <sz val="9"/>
        <color indexed="23"/>
        <rFont val="Administer"/>
        <family val="0"/>
      </rPr>
      <t xml:space="preserve">ıtıcısı </t>
    </r>
    <r>
      <rPr>
        <i/>
        <sz val="9"/>
        <color indexed="23"/>
        <rFont val="Didot"/>
        <family val="0"/>
      </rPr>
      <t>ş</t>
    </r>
    <r>
      <rPr>
        <i/>
        <sz val="9"/>
        <color indexed="23"/>
        <rFont val="Administer"/>
        <family val="0"/>
      </rPr>
      <t>irketlerin ülkemizde yukarıda belirtilen haftalarda da</t>
    </r>
    <r>
      <rPr>
        <i/>
        <sz val="9"/>
        <color indexed="23"/>
        <rFont val="Didot"/>
        <family val="0"/>
      </rPr>
      <t>ğ</t>
    </r>
    <r>
      <rPr>
        <i/>
        <sz val="9"/>
        <color indexed="23"/>
        <rFont val="Administer"/>
        <family val="0"/>
      </rPr>
      <t>ıttıkları sinema filmlerinin gene yukarıda belirttikleri haftalarda ula</t>
    </r>
    <r>
      <rPr>
        <i/>
        <sz val="9"/>
        <color indexed="23"/>
        <rFont val="Didot"/>
        <family val="0"/>
      </rPr>
      <t>ş</t>
    </r>
    <r>
      <rPr>
        <i/>
        <sz val="9"/>
        <color indexed="23"/>
        <rFont val="Administer"/>
        <family val="0"/>
      </rPr>
      <t>tıkları seyirci sayısını ve yaptıkları hasılatı göstermektedir. Liste ve ekinde bulunan di</t>
    </r>
    <r>
      <rPr>
        <i/>
        <sz val="9"/>
        <color indexed="23"/>
        <rFont val="Didot"/>
        <family val="0"/>
      </rPr>
      <t>ğ</t>
    </r>
    <r>
      <rPr>
        <i/>
        <sz val="9"/>
        <color indexed="23"/>
        <rFont val="Administer"/>
        <family val="0"/>
      </rPr>
      <t>er sayfalar bütün da</t>
    </r>
    <r>
      <rPr>
        <i/>
        <sz val="9"/>
        <color indexed="23"/>
        <rFont val="Didot"/>
        <family val="0"/>
      </rPr>
      <t>ğ</t>
    </r>
    <r>
      <rPr>
        <i/>
        <sz val="9"/>
        <color indexed="23"/>
        <rFont val="Administer"/>
        <family val="0"/>
      </rPr>
      <t>ıtıcıların ortak görü</t>
    </r>
    <r>
      <rPr>
        <i/>
        <sz val="9"/>
        <color indexed="23"/>
        <rFont val="Didot"/>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Didot"/>
        <family val="0"/>
      </rPr>
      <t>ğ</t>
    </r>
    <r>
      <rPr>
        <i/>
        <sz val="9"/>
        <color indexed="23"/>
        <rFont val="Administer"/>
        <family val="0"/>
      </rPr>
      <t>ıtımcı firmalardan gönderilen özel bilgileri bir araya getirerek olu</t>
    </r>
    <r>
      <rPr>
        <i/>
        <sz val="9"/>
        <color indexed="23"/>
        <rFont val="Didot"/>
        <family val="0"/>
      </rPr>
      <t>ş</t>
    </r>
    <r>
      <rPr>
        <i/>
        <sz val="9"/>
        <color indexed="23"/>
        <rFont val="Administer"/>
        <family val="0"/>
      </rPr>
      <t>turmaktadır. Yukarıdaki ve ekindeki tabloların içerdi</t>
    </r>
    <r>
      <rPr>
        <i/>
        <sz val="9"/>
        <color indexed="23"/>
        <rFont val="Didot"/>
        <family val="0"/>
      </rPr>
      <t>ğ</t>
    </r>
    <r>
      <rPr>
        <i/>
        <sz val="9"/>
        <color indexed="23"/>
        <rFont val="Administer"/>
        <family val="0"/>
      </rPr>
      <t>i veriler ço</t>
    </r>
    <r>
      <rPr>
        <i/>
        <sz val="9"/>
        <color indexed="23"/>
        <rFont val="Didot"/>
        <family val="0"/>
      </rPr>
      <t>ğ</t>
    </r>
    <r>
      <rPr>
        <i/>
        <sz val="9"/>
        <color indexed="23"/>
        <rFont val="Administer"/>
        <family val="0"/>
      </rPr>
      <t>altılamaz, satılamaz. Alıntı veya kopyalama yapılırken Haftalık Antrakt Sinema Gazetesi'nden izin alınmalıdır.</t>
    </r>
  </si>
  <si>
    <r>
      <t>*Sorted according to cumulative G.B.O. - Toplam hasılat sütununa göre sıralanmı</t>
    </r>
    <r>
      <rPr>
        <i/>
        <sz val="9"/>
        <color indexed="23"/>
        <rFont val="Didot"/>
        <family val="0"/>
      </rPr>
      <t>ş</t>
    </r>
    <r>
      <rPr>
        <i/>
        <sz val="9"/>
        <color indexed="23"/>
        <rFont val="Administer"/>
        <family val="0"/>
      </rPr>
      <t>tır.</t>
    </r>
  </si>
  <si>
    <r>
      <t>*Sorted according to Weekend Total G.B.O. - Haftalık toplam hasılat sütununa göre sıralanmı</t>
    </r>
    <r>
      <rPr>
        <i/>
        <sz val="9"/>
        <color indexed="23"/>
        <rFont val="Didot"/>
        <family val="0"/>
      </rPr>
      <t>ş</t>
    </r>
    <r>
      <rPr>
        <i/>
        <sz val="9"/>
        <color indexed="23"/>
        <rFont val="Administer"/>
        <family val="0"/>
      </rPr>
      <t>tır.</t>
    </r>
  </si>
  <si>
    <r>
      <t xml:space="preserve">ÇAKALLARLA DANS </t>
    </r>
    <r>
      <rPr>
        <b/>
        <sz val="10"/>
        <color indexed="10"/>
        <rFont val="Trebuchet MS"/>
        <family val="2"/>
      </rPr>
      <t>(LOCAL)</t>
    </r>
  </si>
  <si>
    <t>LIFE AS WE KNOW IT</t>
  </si>
  <si>
    <r>
      <t xml:space="preserve">SULTANIN SIRRI </t>
    </r>
    <r>
      <rPr>
        <b/>
        <sz val="10"/>
        <color indexed="10"/>
        <rFont val="Trebuchet MS"/>
        <family val="2"/>
      </rPr>
      <t>(LOCAL)</t>
    </r>
  </si>
  <si>
    <t>GULLIVER'S TRAVELS</t>
  </si>
  <si>
    <r>
      <t xml:space="preserve">MEMLEKETTE DEMOKRASİ VAR </t>
    </r>
    <r>
      <rPr>
        <b/>
        <sz val="10"/>
        <color indexed="10"/>
        <rFont val="Trebuchet MS"/>
        <family val="2"/>
      </rPr>
      <t>(LOCAL)</t>
    </r>
  </si>
  <si>
    <r>
      <t xml:space="preserve">ÇOĞUNLUK </t>
    </r>
    <r>
      <rPr>
        <b/>
        <sz val="10"/>
        <color indexed="10"/>
        <rFont val="Trebuchet MS"/>
        <family val="2"/>
      </rPr>
      <t>(LOCAL)</t>
    </r>
  </si>
  <si>
    <r>
      <t>TESLİMİYET</t>
    </r>
    <r>
      <rPr>
        <b/>
        <sz val="10"/>
        <color indexed="10"/>
        <rFont val="Trebuchet MS"/>
        <family val="2"/>
      </rPr>
      <t xml:space="preserve"> (LOCAL)</t>
    </r>
  </si>
  <si>
    <r>
      <t xml:space="preserve">CEHENNEM 3D </t>
    </r>
    <r>
      <rPr>
        <b/>
        <sz val="10"/>
        <color indexed="10"/>
        <rFont val="Trebuchet MS"/>
        <family val="2"/>
      </rPr>
      <t>(LOCAL)</t>
    </r>
  </si>
  <si>
    <r>
      <t xml:space="preserve">UÇAN MELEKLER </t>
    </r>
    <r>
      <rPr>
        <b/>
        <sz val="10"/>
        <color indexed="10"/>
        <rFont val="Trebuchet MS"/>
        <family val="2"/>
      </rPr>
      <t>(LOCAL)</t>
    </r>
  </si>
  <si>
    <r>
      <t xml:space="preserve">KAVŞAK </t>
    </r>
    <r>
      <rPr>
        <b/>
        <sz val="10"/>
        <color indexed="10"/>
        <rFont val="Trebuchet MS"/>
        <family val="2"/>
      </rPr>
      <t>(LOCAL)</t>
    </r>
  </si>
  <si>
    <r>
      <t xml:space="preserve">ÇAKAL </t>
    </r>
    <r>
      <rPr>
        <b/>
        <sz val="10"/>
        <color indexed="10"/>
        <rFont val="Trebuchet MS"/>
        <family val="2"/>
      </rPr>
      <t>(LOCAL)</t>
    </r>
  </si>
  <si>
    <r>
      <t xml:space="preserve">PRENSESİN UYKUSU </t>
    </r>
    <r>
      <rPr>
        <b/>
        <sz val="10"/>
        <color indexed="10"/>
        <rFont val="Trebuchet MS"/>
        <family val="2"/>
      </rPr>
      <t>(LOCAL)</t>
    </r>
  </si>
  <si>
    <r>
      <t xml:space="preserve">http://www.antraktsinema.com - </t>
    </r>
    <r>
      <rPr>
        <sz val="12"/>
        <color indexed="47"/>
        <rFont val="Gadget"/>
        <family val="0"/>
      </rPr>
      <t xml:space="preserve">Weekly Movie Magazine Antrakt presents - Haftalık Antrakt Sinema Gazetesi sunar </t>
    </r>
    <r>
      <rPr>
        <sz val="12"/>
        <color indexed="9"/>
        <rFont val="Gadget"/>
        <family val="0"/>
      </rPr>
      <t>- http://www.antraktsinema.com</t>
    </r>
  </si>
  <si>
    <r>
      <t>AV MEVSİMİ</t>
    </r>
    <r>
      <rPr>
        <b/>
        <sz val="10"/>
        <color indexed="10"/>
        <rFont val="Trebuchet MS"/>
        <family val="2"/>
      </rPr>
      <t xml:space="preserve"> (LOCAL)</t>
    </r>
  </si>
  <si>
    <t>TANGLED</t>
  </si>
  <si>
    <t>LITTLE FOCKERS</t>
  </si>
  <si>
    <t>THE TOWN</t>
  </si>
  <si>
    <t>23</t>
  </si>
  <si>
    <r>
      <t>NEW YORK'TA BEŞ MİNARE</t>
    </r>
    <r>
      <rPr>
        <b/>
        <sz val="10"/>
        <color indexed="10"/>
        <rFont val="Trebuchet MS"/>
        <family val="2"/>
      </rPr>
      <t xml:space="preserve"> (LOCAL)</t>
    </r>
  </si>
  <si>
    <r>
      <t xml:space="preserve">VAY ARKADAŞ </t>
    </r>
    <r>
      <rPr>
        <b/>
        <sz val="10"/>
        <color indexed="10"/>
        <rFont val="Trebuchet MS"/>
        <family val="2"/>
      </rPr>
      <t>(LOCAL)</t>
    </r>
  </si>
  <si>
    <r>
      <t xml:space="preserve">PAK PANTER </t>
    </r>
    <r>
      <rPr>
        <b/>
        <sz val="10"/>
        <color indexed="10"/>
        <rFont val="Trebuchet MS"/>
        <family val="2"/>
      </rPr>
      <t>(LOCAL)</t>
    </r>
  </si>
  <si>
    <r>
      <t xml:space="preserve">POLİS </t>
    </r>
    <r>
      <rPr>
        <b/>
        <sz val="10"/>
        <color indexed="10"/>
        <rFont val="Trebuchet MS"/>
        <family val="2"/>
      </rPr>
      <t>(LOCAL)</t>
    </r>
  </si>
  <si>
    <r>
      <t xml:space="preserve">AŞKIN İKİNCİ YARISI </t>
    </r>
    <r>
      <rPr>
        <b/>
        <sz val="10"/>
        <color indexed="10"/>
        <rFont val="Trebuchet MS"/>
        <family val="2"/>
      </rPr>
      <t>(LOCAL)</t>
    </r>
  </si>
  <si>
    <r>
      <t>NENE HATUN</t>
    </r>
    <r>
      <rPr>
        <b/>
        <sz val="10"/>
        <color indexed="10"/>
        <rFont val="Trebuchet MS"/>
        <family val="2"/>
      </rPr>
      <t xml:space="preserve"> (LOCAL)</t>
    </r>
  </si>
  <si>
    <r>
      <t xml:space="preserve">KUBİLAY </t>
    </r>
    <r>
      <rPr>
        <b/>
        <sz val="10"/>
        <color indexed="10"/>
        <rFont val="Trebuchet MS"/>
        <family val="2"/>
      </rPr>
      <t>(LOCAL)</t>
    </r>
  </si>
  <si>
    <r>
      <t xml:space="preserve">O KUL </t>
    </r>
    <r>
      <rPr>
        <b/>
        <sz val="10"/>
        <color indexed="10"/>
        <rFont val="Trebuchet MS"/>
        <family val="2"/>
      </rPr>
      <t>(LOCAL)</t>
    </r>
  </si>
  <si>
    <r>
      <t xml:space="preserve">http://www.antraktsinema.com - </t>
    </r>
    <r>
      <rPr>
        <sz val="12"/>
        <color indexed="47"/>
        <rFont val="Gadget"/>
        <family val="0"/>
      </rPr>
      <t>Weekly Movie Magazine Antrakt presents - Haftalık Antrakt Sinema Gazetesi sunar</t>
    </r>
  </si>
  <si>
    <r>
      <t xml:space="preserve">http://www.antraktsinema.com - </t>
    </r>
    <r>
      <rPr>
        <sz val="12"/>
        <color indexed="47"/>
        <rFont val="Gadget"/>
        <family val="0"/>
      </rPr>
      <t>Weekly Movie Magazine Antrakt presents - Haftalık Antrakt Sinema Gazetesi sunar</t>
    </r>
    <r>
      <rPr>
        <sz val="12"/>
        <color indexed="9"/>
        <rFont val="Gadget"/>
        <family val="0"/>
      </rPr>
      <t xml:space="preserve"> - http://www.antraktsinema.com</t>
    </r>
  </si>
  <si>
    <t>SPREAD</t>
  </si>
  <si>
    <t>CERTIFIED COPY</t>
  </si>
  <si>
    <r>
      <t xml:space="preserve">AV MEVSİMİ </t>
    </r>
    <r>
      <rPr>
        <b/>
        <sz val="10"/>
        <color indexed="10"/>
        <rFont val="Trebuchet MS"/>
        <family val="2"/>
      </rPr>
      <t>(LOCAL)</t>
    </r>
  </si>
  <si>
    <r>
      <t>ÇAKALLARLA DANS</t>
    </r>
    <r>
      <rPr>
        <b/>
        <sz val="10"/>
        <color indexed="10"/>
        <rFont val="Trebuchet MS"/>
        <family val="2"/>
      </rPr>
      <t xml:space="preserve"> (LOCAL)</t>
    </r>
  </si>
  <si>
    <t>THE EXPERIMENT</t>
  </si>
  <si>
    <t>M3 FİLM</t>
  </si>
  <si>
    <r>
      <t xml:space="preserve">NEW YORK'TA BEŞ MİNARE </t>
    </r>
    <r>
      <rPr>
        <b/>
        <sz val="10"/>
        <color indexed="10"/>
        <rFont val="Trebuchet MS"/>
        <family val="2"/>
      </rPr>
      <t>(LOCAL)</t>
    </r>
  </si>
  <si>
    <r>
      <t>SULTANIN SIRRI</t>
    </r>
    <r>
      <rPr>
        <b/>
        <sz val="10"/>
        <color indexed="10"/>
        <rFont val="Trebuchet MS"/>
        <family val="2"/>
      </rPr>
      <t xml:space="preserve"> (LOCAL)</t>
    </r>
  </si>
  <si>
    <t>PLANET 51</t>
  </si>
  <si>
    <t>STONE</t>
  </si>
  <si>
    <t>DIARY OF A WIMPY KID</t>
  </si>
  <si>
    <t>DESPICABLE ME</t>
  </si>
  <si>
    <t>JOHN RABE</t>
  </si>
  <si>
    <t>THE A TEAM</t>
  </si>
  <si>
    <r>
      <t>ÇOĞUNLUK</t>
    </r>
    <r>
      <rPr>
        <b/>
        <sz val="10"/>
        <color indexed="10"/>
        <rFont val="Trebuchet MS"/>
        <family val="2"/>
      </rPr>
      <t xml:space="preserve"> (LOCAL)</t>
    </r>
  </si>
  <si>
    <r>
      <t>ÜÇ HARFLİLER: MARİD</t>
    </r>
    <r>
      <rPr>
        <sz val="10"/>
        <color indexed="10"/>
        <rFont val="Trebuchet MS"/>
        <family val="2"/>
      </rPr>
      <t xml:space="preserve"> </t>
    </r>
    <r>
      <rPr>
        <b/>
        <sz val="10"/>
        <color indexed="10"/>
        <rFont val="Trebuchet MS"/>
        <family val="2"/>
      </rPr>
      <t>(LOCAL)</t>
    </r>
  </si>
  <si>
    <r>
      <t xml:space="preserve">ŞENLİKNAME: BİR İSTANBUL MASALI </t>
    </r>
    <r>
      <rPr>
        <b/>
        <sz val="10"/>
        <color indexed="10"/>
        <rFont val="Trebuchet MS"/>
        <family val="2"/>
      </rPr>
      <t>(LOCAL)</t>
    </r>
  </si>
  <si>
    <r>
      <t xml:space="preserve">HÜR ADAM </t>
    </r>
    <r>
      <rPr>
        <b/>
        <sz val="10"/>
        <color indexed="10"/>
        <rFont val="Trebuchet MS"/>
        <family val="2"/>
      </rPr>
      <t>(LOCAL)</t>
    </r>
  </si>
  <si>
    <t>CIRKUS COLUMBIA</t>
  </si>
  <si>
    <t>CHANTIER FILMS</t>
  </si>
  <si>
    <t>DUKA FİLM</t>
  </si>
  <si>
    <t>THE GIRL WHO PLAYED WITH FIRE</t>
  </si>
  <si>
    <r>
      <t xml:space="preserve">AY LAV YU </t>
    </r>
    <r>
      <rPr>
        <b/>
        <sz val="10"/>
        <color indexed="10"/>
        <rFont val="Trebuchet MS"/>
        <family val="2"/>
      </rPr>
      <t>(LOCAL)</t>
    </r>
  </si>
  <si>
    <t>JOURNEY TO THE CENTER OF THE EARTH</t>
  </si>
  <si>
    <t>THE LAST EXORCİSM</t>
  </si>
  <si>
    <t>L'ILLUSIONNIST</t>
  </si>
  <si>
    <t>VAY ARKADAŞ</t>
  </si>
  <si>
    <t>MOTHER AND CHILD</t>
  </si>
  <si>
    <r>
      <t>PRENSESİN UYKUSU</t>
    </r>
    <r>
      <rPr>
        <b/>
        <sz val="10"/>
        <color indexed="10"/>
        <rFont val="Trebuchet MS"/>
        <family val="2"/>
      </rPr>
      <t xml:space="preserve"> (LOCAL)</t>
    </r>
  </si>
  <si>
    <t>AN EDUCATION</t>
  </si>
  <si>
    <t>THE KARATE KID</t>
  </si>
  <si>
    <t>DETOUR</t>
  </si>
  <si>
    <t>SEASON OF THE WITCH</t>
  </si>
  <si>
    <t>MEGAMIND</t>
  </si>
  <si>
    <t>LOVE &amp; OTHER DRUGS</t>
  </si>
  <si>
    <t>TİGLON</t>
  </si>
  <si>
    <t>I AM LOVE</t>
  </si>
  <si>
    <t>KITES</t>
  </si>
  <si>
    <t>CHANTEIR FILMS</t>
  </si>
  <si>
    <t>LITTLE NICHOLAS</t>
  </si>
  <si>
    <r>
      <t>VAY ARKADAŞ</t>
    </r>
    <r>
      <rPr>
        <b/>
        <sz val="10"/>
        <color indexed="10"/>
        <rFont val="Trebuchet MS"/>
        <family val="2"/>
      </rPr>
      <t xml:space="preserve"> (LOCAL)</t>
    </r>
  </si>
  <si>
    <r>
      <t>KAVŞAK</t>
    </r>
    <r>
      <rPr>
        <b/>
        <sz val="10"/>
        <color indexed="10"/>
        <rFont val="Trebuchet MS"/>
        <family val="2"/>
      </rPr>
      <t xml:space="preserve"> (LOCAL)</t>
    </r>
  </si>
  <si>
    <t>LOOKING FOR ERIC</t>
  </si>
  <si>
    <t>RED</t>
  </si>
  <si>
    <t>YOGI BEAR</t>
  </si>
  <si>
    <t>GET LOW</t>
  </si>
  <si>
    <t>ALVIN &amp; THE CHIPMUNKS: THE SQUEAKQUEL</t>
  </si>
  <si>
    <t>THE SOCIAL NETWORK</t>
  </si>
  <si>
    <t>THE MISFORTUNATES</t>
  </si>
  <si>
    <r>
      <t xml:space="preserve">ÜÇ HARFLİLER: MARİD </t>
    </r>
    <r>
      <rPr>
        <b/>
        <sz val="10"/>
        <color indexed="10"/>
        <rFont val="Trebuchet MS"/>
        <family val="2"/>
      </rPr>
      <t>(LOCAL)</t>
    </r>
  </si>
  <si>
    <t>ICE AGE 3: DAWN OF THE DINOSAURS</t>
  </si>
  <si>
    <t>IMPY'S WONDERLAND</t>
  </si>
  <si>
    <r>
      <t xml:space="preserve">VEDA </t>
    </r>
    <r>
      <rPr>
        <b/>
        <sz val="10"/>
        <color indexed="10"/>
        <rFont val="Trebuchet MS"/>
        <family val="2"/>
      </rPr>
      <t>(LOCAL)</t>
    </r>
  </si>
  <si>
    <t>CHUGYEOGJA</t>
  </si>
  <si>
    <t>THE TREE</t>
  </si>
  <si>
    <t>BIUTIFUL</t>
  </si>
  <si>
    <r>
      <t xml:space="preserve">GÜNAH KEÇİSİ </t>
    </r>
    <r>
      <rPr>
        <b/>
        <sz val="10"/>
        <color indexed="10"/>
        <rFont val="Trebuchet MS"/>
        <family val="2"/>
      </rPr>
      <t>(LOCAL)</t>
    </r>
  </si>
  <si>
    <r>
      <t>PRENSESİN UYKUSU</t>
    </r>
    <r>
      <rPr>
        <sz val="10"/>
        <color indexed="10"/>
        <rFont val="Trebuchet MS"/>
        <family val="2"/>
      </rPr>
      <t xml:space="preserve"> </t>
    </r>
    <r>
      <rPr>
        <b/>
        <sz val="10"/>
        <color indexed="10"/>
        <rFont val="Trebuchet MS"/>
        <family val="2"/>
      </rPr>
      <t>(LOCAL)</t>
    </r>
  </si>
  <si>
    <t>BRIGHT STAR</t>
  </si>
  <si>
    <t>SANCTUM</t>
  </si>
  <si>
    <t>MEMLEKET MESELESİ (LOCAL)</t>
  </si>
  <si>
    <r>
      <t xml:space="preserve">AŞK TESADÜFLERİ SEVER </t>
    </r>
    <r>
      <rPr>
        <b/>
        <sz val="10"/>
        <color indexed="10"/>
        <rFont val="Trebuchet MS"/>
        <family val="2"/>
      </rPr>
      <t>(LOCAL)</t>
    </r>
  </si>
  <si>
    <t>LA VERITABLE HISTOIRE DU CHAT BOTTE</t>
  </si>
  <si>
    <r>
      <t xml:space="preserve">HAYAT VAR </t>
    </r>
    <r>
      <rPr>
        <b/>
        <sz val="10"/>
        <color indexed="10"/>
        <rFont val="Trebuchet MS"/>
        <family val="2"/>
      </rPr>
      <t>(LOCAL)</t>
    </r>
  </si>
  <si>
    <t>INCEPTION</t>
  </si>
  <si>
    <t>RICKY</t>
  </si>
  <si>
    <t>R.E.D.</t>
  </si>
  <si>
    <r>
      <t>KUKURİKU: KADIN KRALLIĞI</t>
    </r>
    <r>
      <rPr>
        <b/>
        <sz val="10"/>
        <color indexed="10"/>
        <rFont val="Trebuchet MS"/>
        <family val="2"/>
      </rPr>
      <t xml:space="preserve"> (LOCAL)</t>
    </r>
  </si>
  <si>
    <t>TRON: LEGACY</t>
  </si>
  <si>
    <t>THE RITE</t>
  </si>
  <si>
    <t>THE FIGHTER</t>
  </si>
  <si>
    <t>SECRETARIAT</t>
  </si>
  <si>
    <t>the GIRL WHO PLAYED WITH FIRE</t>
  </si>
  <si>
    <r>
      <t>ŞENLİKNAME: BİR İSTANBUL MASALI</t>
    </r>
    <r>
      <rPr>
        <b/>
        <sz val="10"/>
        <color indexed="10"/>
        <rFont val="Trebuchet MS"/>
        <family val="2"/>
      </rPr>
      <t xml:space="preserve"> (LOCAL)</t>
    </r>
  </si>
  <si>
    <r>
      <t xml:space="preserve">EYYVAH EYVAH 2 </t>
    </r>
    <r>
      <rPr>
        <b/>
        <sz val="10"/>
        <color indexed="10"/>
        <rFont val="Trebuchet MS"/>
        <family val="2"/>
      </rPr>
      <t>(LOCAL)</t>
    </r>
  </si>
  <si>
    <r>
      <t xml:space="preserve">KURTLAR VADİSİ: FİLİSTİN </t>
    </r>
    <r>
      <rPr>
        <b/>
        <sz val="10"/>
        <color indexed="10"/>
        <rFont val="Trebuchet MS"/>
        <family val="2"/>
      </rPr>
      <t>(LOCAL)</t>
    </r>
  </si>
  <si>
    <r>
      <t xml:space="preserve">KING'S SPEECH </t>
    </r>
    <r>
      <rPr>
        <b/>
        <sz val="10"/>
        <color indexed="12"/>
        <rFont val="Trebuchet MS"/>
        <family val="2"/>
      </rPr>
      <t>(NEW)</t>
    </r>
  </si>
  <si>
    <r>
      <t xml:space="preserve">GREEN HORNET </t>
    </r>
    <r>
      <rPr>
        <b/>
        <sz val="10"/>
        <color indexed="12"/>
        <rFont val="Trebuchet MS"/>
        <family val="2"/>
      </rPr>
      <t>(NEW)</t>
    </r>
  </si>
  <si>
    <r>
      <t>ÇALGI ÇENGİ</t>
    </r>
    <r>
      <rPr>
        <b/>
        <sz val="10"/>
        <color indexed="10"/>
        <rFont val="Trebuchet MS"/>
        <family val="2"/>
      </rPr>
      <t xml:space="preserve"> (LOCAL)</t>
    </r>
    <r>
      <rPr>
        <b/>
        <sz val="10"/>
        <color indexed="12"/>
        <rFont val="Trebuchet MS"/>
        <family val="2"/>
      </rPr>
      <t xml:space="preserve"> (NEW)</t>
    </r>
  </si>
  <si>
    <r>
      <t xml:space="preserve">127 HOURS </t>
    </r>
    <r>
      <rPr>
        <b/>
        <sz val="10"/>
        <color indexed="12"/>
        <rFont val="Trebuchet MS"/>
        <family val="2"/>
      </rPr>
      <t>(NEW)</t>
    </r>
  </si>
  <si>
    <r>
      <t xml:space="preserve">İNCİR REÇELİ </t>
    </r>
    <r>
      <rPr>
        <b/>
        <sz val="10"/>
        <color indexed="10"/>
        <rFont val="Trebuchet MS"/>
        <family val="2"/>
      </rPr>
      <t>(LOCAL)</t>
    </r>
  </si>
  <si>
    <r>
      <t xml:space="preserve">SINYORA ENRICA İLE İTALYAN OLMAK </t>
    </r>
    <r>
      <rPr>
        <b/>
        <sz val="10"/>
        <color indexed="10"/>
        <rFont val="Trebuchet MS"/>
        <family val="2"/>
      </rPr>
      <t xml:space="preserve">(LOCAL) </t>
    </r>
    <r>
      <rPr>
        <b/>
        <sz val="10"/>
        <color indexed="12"/>
        <rFont val="Trebuchet MS"/>
        <family val="2"/>
      </rPr>
      <t>(NEW)</t>
    </r>
  </si>
  <si>
    <r>
      <t>KUTSAL DAMACANA DRACOOLA</t>
    </r>
    <r>
      <rPr>
        <b/>
        <sz val="10"/>
        <color indexed="10"/>
        <rFont val="Trebuchet MS"/>
        <family val="2"/>
      </rPr>
      <t xml:space="preserve"> (LOCAL)</t>
    </r>
  </si>
  <si>
    <r>
      <t xml:space="preserve">7 AVLU </t>
    </r>
    <r>
      <rPr>
        <b/>
        <sz val="10"/>
        <color indexed="10"/>
        <rFont val="Trebuchet MS"/>
        <family val="2"/>
      </rPr>
      <t xml:space="preserve">(LOCAL) </t>
    </r>
    <r>
      <rPr>
        <b/>
        <sz val="10"/>
        <color indexed="12"/>
        <rFont val="Trebuchet MS"/>
        <family val="2"/>
      </rPr>
      <t>(NEW)</t>
    </r>
  </si>
  <si>
    <t>6</t>
  </si>
  <si>
    <t>8</t>
  </si>
  <si>
    <r>
      <t>KAĞIT (</t>
    </r>
    <r>
      <rPr>
        <b/>
        <sz val="10"/>
        <color indexed="10"/>
        <rFont val="Trebuchet MS"/>
        <family val="2"/>
      </rPr>
      <t>LOCAL)</t>
    </r>
  </si>
  <si>
    <t>KNIGHT AND DAY</t>
  </si>
  <si>
    <t>(500) DAYS OF SUMMER</t>
  </si>
  <si>
    <t>COCO CHANEL &amp; IGOR STRAVINSKY</t>
  </si>
  <si>
    <t>HUNGER</t>
  </si>
  <si>
    <t>I'VE LOVED YOU SO LONG</t>
  </si>
  <si>
    <t>LEMON TREE</t>
  </si>
  <si>
    <t>PONYO ON THE CLIFF BY THE SEA</t>
  </si>
  <si>
    <t>SUNSHINE CLEANING</t>
  </si>
  <si>
    <t>THE CHOKE</t>
  </si>
  <si>
    <r>
      <t>ÜÇ HARFLİLER: MARİD</t>
    </r>
    <r>
      <rPr>
        <b/>
        <sz val="10"/>
        <color indexed="10"/>
        <rFont val="Trebuchet MS"/>
        <family val="2"/>
      </rPr>
      <t xml:space="preserve"> (LOCAL)</t>
    </r>
  </si>
  <si>
    <r>
      <t xml:space="preserve">HAYDE BRE </t>
    </r>
    <r>
      <rPr>
        <b/>
        <sz val="10"/>
        <color indexed="10"/>
        <rFont val="Trebuchet MS"/>
        <family val="2"/>
      </rPr>
      <t>(LOCAL)</t>
    </r>
  </si>
  <si>
    <r>
      <t xml:space="preserve">EYYVAH EYVAH 2 </t>
    </r>
    <r>
      <rPr>
        <sz val="10"/>
        <color indexed="10"/>
        <rFont val="Trebuchet MS"/>
        <family val="2"/>
      </rPr>
      <t>(LOCAL)</t>
    </r>
  </si>
  <si>
    <r>
      <t xml:space="preserve">KURTLAR VADİSİ: FİLİSTİN </t>
    </r>
    <r>
      <rPr>
        <sz val="10"/>
        <color indexed="10"/>
        <rFont val="Trebuchet MS"/>
        <family val="2"/>
      </rPr>
      <t>(LOCAL)</t>
    </r>
  </si>
  <si>
    <r>
      <t xml:space="preserve">AŞK TESADÜFLERİ SEVER </t>
    </r>
    <r>
      <rPr>
        <sz val="10"/>
        <color indexed="10"/>
        <rFont val="Trebuchet MS"/>
        <family val="2"/>
      </rPr>
      <t>(LOCAL)</t>
    </r>
  </si>
  <si>
    <r>
      <t xml:space="preserve">HÜR ADAM </t>
    </r>
    <r>
      <rPr>
        <sz val="10"/>
        <color indexed="10"/>
        <rFont val="Trebuchet MS"/>
        <family val="2"/>
      </rPr>
      <t>(LOCAL)</t>
    </r>
  </si>
  <si>
    <r>
      <t>KUTSAL DAMACANA DRACOOLA</t>
    </r>
    <r>
      <rPr>
        <sz val="10"/>
        <color indexed="10"/>
        <rFont val="Trebuchet MS"/>
        <family val="2"/>
      </rPr>
      <t xml:space="preserve"> (LOCAL)</t>
    </r>
  </si>
  <si>
    <r>
      <t xml:space="preserve">GÜNAH KEÇİSİ </t>
    </r>
    <r>
      <rPr>
        <sz val="10"/>
        <color indexed="10"/>
        <rFont val="Trebuchet MS"/>
        <family val="2"/>
      </rPr>
      <t>(LOCAL)</t>
    </r>
  </si>
  <si>
    <r>
      <t xml:space="preserve">İNCİR REÇELİ </t>
    </r>
    <r>
      <rPr>
        <sz val="10"/>
        <color indexed="10"/>
        <rFont val="Trebuchet MS"/>
        <family val="2"/>
      </rPr>
      <t>(LOCAL)</t>
    </r>
  </si>
  <si>
    <r>
      <t>KUKURİKU: KADIN KRALLIĞI</t>
    </r>
    <r>
      <rPr>
        <sz val="10"/>
        <color indexed="10"/>
        <rFont val="Trebuchet MS"/>
        <family val="2"/>
      </rPr>
      <t xml:space="preserve"> (LOCAL)</t>
    </r>
  </si>
  <si>
    <r>
      <t>KAĞIT (</t>
    </r>
    <r>
      <rPr>
        <sz val="10"/>
        <color indexed="10"/>
        <rFont val="Trebuchet MS"/>
        <family val="2"/>
      </rPr>
      <t>LOCAL)</t>
    </r>
  </si>
  <si>
    <r>
      <t xml:space="preserve">HAYDE BRE </t>
    </r>
    <r>
      <rPr>
        <sz val="10"/>
        <color indexed="10"/>
        <rFont val="Trebuchet MS"/>
        <family val="2"/>
      </rPr>
      <t>(LOCAL)</t>
    </r>
  </si>
  <si>
    <t>KING'S SPEECH</t>
  </si>
  <si>
    <t>GREEN HORNET</t>
  </si>
  <si>
    <r>
      <t>ÇALGI ÇENGİ</t>
    </r>
    <r>
      <rPr>
        <sz val="10"/>
        <color indexed="10"/>
        <rFont val="Trebuchet MS"/>
        <family val="2"/>
      </rPr>
      <t xml:space="preserve"> (LOCAL)</t>
    </r>
  </si>
  <si>
    <r>
      <t xml:space="preserve">SINYORA ENRICA İLE İTALYAN OLMAK </t>
    </r>
    <r>
      <rPr>
        <sz val="10"/>
        <color indexed="10"/>
        <rFont val="Trebuchet MS"/>
        <family val="2"/>
      </rPr>
      <t>(LOCAL)</t>
    </r>
  </si>
  <si>
    <t>127 HOURS</t>
  </si>
  <si>
    <r>
      <t xml:space="preserve">7 AVLU </t>
    </r>
    <r>
      <rPr>
        <sz val="10"/>
        <color indexed="10"/>
        <rFont val="Trebuchet MS"/>
        <family val="2"/>
      </rPr>
      <t>(LOCAL)</t>
    </r>
  </si>
</sst>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 numFmtId="212" formatCode="[$-F400]h:mm:ss\ AM/PM"/>
    <numFmt numFmtId="213" formatCode="#,##0.00\ &quot;TL&quot;"/>
  </numFmts>
  <fonts count="99">
    <font>
      <sz val="10"/>
      <name val="Arial"/>
      <family val="0"/>
    </font>
    <font>
      <u val="single"/>
      <sz val="8"/>
      <color indexed="36"/>
      <name val="Arial"/>
      <family val="2"/>
    </font>
    <font>
      <u val="single"/>
      <sz val="8"/>
      <color indexed="12"/>
      <name val="Arial"/>
      <family val="2"/>
    </font>
    <font>
      <sz val="14"/>
      <name val="Impact"/>
      <family val="2"/>
    </font>
    <font>
      <sz val="10"/>
      <name val="Impact"/>
      <family val="2"/>
    </font>
    <font>
      <sz val="14"/>
      <name val="Arial"/>
      <family val="2"/>
    </font>
    <font>
      <sz val="8"/>
      <name val="Trebuchet MS"/>
      <family val="0"/>
    </font>
    <font>
      <sz val="20"/>
      <name val="Impact"/>
      <family val="2"/>
    </font>
    <font>
      <sz val="10"/>
      <color indexed="9"/>
      <name val="Trebuchet MS"/>
      <family val="2"/>
    </font>
    <font>
      <sz val="10"/>
      <color indexed="9"/>
      <name val="Arial"/>
      <family val="0"/>
    </font>
    <font>
      <sz val="8"/>
      <name val="Arial"/>
      <family val="2"/>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0"/>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b/>
      <sz val="10"/>
      <color indexed="9"/>
      <name val="Arial"/>
      <family val="0"/>
    </font>
    <font>
      <sz val="8"/>
      <color indexed="9"/>
      <name val="Trebuchet MS"/>
      <family val="2"/>
    </font>
    <font>
      <sz val="14"/>
      <color indexed="9"/>
      <name val="Impact"/>
      <family val="2"/>
    </font>
    <font>
      <sz val="20"/>
      <color indexed="9"/>
      <name val="Impact"/>
      <family val="2"/>
    </font>
    <font>
      <sz val="14"/>
      <color indexed="9"/>
      <name val="Arial"/>
      <family val="2"/>
    </font>
    <font>
      <b/>
      <sz val="10"/>
      <name val="Arial"/>
      <family val="2"/>
    </font>
    <font>
      <b/>
      <sz val="9"/>
      <color indexed="9"/>
      <name val="Garamond"/>
      <family val="1"/>
    </font>
    <font>
      <sz val="12"/>
      <color indexed="47"/>
      <name val="Gadget"/>
      <family val="0"/>
    </font>
    <font>
      <sz val="10"/>
      <name val="Administer"/>
      <family val="0"/>
    </font>
    <font>
      <b/>
      <sz val="10"/>
      <name val="Administer"/>
      <family val="0"/>
    </font>
    <font>
      <b/>
      <sz val="10"/>
      <color indexed="9"/>
      <name val="Administer"/>
      <family val="0"/>
    </font>
    <font>
      <i/>
      <sz val="9"/>
      <color indexed="23"/>
      <name val="Administer"/>
      <family val="0"/>
    </font>
    <font>
      <i/>
      <sz val="9"/>
      <color indexed="23"/>
      <name val="Arial"/>
      <family val="0"/>
    </font>
    <font>
      <b/>
      <sz val="10"/>
      <color indexed="9"/>
      <name val="Trebuchet MS"/>
      <family val="2"/>
    </font>
    <font>
      <sz val="10"/>
      <color indexed="10"/>
      <name val="Administer"/>
      <family val="0"/>
    </font>
    <font>
      <sz val="10"/>
      <color indexed="10"/>
      <name val="Arial"/>
      <family val="0"/>
    </font>
    <font>
      <sz val="12"/>
      <color indexed="9"/>
      <name val="Impact"/>
      <family val="2"/>
    </font>
    <font>
      <i/>
      <sz val="9"/>
      <color indexed="9"/>
      <name val="Arial"/>
      <family val="0"/>
    </font>
    <font>
      <i/>
      <sz val="9"/>
      <color indexed="23"/>
      <name val="Didot"/>
      <family val="0"/>
    </font>
    <font>
      <b/>
      <sz val="10"/>
      <color indexed="12"/>
      <name val="Trebuchet MS"/>
      <family val="2"/>
    </font>
    <font>
      <sz val="12"/>
      <color indexed="9"/>
      <name val="Gadget"/>
      <family val="0"/>
    </font>
    <font>
      <sz val="10"/>
      <name val="Trebuchet MS"/>
      <family val="2"/>
    </font>
    <font>
      <b/>
      <sz val="10"/>
      <color indexed="10"/>
      <name val="Trebuchet MS"/>
      <family val="2"/>
    </font>
    <font>
      <b/>
      <sz val="10"/>
      <name val="Trebuchet MS"/>
      <family val="2"/>
    </font>
    <font>
      <sz val="10"/>
      <color indexed="10"/>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24"/>
      <color indexed="8"/>
      <name val="AcidSansRegular"/>
      <family val="0"/>
    </font>
    <font>
      <b/>
      <sz val="24"/>
      <color indexed="8"/>
      <name val="Arial"/>
      <family val="0"/>
    </font>
    <font>
      <b/>
      <sz val="20"/>
      <color indexed="8"/>
      <name val="AcidSans-Light"/>
      <family val="0"/>
    </font>
    <font>
      <sz val="20"/>
      <color indexed="8"/>
      <name val="AcidSans-Regular"/>
      <family val="0"/>
    </font>
    <font>
      <b/>
      <sz val="20"/>
      <color indexed="16"/>
      <name val="Administer"/>
      <family val="0"/>
    </font>
    <font>
      <sz val="20"/>
      <color indexed="8"/>
      <name val="Administer"/>
      <family val="0"/>
    </font>
    <font>
      <b/>
      <sz val="20"/>
      <color indexed="8"/>
      <name val="AcidSansRegular"/>
      <family val="0"/>
    </font>
    <font>
      <b/>
      <sz val="20"/>
      <color indexed="8"/>
      <name val="Arial"/>
      <family val="0"/>
    </font>
    <font>
      <sz val="16"/>
      <color indexed="8"/>
      <name val="AcidSans-Regular"/>
      <family val="0"/>
    </font>
    <font>
      <sz val="20"/>
      <color indexed="16"/>
      <name val="Administer"/>
      <family val="0"/>
    </font>
    <font>
      <sz val="16"/>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hair"/>
    </border>
    <border>
      <left>
        <color indexed="63"/>
      </left>
      <right>
        <color indexed="63"/>
      </right>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color indexed="63"/>
      </right>
      <top>
        <color indexed="63"/>
      </top>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medium"/>
      <right>
        <color indexed="63"/>
      </right>
      <top style="hair"/>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hair"/>
      <top style="hair"/>
      <bottom style="hair"/>
    </border>
    <border>
      <left>
        <color indexed="63"/>
      </left>
      <right style="hair"/>
      <top>
        <color indexed="63"/>
      </top>
      <bottom style="hair"/>
    </border>
    <border>
      <left style="medium"/>
      <right style="hair"/>
      <top style="hair"/>
      <bottom style="hair"/>
    </border>
    <border>
      <left style="hair"/>
      <right style="medium"/>
      <top style="hair"/>
      <bottom style="hair"/>
    </border>
    <border>
      <left style="thin"/>
      <right style="thin"/>
      <top style="thin"/>
      <bottom>
        <color indexed="63"/>
      </bottom>
    </border>
    <border>
      <left style="thin"/>
      <right style="medium"/>
      <top style="thin"/>
      <bottom>
        <color indexed="63"/>
      </bottom>
    </border>
    <border>
      <left style="medium"/>
      <right>
        <color indexed="63"/>
      </right>
      <top style="hair"/>
      <bottom style="medium">
        <color indexed="10"/>
      </bottom>
    </border>
    <border>
      <left>
        <color indexed="63"/>
      </left>
      <right>
        <color indexed="63"/>
      </right>
      <top>
        <color indexed="63"/>
      </top>
      <bottom style="medium">
        <color indexed="10"/>
      </bottom>
    </border>
    <border>
      <left style="medium"/>
      <right style="hair"/>
      <top style="hair"/>
      <bottom style="medium"/>
    </border>
    <border>
      <left style="hair"/>
      <right style="hair"/>
      <top style="hair"/>
      <bottom style="medium"/>
    </border>
    <border>
      <left style="hair"/>
      <right style="medium"/>
      <top style="hair"/>
      <bottom style="medium"/>
    </border>
    <border>
      <left style="hair"/>
      <right style="medium"/>
      <top>
        <color indexed="63"/>
      </top>
      <bottom style="hair"/>
    </border>
    <border>
      <left style="hair"/>
      <right style="medium"/>
      <top style="medium"/>
      <bottom style="hair"/>
    </border>
    <border>
      <left style="medium"/>
      <right style="hair"/>
      <top>
        <color indexed="63"/>
      </top>
      <bottom style="hair"/>
    </border>
    <border>
      <left style="medium"/>
      <right style="hair"/>
      <top style="hair"/>
      <bottom style="medium">
        <color indexed="10"/>
      </bottom>
    </border>
    <border>
      <left style="hair"/>
      <right style="hair"/>
      <top style="hair"/>
      <bottom style="medium">
        <color indexed="10"/>
      </bottom>
    </border>
    <border>
      <left style="hair"/>
      <right style="medium"/>
      <top style="hair"/>
      <bottom style="medium">
        <color indexed="10"/>
      </bottom>
    </border>
    <border>
      <left>
        <color indexed="63"/>
      </left>
      <right style="hair"/>
      <top style="hair"/>
      <bottom>
        <color indexed="63"/>
      </bottom>
    </border>
    <border>
      <left style="hair"/>
      <right style="hair"/>
      <top style="hair"/>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1" applyNumberFormat="0" applyFill="0" applyAlignment="0" applyProtection="0"/>
    <xf numFmtId="0" fontId="87" fillId="0" borderId="2" applyNumberFormat="0" applyFill="0" applyAlignment="0" applyProtection="0"/>
    <xf numFmtId="0" fontId="88" fillId="0" borderId="3" applyNumberFormat="0" applyFill="0" applyAlignment="0" applyProtection="0"/>
    <xf numFmtId="0" fontId="89" fillId="0" borderId="4" applyNumberFormat="0" applyFill="0" applyAlignment="0" applyProtection="0"/>
    <xf numFmtId="0" fontId="8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0" fillId="20" borderId="5" applyNumberFormat="0" applyAlignment="0" applyProtection="0"/>
    <xf numFmtId="0" fontId="91" fillId="21" borderId="6" applyNumberFormat="0" applyAlignment="0" applyProtection="0"/>
    <xf numFmtId="0" fontId="92" fillId="20" borderId="6" applyNumberFormat="0" applyAlignment="0" applyProtection="0"/>
    <xf numFmtId="0" fontId="93" fillId="22" borderId="7" applyNumberFormat="0" applyAlignment="0" applyProtection="0"/>
    <xf numFmtId="0" fontId="94"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5"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9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7" fillId="0" borderId="9" applyNumberFormat="0" applyFill="0" applyAlignment="0" applyProtection="0"/>
    <xf numFmtId="0" fontId="98" fillId="0" borderId="0" applyNumberFormat="0" applyFill="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9" fontId="0" fillId="0" borderId="0" applyFont="0" applyFill="0" applyBorder="0" applyAlignment="0" applyProtection="0"/>
  </cellStyleXfs>
  <cellXfs count="490">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184" fontId="8" fillId="33" borderId="10" xfId="0" applyNumberFormat="1" applyFont="1" applyFill="1" applyBorder="1" applyAlignment="1">
      <alignment horizontal="center" vertical="center"/>
    </xf>
    <xf numFmtId="0" fontId="8" fillId="33" borderId="10" xfId="0" applyFont="1" applyFill="1" applyBorder="1" applyAlignment="1">
      <alignment horizontal="left" vertical="center"/>
    </xf>
    <xf numFmtId="200" fontId="17" fillId="33" borderId="10" xfId="0" applyNumberFormat="1" applyFont="1" applyFill="1" applyBorder="1" applyAlignment="1">
      <alignment horizontal="right" vertical="center"/>
    </xf>
    <xf numFmtId="193" fontId="17" fillId="33" borderId="10" xfId="0" applyNumberFormat="1" applyFont="1" applyFill="1" applyBorder="1" applyAlignment="1">
      <alignment horizontal="right" vertical="center"/>
    </xf>
    <xf numFmtId="0" fontId="11" fillId="0" borderId="0" xfId="0" applyFont="1" applyAlignment="1">
      <alignment/>
    </xf>
    <xf numFmtId="0" fontId="22" fillId="0" borderId="0" xfId="0" applyFont="1" applyAlignment="1">
      <alignment/>
    </xf>
    <xf numFmtId="193" fontId="27" fillId="33" borderId="10" xfId="0" applyNumberFormat="1" applyFont="1" applyFill="1" applyBorder="1" applyAlignment="1">
      <alignment horizontal="right" vertical="center"/>
    </xf>
    <xf numFmtId="192" fontId="28" fillId="33" borderId="10" xfId="0" applyNumberFormat="1" applyFont="1" applyFill="1" applyBorder="1" applyAlignment="1">
      <alignment horizontal="right" vertical="center"/>
    </xf>
    <xf numFmtId="200" fontId="28" fillId="33" borderId="10" xfId="0" applyNumberFormat="1" applyFont="1" applyFill="1" applyBorder="1" applyAlignment="1">
      <alignment horizontal="right" vertical="center"/>
    </xf>
    <xf numFmtId="193" fontId="28" fillId="33" borderId="10" xfId="0" applyNumberFormat="1" applyFont="1" applyFill="1" applyBorder="1" applyAlignment="1">
      <alignment horizontal="right" vertical="center"/>
    </xf>
    <xf numFmtId="0" fontId="11" fillId="0" borderId="0" xfId="0" applyFont="1" applyAlignment="1">
      <alignment horizontal="center"/>
    </xf>
    <xf numFmtId="3" fontId="26" fillId="0" borderId="0" xfId="0" applyNumberFormat="1" applyFont="1" applyAlignment="1">
      <alignment horizontal="right"/>
    </xf>
    <xf numFmtId="2" fontId="26" fillId="0" borderId="0" xfId="0" applyNumberFormat="1" applyFont="1" applyAlignment="1">
      <alignment/>
    </xf>
    <xf numFmtId="4" fontId="26" fillId="0" borderId="0" xfId="0" applyNumberFormat="1" applyFont="1" applyAlignment="1">
      <alignment horizontal="right"/>
    </xf>
    <xf numFmtId="0" fontId="24" fillId="33" borderId="10" xfId="0" applyFont="1" applyFill="1" applyBorder="1" applyAlignment="1">
      <alignment horizontal="right" vertical="center"/>
    </xf>
    <xf numFmtId="3" fontId="24" fillId="33" borderId="10" xfId="0" applyNumberFormat="1" applyFont="1" applyFill="1" applyBorder="1" applyAlignment="1">
      <alignment horizontal="right" vertical="center"/>
    </xf>
    <xf numFmtId="0" fontId="14" fillId="0" borderId="11" xfId="0" applyFont="1" applyBorder="1" applyAlignment="1">
      <alignment horizontal="right" vertical="center"/>
    </xf>
    <xf numFmtId="0" fontId="23" fillId="0" borderId="11" xfId="0" applyFont="1" applyFill="1" applyBorder="1" applyAlignment="1" applyProtection="1">
      <alignment vertical="center"/>
      <protection locked="0"/>
    </xf>
    <xf numFmtId="184"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14" fillId="0" borderId="11" xfId="0" applyNumberFormat="1" applyFont="1" applyFill="1" applyBorder="1" applyAlignment="1" applyProtection="1">
      <alignment horizontal="right" vertical="center"/>
      <protection locked="0"/>
    </xf>
    <xf numFmtId="200" fontId="18" fillId="0" borderId="11" xfId="0" applyNumberFormat="1" applyFont="1" applyFill="1" applyBorder="1" applyAlignment="1" applyProtection="1">
      <alignment horizontal="right" vertical="center"/>
      <protection locked="0"/>
    </xf>
    <xf numFmtId="193" fontId="15" fillId="0" borderId="11" xfId="0" applyNumberFormat="1" applyFont="1" applyFill="1" applyBorder="1" applyAlignment="1" applyProtection="1">
      <alignment horizontal="right" vertical="center"/>
      <protection locked="0"/>
    </xf>
    <xf numFmtId="193" fontId="25" fillId="0" borderId="11" xfId="0" applyNumberFormat="1" applyFont="1" applyFill="1" applyBorder="1" applyAlignment="1" applyProtection="1">
      <alignment horizontal="right" vertical="center"/>
      <protection locked="0"/>
    </xf>
    <xf numFmtId="192" fontId="26" fillId="0" borderId="11" xfId="0" applyNumberFormat="1" applyFont="1" applyFill="1" applyBorder="1" applyAlignment="1" applyProtection="1">
      <alignment horizontal="right" vertical="center"/>
      <protection locked="0"/>
    </xf>
    <xf numFmtId="200" fontId="26" fillId="0" borderId="11" xfId="40" applyNumberFormat="1" applyFont="1" applyFill="1" applyBorder="1" applyAlignment="1" applyProtection="1">
      <alignment horizontal="right" vertical="center"/>
      <protection/>
    </xf>
    <xf numFmtId="193" fontId="26" fillId="0" borderId="11" xfId="0" applyNumberFormat="1" applyFont="1" applyFill="1" applyBorder="1" applyAlignment="1" applyProtection="1">
      <alignment horizontal="right" vertical="center"/>
      <protection locked="0"/>
    </xf>
    <xf numFmtId="0" fontId="22" fillId="0" borderId="11" xfId="0" applyFont="1" applyBorder="1" applyAlignment="1">
      <alignment vertical="center" readingOrder="1"/>
    </xf>
    <xf numFmtId="184" fontId="0" fillId="0" borderId="11" xfId="0" applyNumberFormat="1" applyBorder="1" applyAlignment="1">
      <alignment horizontal="center" vertical="center"/>
    </xf>
    <xf numFmtId="0" fontId="0" fillId="0" borderId="11" xfId="0" applyBorder="1" applyAlignment="1">
      <alignment horizontal="left" vertical="center"/>
    </xf>
    <xf numFmtId="200" fontId="12" fillId="0" borderId="11" xfId="0" applyNumberFormat="1" applyFont="1" applyBorder="1" applyAlignment="1">
      <alignment horizontal="right" vertical="center"/>
    </xf>
    <xf numFmtId="193" fontId="12" fillId="0" borderId="11" xfId="0" applyNumberFormat="1" applyFont="1" applyBorder="1" applyAlignment="1">
      <alignment horizontal="right" vertical="center"/>
    </xf>
    <xf numFmtId="193" fontId="25" fillId="0" borderId="11" xfId="0" applyNumberFormat="1" applyFont="1" applyBorder="1" applyAlignment="1">
      <alignment horizontal="right" vertical="center"/>
    </xf>
    <xf numFmtId="192" fontId="26" fillId="0" borderId="11" xfId="0" applyNumberFormat="1" applyFont="1" applyBorder="1" applyAlignment="1">
      <alignment horizontal="right" vertical="center"/>
    </xf>
    <xf numFmtId="200" fontId="26" fillId="0" borderId="11" xfId="0" applyNumberFormat="1" applyFont="1" applyBorder="1" applyAlignment="1">
      <alignment horizontal="right" vertical="center"/>
    </xf>
    <xf numFmtId="193" fontId="26" fillId="0" borderId="11" xfId="0" applyNumberFormat="1" applyFont="1" applyBorder="1" applyAlignment="1">
      <alignment horizontal="right" vertical="center"/>
    </xf>
    <xf numFmtId="200" fontId="16" fillId="0" borderId="11" xfId="0" applyNumberFormat="1" applyFont="1" applyFill="1" applyBorder="1" applyAlignment="1" applyProtection="1">
      <alignment horizontal="right" vertical="center"/>
      <protection locked="0"/>
    </xf>
    <xf numFmtId="193" fontId="19" fillId="0" borderId="11" xfId="0" applyNumberFormat="1" applyFont="1" applyFill="1" applyBorder="1" applyAlignment="1" applyProtection="1">
      <alignment horizontal="right" vertical="center"/>
      <protection locked="0"/>
    </xf>
    <xf numFmtId="200" fontId="26" fillId="0" borderId="11" xfId="0" applyNumberFormat="1" applyFont="1" applyFill="1" applyBorder="1" applyAlignment="1" applyProtection="1">
      <alignment horizontal="right" vertical="center"/>
      <protection locked="0"/>
    </xf>
    <xf numFmtId="0" fontId="21" fillId="0" borderId="11" xfId="0" applyFont="1" applyFill="1" applyBorder="1" applyAlignment="1" applyProtection="1">
      <alignment vertical="center"/>
      <protection locked="0"/>
    </xf>
    <xf numFmtId="184" fontId="5"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43" fontId="21" fillId="0" borderId="12" xfId="40" applyFont="1" applyFill="1" applyBorder="1" applyAlignment="1" applyProtection="1">
      <alignment vertical="center"/>
      <protection/>
    </xf>
    <xf numFmtId="184" fontId="3" fillId="0" borderId="12" xfId="0" applyNumberFormat="1" applyFont="1" applyFill="1" applyBorder="1" applyAlignment="1" applyProtection="1">
      <alignment horizontal="center" vertical="center"/>
      <protection/>
    </xf>
    <xf numFmtId="0" fontId="3" fillId="0" borderId="12" xfId="0" applyFont="1" applyFill="1" applyBorder="1" applyAlignment="1" applyProtection="1">
      <alignment horizontal="left" vertical="center"/>
      <protection/>
    </xf>
    <xf numFmtId="0" fontId="14" fillId="0" borderId="12" xfId="0" applyNumberFormat="1" applyFont="1" applyFill="1" applyBorder="1" applyAlignment="1" applyProtection="1">
      <alignment horizontal="right" vertical="center"/>
      <protection/>
    </xf>
    <xf numFmtId="200" fontId="16" fillId="0" borderId="12" xfId="0" applyNumberFormat="1" applyFont="1" applyFill="1" applyBorder="1" applyAlignment="1" applyProtection="1">
      <alignment horizontal="right" vertical="center"/>
      <protection/>
    </xf>
    <xf numFmtId="193" fontId="19" fillId="0" borderId="12" xfId="0" applyNumberFormat="1" applyFont="1" applyFill="1" applyBorder="1" applyAlignment="1" applyProtection="1">
      <alignment horizontal="right" vertical="center"/>
      <protection/>
    </xf>
    <xf numFmtId="193" fontId="25" fillId="0" borderId="12" xfId="0" applyNumberFormat="1" applyFont="1" applyFill="1" applyBorder="1" applyAlignment="1" applyProtection="1">
      <alignment horizontal="right" vertical="center"/>
      <protection/>
    </xf>
    <xf numFmtId="192" fontId="26" fillId="0" borderId="12" xfId="0" applyNumberFormat="1" applyFont="1" applyFill="1" applyBorder="1" applyAlignment="1" applyProtection="1">
      <alignment horizontal="right" vertical="center"/>
      <protection/>
    </xf>
    <xf numFmtId="200" fontId="26" fillId="0" borderId="12" xfId="0" applyNumberFormat="1" applyFont="1" applyFill="1" applyBorder="1" applyAlignment="1" applyProtection="1">
      <alignment horizontal="right" vertical="center"/>
      <protection/>
    </xf>
    <xf numFmtId="193" fontId="26" fillId="0" borderId="12" xfId="0" applyNumberFormat="1" applyFont="1" applyFill="1" applyBorder="1" applyAlignment="1" applyProtection="1">
      <alignment horizontal="right" vertical="center"/>
      <protection/>
    </xf>
    <xf numFmtId="192" fontId="26" fillId="0" borderId="13" xfId="0" applyNumberFormat="1" applyFont="1" applyFill="1" applyBorder="1" applyAlignment="1" applyProtection="1">
      <alignment horizontal="right" vertical="center"/>
      <protection/>
    </xf>
    <xf numFmtId="192" fontId="28" fillId="33" borderId="14" xfId="0" applyNumberFormat="1" applyFont="1" applyFill="1" applyBorder="1" applyAlignment="1">
      <alignment horizontal="right" vertical="center"/>
    </xf>
    <xf numFmtId="192" fontId="26" fillId="0" borderId="15" xfId="0" applyNumberFormat="1" applyFont="1" applyFill="1" applyBorder="1" applyAlignment="1" applyProtection="1">
      <alignment horizontal="right" vertical="center"/>
      <protection locked="0"/>
    </xf>
    <xf numFmtId="2" fontId="26" fillId="0" borderId="0" xfId="0" applyNumberFormat="1" applyFont="1" applyAlignment="1">
      <alignment/>
    </xf>
    <xf numFmtId="0" fontId="31" fillId="0" borderId="0"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0" fillId="0" borderId="11" xfId="0" applyBorder="1" applyAlignment="1">
      <alignment/>
    </xf>
    <xf numFmtId="4" fontId="0" fillId="0" borderId="11" xfId="0" applyNumberFormat="1" applyBorder="1" applyAlignment="1">
      <alignment vertical="center"/>
    </xf>
    <xf numFmtId="3" fontId="0" fillId="0" borderId="11" xfId="0" applyNumberFormat="1" applyBorder="1" applyAlignment="1">
      <alignment vertical="center"/>
    </xf>
    <xf numFmtId="0" fontId="0" fillId="0" borderId="11" xfId="0" applyBorder="1" applyAlignment="1">
      <alignment vertical="center"/>
    </xf>
    <xf numFmtId="0" fontId="10" fillId="0" borderId="11" xfId="0" applyFont="1" applyBorder="1" applyAlignment="1">
      <alignment horizontal="center" vertical="center"/>
    </xf>
    <xf numFmtId="193" fontId="12" fillId="0" borderId="11" xfId="0" applyNumberFormat="1" applyFont="1" applyBorder="1" applyAlignment="1">
      <alignment horizontal="right" vertical="center" indent="1"/>
    </xf>
    <xf numFmtId="192" fontId="13" fillId="0" borderId="11" xfId="0" applyNumberFormat="1" applyFont="1" applyBorder="1" applyAlignment="1">
      <alignment horizontal="right" vertical="center" indent="1"/>
    </xf>
    <xf numFmtId="0" fontId="34" fillId="0" borderId="11" xfId="0" applyFont="1" applyBorder="1" applyAlignment="1">
      <alignment horizontal="right" vertical="center"/>
    </xf>
    <xf numFmtId="1" fontId="25" fillId="0" borderId="16" xfId="0" applyNumberFormat="1" applyFont="1" applyFill="1" applyBorder="1" applyAlignment="1" applyProtection="1">
      <alignment horizontal="right" vertical="center"/>
      <protection/>
    </xf>
    <xf numFmtId="1" fontId="25" fillId="0" borderId="11" xfId="0" applyNumberFormat="1" applyFont="1" applyFill="1" applyBorder="1" applyAlignment="1" applyProtection="1">
      <alignment horizontal="right" vertical="center"/>
      <protection locked="0"/>
    </xf>
    <xf numFmtId="0" fontId="28" fillId="0" borderId="17" xfId="0" applyFont="1" applyFill="1" applyBorder="1" applyAlignment="1">
      <alignment horizontal="right"/>
    </xf>
    <xf numFmtId="4" fontId="9" fillId="0" borderId="11" xfId="0" applyNumberFormat="1" applyFont="1" applyFill="1" applyBorder="1" applyAlignment="1">
      <alignment horizontal="center" vertical="center"/>
    </xf>
    <xf numFmtId="0" fontId="0" fillId="0" borderId="10" xfId="0" applyBorder="1" applyAlignment="1">
      <alignment vertical="center"/>
    </xf>
    <xf numFmtId="0" fontId="10" fillId="0" borderId="10" xfId="0" applyFont="1" applyBorder="1" applyAlignment="1">
      <alignment horizontal="center" vertical="center"/>
    </xf>
    <xf numFmtId="200" fontId="12" fillId="0" borderId="10" xfId="0" applyNumberFormat="1" applyFont="1" applyBorder="1" applyAlignment="1">
      <alignment horizontal="right" vertical="center"/>
    </xf>
    <xf numFmtId="193" fontId="12" fillId="0" borderId="10" xfId="0" applyNumberFormat="1" applyFont="1" applyBorder="1" applyAlignment="1">
      <alignment horizontal="right" vertical="center" indent="1"/>
    </xf>
    <xf numFmtId="192" fontId="13" fillId="0" borderId="10" xfId="0" applyNumberFormat="1" applyFont="1" applyBorder="1" applyAlignment="1">
      <alignment horizontal="right" vertical="center" indent="1"/>
    </xf>
    <xf numFmtId="0" fontId="12" fillId="0" borderId="0" xfId="0" applyFont="1" applyAlignment="1">
      <alignment/>
    </xf>
    <xf numFmtId="0" fontId="14" fillId="0" borderId="10" xfId="0" applyFont="1" applyBorder="1" applyAlignment="1">
      <alignment horizontal="center" vertical="center"/>
    </xf>
    <xf numFmtId="0" fontId="14" fillId="0" borderId="11" xfId="0" applyFont="1" applyBorder="1" applyAlignment="1">
      <alignment horizontal="center" vertical="center"/>
    </xf>
    <xf numFmtId="1" fontId="38" fillId="0" borderId="18" xfId="0" applyNumberFormat="1" applyFont="1" applyFill="1" applyBorder="1" applyAlignment="1" applyProtection="1">
      <alignment horizontal="center" wrapText="1"/>
      <protection/>
    </xf>
    <xf numFmtId="0" fontId="39" fillId="0" borderId="0" xfId="0" applyFont="1" applyFill="1" applyBorder="1" applyAlignment="1" applyProtection="1">
      <alignment horizontal="center" wrapText="1"/>
      <protection locked="0"/>
    </xf>
    <xf numFmtId="0" fontId="38" fillId="0" borderId="0" xfId="0" applyFont="1" applyFill="1" applyBorder="1" applyAlignment="1" applyProtection="1">
      <alignment horizontal="center" wrapText="1"/>
      <protection locked="0"/>
    </xf>
    <xf numFmtId="1" fontId="39" fillId="0" borderId="19" xfId="0" applyNumberFormat="1" applyFont="1" applyFill="1" applyBorder="1" applyAlignment="1" applyProtection="1">
      <alignment horizontal="center" wrapText="1"/>
      <protection/>
    </xf>
    <xf numFmtId="200" fontId="38" fillId="0" borderId="20" xfId="0" applyNumberFormat="1" applyFont="1" applyFill="1" applyBorder="1" applyAlignment="1" applyProtection="1">
      <alignment horizontal="center" wrapText="1"/>
      <protection/>
    </xf>
    <xf numFmtId="193" fontId="38" fillId="0" borderId="20" xfId="0" applyNumberFormat="1" applyFont="1" applyFill="1" applyBorder="1" applyAlignment="1" applyProtection="1">
      <alignment horizontal="center" wrapText="1"/>
      <protection/>
    </xf>
    <xf numFmtId="192" fontId="38" fillId="0" borderId="20" xfId="0" applyNumberFormat="1" applyFont="1" applyFill="1" applyBorder="1" applyAlignment="1" applyProtection="1">
      <alignment horizontal="center" wrapText="1"/>
      <protection/>
    </xf>
    <xf numFmtId="192" fontId="38" fillId="0" borderId="21" xfId="0" applyNumberFormat="1" applyFont="1" applyFill="1" applyBorder="1" applyAlignment="1" applyProtection="1">
      <alignment horizontal="center" wrapText="1"/>
      <protection/>
    </xf>
    <xf numFmtId="0" fontId="38" fillId="0" borderId="19" xfId="0" applyFont="1" applyBorder="1" applyAlignment="1" applyProtection="1">
      <alignment vertical="center"/>
      <protection locked="0"/>
    </xf>
    <xf numFmtId="0" fontId="38" fillId="0" borderId="22" xfId="0" applyFont="1" applyBorder="1" applyAlignment="1" applyProtection="1">
      <alignment vertical="center"/>
      <protection locked="0"/>
    </xf>
    <xf numFmtId="1" fontId="25" fillId="0" borderId="23" xfId="0" applyNumberFormat="1" applyFont="1" applyFill="1" applyBorder="1" applyAlignment="1" applyProtection="1">
      <alignment horizontal="right" vertical="center"/>
      <protection/>
    </xf>
    <xf numFmtId="43" fontId="21" fillId="0" borderId="24" xfId="40" applyFont="1" applyFill="1" applyBorder="1" applyAlignment="1" applyProtection="1">
      <alignment vertical="center"/>
      <protection/>
    </xf>
    <xf numFmtId="184" fontId="3" fillId="0" borderId="24" xfId="0" applyNumberFormat="1" applyFont="1" applyFill="1" applyBorder="1" applyAlignment="1" applyProtection="1">
      <alignment horizontal="center" vertical="center"/>
      <protection/>
    </xf>
    <xf numFmtId="0" fontId="3" fillId="0" borderId="24" xfId="0" applyFont="1" applyFill="1" applyBorder="1" applyAlignment="1" applyProtection="1">
      <alignment horizontal="left" vertical="center"/>
      <protection/>
    </xf>
    <xf numFmtId="0" fontId="14" fillId="0" borderId="24" xfId="0" applyNumberFormat="1" applyFont="1" applyFill="1" applyBorder="1" applyAlignment="1" applyProtection="1">
      <alignment horizontal="right" vertical="center"/>
      <protection/>
    </xf>
    <xf numFmtId="200" fontId="16" fillId="0" borderId="24" xfId="0" applyNumberFormat="1" applyFont="1" applyFill="1" applyBorder="1" applyAlignment="1" applyProtection="1">
      <alignment horizontal="right" vertical="center"/>
      <protection/>
    </xf>
    <xf numFmtId="193" fontId="19" fillId="0" borderId="24" xfId="0" applyNumberFormat="1" applyFont="1" applyFill="1" applyBorder="1" applyAlignment="1" applyProtection="1">
      <alignment horizontal="right" vertical="center"/>
      <protection/>
    </xf>
    <xf numFmtId="193" fontId="25" fillId="0" borderId="24" xfId="0" applyNumberFormat="1" applyFont="1" applyFill="1" applyBorder="1" applyAlignment="1" applyProtection="1">
      <alignment horizontal="right" vertical="center"/>
      <protection/>
    </xf>
    <xf numFmtId="192" fontId="26" fillId="0" borderId="24" xfId="0" applyNumberFormat="1" applyFont="1" applyFill="1" applyBorder="1" applyAlignment="1" applyProtection="1">
      <alignment horizontal="right" vertical="center"/>
      <protection/>
    </xf>
    <xf numFmtId="200" fontId="26" fillId="0" borderId="24" xfId="0" applyNumberFormat="1" applyFont="1" applyFill="1" applyBorder="1" applyAlignment="1" applyProtection="1">
      <alignment horizontal="right" vertical="center"/>
      <protection/>
    </xf>
    <xf numFmtId="193" fontId="26" fillId="0" borderId="24" xfId="0" applyNumberFormat="1" applyFont="1" applyFill="1" applyBorder="1" applyAlignment="1" applyProtection="1">
      <alignment horizontal="right" vertical="center"/>
      <protection/>
    </xf>
    <xf numFmtId="192" fontId="26" fillId="0" borderId="25" xfId="0" applyNumberFormat="1" applyFont="1" applyFill="1" applyBorder="1" applyAlignment="1" applyProtection="1">
      <alignment horizontal="right" vertical="center"/>
      <protection/>
    </xf>
    <xf numFmtId="0" fontId="36" fillId="0" borderId="0" xfId="0" applyFont="1" applyBorder="1" applyAlignment="1">
      <alignment horizontal="center"/>
    </xf>
    <xf numFmtId="0" fontId="38" fillId="0" borderId="0" xfId="0" applyFont="1" applyFill="1" applyBorder="1" applyAlignment="1">
      <alignment horizontal="right" vertical="center"/>
    </xf>
    <xf numFmtId="0" fontId="38" fillId="0" borderId="22" xfId="0" applyFont="1" applyFill="1" applyBorder="1" applyAlignment="1">
      <alignment horizontal="center"/>
    </xf>
    <xf numFmtId="4" fontId="39" fillId="0" borderId="0" xfId="0" applyNumberFormat="1" applyFont="1" applyFill="1" applyBorder="1" applyAlignment="1">
      <alignment horizontal="center"/>
    </xf>
    <xf numFmtId="4" fontId="38" fillId="0" borderId="10" xfId="0" applyNumberFormat="1" applyFont="1" applyFill="1" applyBorder="1" applyAlignment="1">
      <alignment horizontal="center"/>
    </xf>
    <xf numFmtId="3" fontId="38" fillId="0" borderId="10" xfId="0" applyNumberFormat="1" applyFont="1" applyFill="1" applyBorder="1" applyAlignment="1">
      <alignment horizontal="center"/>
    </xf>
    <xf numFmtId="0" fontId="38" fillId="0" borderId="10" xfId="0" applyFont="1" applyFill="1" applyBorder="1" applyAlignment="1">
      <alignment horizontal="center"/>
    </xf>
    <xf numFmtId="0" fontId="39" fillId="0" borderId="26" xfId="0" applyFont="1" applyFill="1" applyBorder="1" applyAlignment="1">
      <alignment horizontal="center"/>
    </xf>
    <xf numFmtId="4" fontId="38" fillId="0" borderId="11" xfId="0" applyNumberFormat="1" applyFont="1" applyFill="1" applyBorder="1" applyAlignment="1">
      <alignment horizontal="center"/>
    </xf>
    <xf numFmtId="3" fontId="38" fillId="0" borderId="11" xfId="0" applyNumberFormat="1" applyFont="1" applyFill="1" applyBorder="1" applyAlignment="1">
      <alignment horizontal="center"/>
    </xf>
    <xf numFmtId="0" fontId="38" fillId="0" borderId="11" xfId="0" applyFont="1" applyFill="1" applyBorder="1" applyAlignment="1">
      <alignment horizontal="center"/>
    </xf>
    <xf numFmtId="1" fontId="38" fillId="0" borderId="27" xfId="0" applyNumberFormat="1" applyFont="1" applyFill="1" applyBorder="1" applyAlignment="1" applyProtection="1">
      <alignment horizontal="center" wrapText="1"/>
      <protection/>
    </xf>
    <xf numFmtId="1" fontId="39" fillId="0" borderId="28" xfId="0" applyNumberFormat="1" applyFont="1" applyFill="1" applyBorder="1" applyAlignment="1" applyProtection="1">
      <alignment horizontal="center" wrapText="1"/>
      <protection/>
    </xf>
    <xf numFmtId="0" fontId="42" fillId="0" borderId="11" xfId="0" applyFont="1" applyFill="1" applyBorder="1" applyAlignment="1" applyProtection="1">
      <alignment horizontal="center" vertical="center"/>
      <protection/>
    </xf>
    <xf numFmtId="0" fontId="43" fillId="0" borderId="11" xfId="0" applyFont="1" applyFill="1" applyBorder="1" applyAlignment="1" applyProtection="1">
      <alignment horizontal="left" vertical="center"/>
      <protection/>
    </xf>
    <xf numFmtId="0" fontId="44" fillId="0" borderId="11" xfId="0" applyFont="1" applyBorder="1" applyAlignment="1">
      <alignment horizontal="left" vertical="center"/>
    </xf>
    <xf numFmtId="0" fontId="45" fillId="0" borderId="11" xfId="0" applyFont="1" applyFill="1" applyBorder="1" applyAlignment="1" applyProtection="1">
      <alignment vertical="center"/>
      <protection/>
    </xf>
    <xf numFmtId="0" fontId="41" fillId="0" borderId="17"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vertical="center"/>
    </xf>
    <xf numFmtId="1" fontId="25" fillId="0" borderId="10"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vertical="center"/>
      <protection locked="0"/>
    </xf>
    <xf numFmtId="18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14" fillId="0" borderId="10" xfId="0" applyNumberFormat="1" applyFont="1" applyFill="1" applyBorder="1" applyAlignment="1" applyProtection="1">
      <alignment horizontal="right" vertical="center"/>
      <protection locked="0"/>
    </xf>
    <xf numFmtId="200" fontId="16" fillId="0" borderId="10" xfId="0" applyNumberFormat="1" applyFont="1" applyFill="1" applyBorder="1" applyAlignment="1" applyProtection="1">
      <alignment horizontal="right" vertical="center"/>
      <protection locked="0"/>
    </xf>
    <xf numFmtId="193" fontId="19" fillId="0" borderId="10" xfId="0" applyNumberFormat="1" applyFont="1" applyFill="1" applyBorder="1" applyAlignment="1" applyProtection="1">
      <alignment horizontal="right" vertical="center"/>
      <protection locked="0"/>
    </xf>
    <xf numFmtId="193" fontId="25" fillId="0" borderId="10" xfId="0" applyNumberFormat="1" applyFont="1" applyFill="1" applyBorder="1" applyAlignment="1" applyProtection="1">
      <alignment horizontal="right" vertical="center"/>
      <protection locked="0"/>
    </xf>
    <xf numFmtId="192" fontId="26" fillId="0" borderId="10" xfId="0" applyNumberFormat="1" applyFont="1" applyFill="1" applyBorder="1" applyAlignment="1" applyProtection="1">
      <alignment horizontal="right" vertical="center"/>
      <protection locked="0"/>
    </xf>
    <xf numFmtId="200" fontId="26" fillId="0" borderId="10" xfId="0" applyNumberFormat="1" applyFont="1" applyFill="1" applyBorder="1" applyAlignment="1" applyProtection="1">
      <alignment horizontal="right" vertical="center"/>
      <protection locked="0"/>
    </xf>
    <xf numFmtId="193" fontId="26" fillId="0" borderId="10" xfId="0" applyNumberFormat="1" applyFont="1" applyFill="1" applyBorder="1" applyAlignment="1" applyProtection="1">
      <alignment horizontal="right" vertical="center"/>
      <protection locked="0"/>
    </xf>
    <xf numFmtId="192" fontId="26" fillId="0" borderId="14" xfId="0" applyNumberFormat="1" applyFont="1" applyFill="1" applyBorder="1" applyAlignment="1" applyProtection="1">
      <alignment horizontal="right" vertical="center"/>
      <protection locked="0"/>
    </xf>
    <xf numFmtId="0" fontId="33" fillId="0" borderId="15" xfId="0" applyFont="1" applyFill="1" applyBorder="1" applyAlignment="1" applyProtection="1">
      <alignment vertical="center"/>
      <protection locked="0"/>
    </xf>
    <xf numFmtId="0" fontId="42" fillId="0" borderId="29" xfId="0" applyFont="1" applyFill="1" applyBorder="1" applyAlignment="1" applyProtection="1">
      <alignment horizontal="center" vertical="center"/>
      <protection/>
    </xf>
    <xf numFmtId="0" fontId="44" fillId="0" borderId="29" xfId="0" applyFont="1" applyBorder="1" applyAlignment="1">
      <alignment horizontal="left" vertical="center"/>
    </xf>
    <xf numFmtId="0" fontId="45" fillId="0" borderId="29" xfId="0" applyFont="1" applyFill="1" applyBorder="1" applyAlignment="1" applyProtection="1">
      <alignment vertical="center"/>
      <protection/>
    </xf>
    <xf numFmtId="0" fontId="29" fillId="0" borderId="0" xfId="0" applyFont="1" applyFill="1" applyBorder="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43" fillId="0" borderId="0" xfId="0" applyFont="1" applyFill="1" applyBorder="1" applyAlignment="1" applyProtection="1">
      <alignment horizontal="left" vertical="center"/>
      <protection/>
    </xf>
    <xf numFmtId="0" fontId="44" fillId="0" borderId="0" xfId="0" applyFont="1" applyBorder="1" applyAlignment="1">
      <alignment horizontal="left" vertical="center"/>
    </xf>
    <xf numFmtId="0" fontId="9" fillId="0" borderId="0" xfId="0" applyFont="1" applyFill="1" applyBorder="1" applyAlignment="1" applyProtection="1">
      <alignment vertical="center"/>
      <protection/>
    </xf>
    <xf numFmtId="0" fontId="45" fillId="0" borderId="0" xfId="0" applyFont="1" applyFill="1" applyBorder="1" applyAlignment="1" applyProtection="1">
      <alignment vertical="center"/>
      <protection/>
    </xf>
    <xf numFmtId="0" fontId="41" fillId="0" borderId="17" xfId="0" applyFont="1" applyBorder="1" applyAlignment="1">
      <alignment vertical="center"/>
    </xf>
    <xf numFmtId="0" fontId="33" fillId="0" borderId="17" xfId="0" applyFont="1" applyFill="1" applyBorder="1" applyAlignment="1" applyProtection="1">
      <alignment vertical="center"/>
      <protection locked="0"/>
    </xf>
    <xf numFmtId="0" fontId="38" fillId="0" borderId="11" xfId="0" applyFont="1" applyFill="1" applyBorder="1" applyAlignment="1" applyProtection="1">
      <alignment horizontal="center" wrapText="1"/>
      <protection locked="0"/>
    </xf>
    <xf numFmtId="0" fontId="46" fillId="0" borderId="17" xfId="0" applyFont="1" applyFill="1" applyBorder="1" applyAlignment="1">
      <alignment horizontal="left" vertical="center"/>
    </xf>
    <xf numFmtId="0" fontId="46" fillId="0" borderId="17" xfId="0" applyFont="1" applyFill="1" applyBorder="1" applyAlignment="1">
      <alignment vertical="center"/>
    </xf>
    <xf numFmtId="193" fontId="27" fillId="0" borderId="24" xfId="0" applyNumberFormat="1" applyFont="1" applyFill="1" applyBorder="1" applyAlignment="1" applyProtection="1">
      <alignment horizontal="right" vertical="center"/>
      <protection/>
    </xf>
    <xf numFmtId="0" fontId="49" fillId="0" borderId="0" xfId="0" applyFont="1" applyFill="1" applyBorder="1" applyAlignment="1">
      <alignment horizontal="center"/>
    </xf>
    <xf numFmtId="193" fontId="27" fillId="0" borderId="11" xfId="0" applyNumberFormat="1" applyFont="1" applyFill="1" applyBorder="1" applyAlignment="1">
      <alignment horizontal="right"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4" fontId="12" fillId="0" borderId="0" xfId="0" applyNumberFormat="1" applyFont="1" applyAlignment="1">
      <alignment horizontal="right"/>
    </xf>
    <xf numFmtId="3" fontId="12" fillId="0" borderId="0" xfId="0" applyNumberFormat="1" applyFont="1" applyAlignment="1">
      <alignment horizontal="right"/>
    </xf>
    <xf numFmtId="192" fontId="28" fillId="0" borderId="24" xfId="0" applyNumberFormat="1" applyFont="1" applyFill="1" applyBorder="1" applyAlignment="1" applyProtection="1">
      <alignment horizontal="right" vertical="center"/>
      <protection/>
    </xf>
    <xf numFmtId="0" fontId="49" fillId="0" borderId="0" xfId="0" applyFont="1" applyBorder="1" applyAlignment="1">
      <alignment horizontal="center"/>
    </xf>
    <xf numFmtId="3" fontId="39" fillId="0" borderId="30" xfId="0" applyNumberFormat="1" applyFont="1" applyFill="1" applyBorder="1" applyAlignment="1">
      <alignment horizontal="center"/>
    </xf>
    <xf numFmtId="3" fontId="39" fillId="0" borderId="29" xfId="0" applyNumberFormat="1" applyFont="1" applyFill="1" applyBorder="1" applyAlignment="1">
      <alignment horizontal="center"/>
    </xf>
    <xf numFmtId="0" fontId="8" fillId="0" borderId="11" xfId="0" applyFont="1" applyFill="1" applyBorder="1" applyAlignment="1" applyProtection="1">
      <alignment horizontal="right" vertical="center"/>
      <protection locked="0"/>
    </xf>
    <xf numFmtId="3" fontId="9" fillId="0" borderId="11" xfId="0" applyNumberFormat="1" applyFont="1" applyBorder="1" applyAlignment="1">
      <alignment vertical="center"/>
    </xf>
    <xf numFmtId="192" fontId="28" fillId="0" borderId="11" xfId="0" applyNumberFormat="1" applyFont="1" applyBorder="1" applyAlignment="1">
      <alignment horizontal="right" vertical="center"/>
    </xf>
    <xf numFmtId="184" fontId="50" fillId="0" borderId="11" xfId="0" applyNumberFormat="1" applyFont="1" applyFill="1" applyBorder="1" applyAlignment="1" applyProtection="1">
      <alignment horizontal="center" vertical="center"/>
      <protection locked="0"/>
    </xf>
    <xf numFmtId="0" fontId="50" fillId="0" borderId="11" xfId="0" applyFont="1" applyFill="1" applyBorder="1" applyAlignment="1" applyProtection="1">
      <alignment vertical="center"/>
      <protection locked="0"/>
    </xf>
    <xf numFmtId="3" fontId="50" fillId="0" borderId="11" xfId="42" applyNumberFormat="1" applyFont="1" applyFill="1" applyBorder="1" applyAlignment="1" applyProtection="1">
      <alignment horizontal="right" vertical="center"/>
      <protection locked="0"/>
    </xf>
    <xf numFmtId="3" fontId="50" fillId="0" borderId="11" xfId="42"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14" fontId="50" fillId="0" borderId="11" xfId="0" applyNumberFormat="1" applyFont="1" applyFill="1" applyBorder="1" applyAlignment="1">
      <alignment vertical="center"/>
    </xf>
    <xf numFmtId="3" fontId="50" fillId="0" borderId="11" xfId="0" applyNumberFormat="1" applyFont="1" applyFill="1" applyBorder="1" applyAlignment="1">
      <alignment horizontal="right" vertical="center"/>
    </xf>
    <xf numFmtId="3" fontId="50" fillId="0" borderId="11" xfId="0" applyNumberFormat="1" applyFont="1" applyFill="1" applyBorder="1" applyAlignment="1">
      <alignment horizontal="right" vertical="center"/>
    </xf>
    <xf numFmtId="49" fontId="50" fillId="0" borderId="11" xfId="0" applyNumberFormat="1" applyFont="1" applyFill="1" applyBorder="1" applyAlignment="1" applyProtection="1">
      <alignment vertical="center"/>
      <protection locked="0"/>
    </xf>
    <xf numFmtId="3" fontId="50" fillId="0" borderId="11" xfId="40" applyNumberFormat="1" applyFont="1" applyFill="1" applyBorder="1" applyAlignment="1" applyProtection="1">
      <alignment horizontal="right" vertical="center"/>
      <protection locked="0"/>
    </xf>
    <xf numFmtId="3" fontId="50" fillId="0" borderId="11" xfId="68" applyNumberFormat="1" applyFont="1" applyFill="1" applyBorder="1" applyAlignment="1" applyProtection="1">
      <alignment horizontal="right" vertical="center"/>
      <protection/>
    </xf>
    <xf numFmtId="0" fontId="50" fillId="0" borderId="11" xfId="0" applyFont="1" applyFill="1" applyBorder="1" applyAlignment="1">
      <alignment vertical="center"/>
    </xf>
    <xf numFmtId="3" fontId="50" fillId="0" borderId="11" xfId="43" applyNumberFormat="1" applyFont="1" applyFill="1" applyBorder="1" applyAlignment="1" applyProtection="1">
      <alignment horizontal="right" vertical="center"/>
      <protection locked="0"/>
    </xf>
    <xf numFmtId="3" fontId="50" fillId="0" borderId="11" xfId="43" applyNumberFormat="1" applyFont="1" applyFill="1" applyBorder="1" applyAlignment="1" applyProtection="1">
      <alignment horizontal="right" vertical="center"/>
      <protection/>
    </xf>
    <xf numFmtId="0" fontId="50" fillId="0" borderId="11" xfId="0" applyNumberFormat="1" applyFont="1" applyFill="1" applyBorder="1" applyAlignment="1" applyProtection="1">
      <alignment vertical="center"/>
      <protection locked="0"/>
    </xf>
    <xf numFmtId="3" fontId="50" fillId="0" borderId="11" xfId="44" applyNumberFormat="1" applyFont="1" applyFill="1" applyBorder="1" applyAlignment="1" applyProtection="1">
      <alignment horizontal="right" vertical="center"/>
      <protection locked="0"/>
    </xf>
    <xf numFmtId="3" fontId="50" fillId="0" borderId="11" xfId="44" applyNumberFormat="1" applyFont="1" applyFill="1" applyBorder="1" applyAlignment="1" applyProtection="1">
      <alignment horizontal="right" vertical="center"/>
      <protection/>
    </xf>
    <xf numFmtId="184" fontId="50" fillId="0" borderId="11" xfId="0" applyNumberFormat="1" applyFont="1" applyFill="1" applyBorder="1" applyAlignment="1">
      <alignment horizontal="center" vertical="center"/>
    </xf>
    <xf numFmtId="3" fontId="50" fillId="0" borderId="11" xfId="0" applyNumberFormat="1" applyFont="1" applyFill="1" applyBorder="1" applyAlignment="1">
      <alignment horizontal="right" vertical="center"/>
    </xf>
    <xf numFmtId="184" fontId="50" fillId="0" borderId="11" xfId="55" applyNumberFormat="1" applyFont="1" applyFill="1" applyBorder="1" applyAlignment="1">
      <alignment horizontal="center" vertical="center"/>
      <protection/>
    </xf>
    <xf numFmtId="0" fontId="8" fillId="0" borderId="29" xfId="0" applyFont="1" applyFill="1" applyBorder="1" applyAlignment="1" applyProtection="1">
      <alignment horizontal="right" vertical="center"/>
      <protection locked="0"/>
    </xf>
    <xf numFmtId="0" fontId="8" fillId="0" borderId="29" xfId="0" applyFont="1" applyFill="1" applyBorder="1" applyAlignment="1">
      <alignment horizontal="right" vertical="center"/>
    </xf>
    <xf numFmtId="0" fontId="8" fillId="0" borderId="29" xfId="0" applyFont="1" applyFill="1" applyBorder="1" applyAlignment="1" applyProtection="1">
      <alignment horizontal="right" vertical="center"/>
      <protection locked="0"/>
    </xf>
    <xf numFmtId="3" fontId="52" fillId="0" borderId="11" xfId="42" applyNumberFormat="1" applyFont="1" applyFill="1" applyBorder="1" applyAlignment="1" applyProtection="1">
      <alignment horizontal="right" vertical="center"/>
      <protection locked="0"/>
    </xf>
    <xf numFmtId="3" fontId="52" fillId="0" borderId="11" xfId="43" applyNumberFormat="1" applyFont="1" applyFill="1" applyBorder="1" applyAlignment="1" applyProtection="1">
      <alignment horizontal="right" vertical="center"/>
      <protection locked="0"/>
    </xf>
    <xf numFmtId="3" fontId="52" fillId="0" borderId="11" xfId="0" applyNumberFormat="1" applyFont="1" applyFill="1" applyBorder="1" applyAlignment="1">
      <alignment horizontal="right" vertical="center"/>
    </xf>
    <xf numFmtId="3" fontId="52" fillId="0" borderId="11" xfId="44"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locked="0"/>
    </xf>
    <xf numFmtId="3" fontId="52" fillId="0" borderId="11" xfId="40" applyNumberFormat="1" applyFont="1" applyFill="1" applyBorder="1" applyAlignment="1" applyProtection="1">
      <alignment horizontal="right" vertical="center"/>
      <protection/>
    </xf>
    <xf numFmtId="0" fontId="8" fillId="0" borderId="29" xfId="53" applyFont="1" applyFill="1" applyBorder="1" applyAlignment="1" applyProtection="1">
      <alignment horizontal="right" vertical="center"/>
      <protection locked="0"/>
    </xf>
    <xf numFmtId="200" fontId="38" fillId="0" borderId="0" xfId="0" applyNumberFormat="1" applyFont="1" applyFill="1" applyBorder="1" applyAlignment="1" applyProtection="1">
      <alignment horizontal="center" wrapText="1"/>
      <protection/>
    </xf>
    <xf numFmtId="193" fontId="38" fillId="0" borderId="0" xfId="0" applyNumberFormat="1" applyFont="1" applyFill="1" applyBorder="1" applyAlignment="1" applyProtection="1">
      <alignment horizontal="center" wrapText="1"/>
      <protection/>
    </xf>
    <xf numFmtId="4" fontId="52" fillId="0" borderId="11" xfId="42" applyNumberFormat="1" applyFont="1" applyFill="1" applyBorder="1" applyAlignment="1" applyProtection="1">
      <alignment vertical="center"/>
      <protection locked="0"/>
    </xf>
    <xf numFmtId="2" fontId="50" fillId="0" borderId="11" xfId="42" applyNumberFormat="1" applyFont="1" applyFill="1" applyBorder="1" applyAlignment="1" applyProtection="1">
      <alignment vertical="center"/>
      <protection/>
    </xf>
    <xf numFmtId="4" fontId="50" fillId="0" borderId="11" xfId="42" applyNumberFormat="1" applyFont="1" applyFill="1" applyBorder="1" applyAlignment="1" applyProtection="1">
      <alignment vertical="center"/>
      <protection locked="0"/>
    </xf>
    <xf numFmtId="4" fontId="52" fillId="0" borderId="11" xfId="43" applyNumberFormat="1" applyFont="1" applyFill="1" applyBorder="1" applyAlignment="1" applyProtection="1">
      <alignment vertical="center"/>
      <protection locked="0"/>
    </xf>
    <xf numFmtId="2" fontId="50" fillId="0" borderId="11" xfId="43" applyNumberFormat="1" applyFont="1" applyFill="1" applyBorder="1" applyAlignment="1" applyProtection="1">
      <alignment vertical="center"/>
      <protection/>
    </xf>
    <xf numFmtId="4" fontId="50" fillId="0" borderId="11" xfId="43" applyNumberFormat="1" applyFont="1" applyFill="1" applyBorder="1" applyAlignment="1" applyProtection="1">
      <alignment vertical="center"/>
      <protection locked="0"/>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4" fontId="50" fillId="0" borderId="11" xfId="0" applyNumberFormat="1" applyFont="1" applyFill="1" applyBorder="1" applyAlignment="1">
      <alignment vertical="center"/>
    </xf>
    <xf numFmtId="4" fontId="52" fillId="0" borderId="11" xfId="40" applyNumberFormat="1" applyFont="1" applyFill="1" applyBorder="1" applyAlignment="1" applyProtection="1">
      <alignment vertical="center"/>
      <protection locked="0"/>
    </xf>
    <xf numFmtId="2" fontId="50" fillId="0" borderId="11" xfId="68"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locked="0"/>
    </xf>
    <xf numFmtId="4" fontId="52" fillId="0" borderId="11" xfId="44" applyNumberFormat="1" applyFont="1" applyFill="1" applyBorder="1" applyAlignment="1" applyProtection="1">
      <alignment vertical="center"/>
      <protection locked="0"/>
    </xf>
    <xf numFmtId="2" fontId="50" fillId="0" borderId="11" xfId="44" applyNumberFormat="1" applyFont="1" applyFill="1" applyBorder="1" applyAlignment="1" applyProtection="1">
      <alignment vertical="center"/>
      <protection/>
    </xf>
    <xf numFmtId="4" fontId="50" fillId="0" borderId="11" xfId="44" applyNumberFormat="1" applyFont="1" applyFill="1" applyBorder="1" applyAlignment="1" applyProtection="1">
      <alignment vertical="center"/>
      <protection locked="0"/>
    </xf>
    <xf numFmtId="4" fontId="52" fillId="0" borderId="11" xfId="40" applyNumberFormat="1" applyFont="1" applyFill="1" applyBorder="1" applyAlignment="1" applyProtection="1">
      <alignment vertical="center"/>
      <protection/>
    </xf>
    <xf numFmtId="4" fontId="50" fillId="0" borderId="11" xfId="40" applyNumberFormat="1" applyFont="1" applyFill="1" applyBorder="1" applyAlignment="1" applyProtection="1">
      <alignment vertical="center"/>
      <protection/>
    </xf>
    <xf numFmtId="0" fontId="50" fillId="0" borderId="31" xfId="0" applyFont="1" applyFill="1" applyBorder="1" applyAlignment="1">
      <alignment vertical="center"/>
    </xf>
    <xf numFmtId="2" fontId="50" fillId="0" borderId="32" xfId="43" applyNumberFormat="1" applyFont="1" applyFill="1" applyBorder="1" applyAlignment="1" applyProtection="1">
      <alignment vertical="center"/>
      <protection/>
    </xf>
    <xf numFmtId="0" fontId="50" fillId="0" borderId="31" xfId="0" applyFont="1" applyFill="1" applyBorder="1" applyAlignment="1">
      <alignment vertical="center"/>
    </xf>
    <xf numFmtId="2" fontId="50" fillId="0" borderId="32" xfId="0" applyNumberFormat="1" applyFont="1" applyFill="1" applyBorder="1" applyAlignment="1">
      <alignment vertical="center"/>
    </xf>
    <xf numFmtId="0" fontId="50" fillId="0" borderId="31" xfId="0" applyNumberFormat="1" applyFont="1" applyFill="1" applyBorder="1" applyAlignment="1" applyProtection="1">
      <alignment vertical="center"/>
      <protection locked="0"/>
    </xf>
    <xf numFmtId="2" fontId="50" fillId="0" borderId="32" xfId="68" applyNumberFormat="1" applyFont="1" applyFill="1" applyBorder="1" applyAlignment="1" applyProtection="1">
      <alignment vertical="center"/>
      <protection/>
    </xf>
    <xf numFmtId="0" fontId="50" fillId="0" borderId="31" xfId="0" applyFont="1" applyFill="1" applyBorder="1" applyAlignment="1" applyProtection="1">
      <alignment vertical="center"/>
      <protection locked="0"/>
    </xf>
    <xf numFmtId="2" fontId="50" fillId="0" borderId="32" xfId="42" applyNumberFormat="1" applyFont="1" applyFill="1" applyBorder="1" applyAlignment="1" applyProtection="1">
      <alignment vertical="center"/>
      <protection/>
    </xf>
    <xf numFmtId="212" fontId="50" fillId="0" borderId="31" xfId="0" applyNumberFormat="1" applyFont="1" applyFill="1" applyBorder="1" applyAlignment="1">
      <alignment vertical="center"/>
    </xf>
    <xf numFmtId="2" fontId="50" fillId="0" borderId="32" xfId="44" applyNumberFormat="1" applyFont="1" applyFill="1" applyBorder="1" applyAlignment="1" applyProtection="1">
      <alignment vertical="center"/>
      <protection/>
    </xf>
    <xf numFmtId="0" fontId="50" fillId="0" borderId="31" xfId="55" applyFont="1" applyFill="1" applyBorder="1" applyAlignment="1">
      <alignment vertical="center"/>
      <protection/>
    </xf>
    <xf numFmtId="184" fontId="50" fillId="0" borderId="12" xfId="0" applyNumberFormat="1" applyFont="1" applyFill="1" applyBorder="1" applyAlignment="1">
      <alignment horizontal="center" vertical="center"/>
    </xf>
    <xf numFmtId="3" fontId="50" fillId="0" borderId="12" xfId="43" applyNumberFormat="1" applyFont="1" applyFill="1" applyBorder="1" applyAlignment="1" applyProtection="1">
      <alignment horizontal="right" vertical="center"/>
      <protection locked="0"/>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2" applyNumberFormat="1" applyFont="1" applyFill="1" applyBorder="1" applyAlignment="1" applyProtection="1">
      <alignment horizontal="right" vertical="center"/>
      <protection locked="0"/>
    </xf>
    <xf numFmtId="2" fontId="50" fillId="0" borderId="11" xfId="42" applyNumberFormat="1" applyFont="1" applyFill="1" applyBorder="1" applyAlignment="1" applyProtection="1">
      <alignment horizontal="right" vertical="center"/>
      <protection/>
    </xf>
    <xf numFmtId="4" fontId="50" fillId="0" borderId="11" xfId="42" applyNumberFormat="1" applyFont="1" applyFill="1" applyBorder="1" applyAlignment="1" applyProtection="1">
      <alignment horizontal="right" vertical="center"/>
      <protection locked="0"/>
    </xf>
    <xf numFmtId="4" fontId="52" fillId="0" borderId="11" xfId="43" applyNumberFormat="1" applyFont="1" applyFill="1" applyBorder="1" applyAlignment="1" applyProtection="1">
      <alignment horizontal="right" vertical="center"/>
      <protection locked="0"/>
    </xf>
    <xf numFmtId="2" fontId="50" fillId="0" borderId="11" xfId="43" applyNumberFormat="1" applyFont="1" applyFill="1" applyBorder="1" applyAlignment="1" applyProtection="1">
      <alignment horizontal="right" vertical="center"/>
      <protection/>
    </xf>
    <xf numFmtId="4" fontId="50" fillId="0" borderId="11" xfId="43"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locked="0"/>
    </xf>
    <xf numFmtId="2" fontId="50" fillId="0" borderId="11" xfId="68"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locked="0"/>
    </xf>
    <xf numFmtId="4" fontId="52" fillId="0" borderId="11" xfId="40" applyNumberFormat="1" applyFont="1" applyFill="1" applyBorder="1" applyAlignment="1" applyProtection="1">
      <alignment horizontal="right" vertical="center"/>
      <protection/>
    </xf>
    <xf numFmtId="4" fontId="50" fillId="0" borderId="11" xfId="40" applyNumberFormat="1" applyFont="1" applyFill="1" applyBorder="1" applyAlignment="1" applyProtection="1">
      <alignment horizontal="right" vertical="center"/>
      <protection/>
    </xf>
    <xf numFmtId="4"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4" fontId="50" fillId="0" borderId="11" xfId="0" applyNumberFormat="1" applyFont="1" applyFill="1" applyBorder="1" applyAlignment="1">
      <alignment horizontal="right" vertical="center"/>
    </xf>
    <xf numFmtId="4" fontId="52" fillId="0" borderId="11" xfId="44" applyNumberFormat="1" applyFont="1" applyFill="1" applyBorder="1" applyAlignment="1" applyProtection="1">
      <alignment horizontal="right" vertical="center"/>
      <protection locked="0"/>
    </xf>
    <xf numFmtId="2" fontId="50" fillId="0" borderId="11" xfId="44" applyNumberFormat="1" applyFont="1" applyFill="1" applyBorder="1" applyAlignment="1" applyProtection="1">
      <alignment horizontal="right" vertical="center"/>
      <protection/>
    </xf>
    <xf numFmtId="4" fontId="50" fillId="0" borderId="11" xfId="44" applyNumberFormat="1" applyFont="1" applyFill="1" applyBorder="1" applyAlignment="1" applyProtection="1">
      <alignment horizontal="right" vertical="center"/>
      <protection locked="0"/>
    </xf>
    <xf numFmtId="0" fontId="50" fillId="0" borderId="31" xfId="0" applyFont="1" applyFill="1" applyBorder="1" applyAlignment="1">
      <alignment horizontal="left" vertical="center"/>
    </xf>
    <xf numFmtId="2" fontId="50" fillId="0" borderId="32" xfId="0" applyNumberFormat="1" applyFont="1" applyFill="1" applyBorder="1" applyAlignment="1">
      <alignment horizontal="right" vertical="center"/>
    </xf>
    <xf numFmtId="0" fontId="50" fillId="0" borderId="31" xfId="0" applyFont="1" applyFill="1" applyBorder="1" applyAlignment="1" applyProtection="1">
      <alignment horizontal="left" vertical="center"/>
      <protection locked="0"/>
    </xf>
    <xf numFmtId="2" fontId="50" fillId="0" borderId="32" xfId="42" applyNumberFormat="1" applyFont="1" applyFill="1" applyBorder="1" applyAlignment="1" applyProtection="1">
      <alignment horizontal="right" vertical="center"/>
      <protection/>
    </xf>
    <xf numFmtId="0" fontId="50" fillId="0" borderId="31" xfId="0" applyFont="1" applyFill="1" applyBorder="1" applyAlignment="1">
      <alignment horizontal="left" vertical="center"/>
    </xf>
    <xf numFmtId="2" fontId="50" fillId="0" borderId="32" xfId="43" applyNumberFormat="1" applyFont="1" applyFill="1" applyBorder="1" applyAlignment="1" applyProtection="1">
      <alignment horizontal="right" vertical="center"/>
      <protection/>
    </xf>
    <xf numFmtId="0" fontId="50" fillId="0" borderId="31" xfId="0" applyNumberFormat="1" applyFont="1" applyFill="1" applyBorder="1" applyAlignment="1" applyProtection="1">
      <alignment horizontal="left" vertical="center"/>
      <protection locked="0"/>
    </xf>
    <xf numFmtId="2" fontId="50" fillId="0" borderId="32" xfId="68" applyNumberFormat="1" applyFont="1" applyFill="1" applyBorder="1" applyAlignment="1" applyProtection="1">
      <alignment horizontal="right" vertical="center"/>
      <protection/>
    </xf>
    <xf numFmtId="212" fontId="50" fillId="0" borderId="31" xfId="0" applyNumberFormat="1" applyFont="1" applyFill="1" applyBorder="1" applyAlignment="1">
      <alignment horizontal="left" vertical="center"/>
    </xf>
    <xf numFmtId="2" fontId="50" fillId="0" borderId="32" xfId="0" applyNumberFormat="1" applyFont="1" applyFill="1" applyBorder="1" applyAlignment="1">
      <alignment horizontal="right" vertical="center"/>
    </xf>
    <xf numFmtId="2" fontId="50" fillId="0" borderId="32" xfId="44" applyNumberFormat="1" applyFont="1" applyFill="1" applyBorder="1" applyAlignment="1" applyProtection="1">
      <alignment horizontal="right" vertical="center"/>
      <protection/>
    </xf>
    <xf numFmtId="0" fontId="50" fillId="0" borderId="31" xfId="55" applyFont="1" applyFill="1" applyBorder="1" applyAlignment="1">
      <alignment horizontal="left" vertical="center"/>
      <protection/>
    </xf>
    <xf numFmtId="0" fontId="46" fillId="0" borderId="0" xfId="0" applyFont="1" applyFill="1" applyBorder="1" applyAlignment="1">
      <alignment horizontal="left" vertical="center"/>
    </xf>
    <xf numFmtId="0" fontId="46" fillId="0" borderId="0" xfId="0" applyFont="1" applyFill="1" applyBorder="1" applyAlignment="1">
      <alignment vertical="center"/>
    </xf>
    <xf numFmtId="0" fontId="8" fillId="0" borderId="29" xfId="0" applyFont="1" applyFill="1" applyBorder="1" applyAlignment="1">
      <alignment horizontal="right" vertical="center"/>
    </xf>
    <xf numFmtId="0" fontId="8" fillId="0" borderId="11" xfId="0" applyFont="1" applyFill="1" applyBorder="1" applyAlignment="1" applyProtection="1">
      <alignment horizontal="left" vertical="center"/>
      <protection locked="0"/>
    </xf>
    <xf numFmtId="3" fontId="52" fillId="0" borderId="12" xfId="43" applyNumberFormat="1" applyFont="1" applyFill="1" applyBorder="1" applyAlignment="1" applyProtection="1">
      <alignment horizontal="right" vertical="center"/>
      <protection locked="0"/>
    </xf>
    <xf numFmtId="3" fontId="50" fillId="0" borderId="12" xfId="43" applyNumberFormat="1" applyFont="1" applyFill="1" applyBorder="1" applyAlignment="1" applyProtection="1">
      <alignment horizontal="right" vertical="center"/>
      <protection/>
    </xf>
    <xf numFmtId="4" fontId="38" fillId="0" borderId="33" xfId="0" applyNumberFormat="1" applyFont="1" applyFill="1" applyBorder="1" applyAlignment="1" applyProtection="1">
      <alignment horizontal="center" wrapText="1"/>
      <protection/>
    </xf>
    <xf numFmtId="3" fontId="38" fillId="0" borderId="33" xfId="0" applyNumberFormat="1" applyFont="1" applyFill="1" applyBorder="1" applyAlignment="1" applyProtection="1">
      <alignment horizontal="center" wrapText="1"/>
      <protection/>
    </xf>
    <xf numFmtId="2" fontId="38" fillId="0" borderId="33" xfId="0" applyNumberFormat="1" applyFont="1" applyFill="1" applyBorder="1" applyAlignment="1" applyProtection="1">
      <alignment horizontal="center" wrapText="1"/>
      <protection/>
    </xf>
    <xf numFmtId="2" fontId="38" fillId="0" borderId="34" xfId="0" applyNumberFormat="1" applyFont="1" applyFill="1" applyBorder="1" applyAlignment="1" applyProtection="1">
      <alignment horizontal="center" wrapText="1"/>
      <protection/>
    </xf>
    <xf numFmtId="0" fontId="37" fillId="0" borderId="15" xfId="0" applyFont="1" applyFill="1" applyBorder="1" applyAlignment="1" applyProtection="1">
      <alignment horizontal="right" vertical="center"/>
      <protection/>
    </xf>
    <xf numFmtId="184" fontId="50" fillId="0" borderId="11" xfId="0" applyNumberFormat="1" applyFont="1" applyFill="1" applyBorder="1" applyAlignment="1">
      <alignment horizontal="center" wrapText="1"/>
    </xf>
    <xf numFmtId="14" fontId="50" fillId="0" borderId="11" xfId="0" applyNumberFormat="1" applyFont="1" applyFill="1" applyBorder="1" applyAlignment="1">
      <alignment horizontal="left"/>
    </xf>
    <xf numFmtId="0" fontId="50" fillId="0" borderId="11" xfId="0" applyFont="1" applyFill="1" applyBorder="1" applyAlignment="1">
      <alignment horizontal="right"/>
    </xf>
    <xf numFmtId="4" fontId="52" fillId="0" borderId="11" xfId="0" applyNumberFormat="1" applyFont="1" applyFill="1" applyBorder="1" applyAlignment="1">
      <alignment horizontal="right"/>
    </xf>
    <xf numFmtId="3" fontId="52"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2" fontId="50" fillId="0" borderId="11" xfId="0" applyNumberFormat="1" applyFont="1" applyFill="1" applyBorder="1" applyAlignment="1">
      <alignment horizontal="right"/>
    </xf>
    <xf numFmtId="4" fontId="50" fillId="0" borderId="11" xfId="0" applyNumberFormat="1" applyFont="1" applyFill="1" applyBorder="1" applyAlignment="1">
      <alignment horizontal="right"/>
    </xf>
    <xf numFmtId="3" fontId="50" fillId="0" borderId="11" xfId="0" applyNumberFormat="1" applyFont="1" applyFill="1" applyBorder="1" applyAlignment="1">
      <alignment horizontal="right"/>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0" applyNumberFormat="1" applyFont="1" applyFill="1" applyBorder="1" applyAlignment="1" applyProtection="1">
      <alignment horizontal="right" vertical="center"/>
      <protection locked="0"/>
    </xf>
    <xf numFmtId="0" fontId="50" fillId="0" borderId="11" xfId="0" applyNumberFormat="1" applyFont="1" applyFill="1" applyBorder="1" applyAlignment="1" applyProtection="1">
      <alignment horizontal="left" vertical="center"/>
      <protection locked="0"/>
    </xf>
    <xf numFmtId="184" fontId="50" fillId="0" borderId="11" xfId="0" applyNumberFormat="1" applyFont="1" applyFill="1" applyBorder="1" applyAlignment="1">
      <alignment horizontal="center" vertical="center" shrinkToFit="1"/>
    </xf>
    <xf numFmtId="0" fontId="50" fillId="0" borderId="11" xfId="0" applyFont="1" applyFill="1" applyBorder="1" applyAlignment="1">
      <alignment horizontal="right" vertical="center" shrinkToFit="1"/>
    </xf>
    <xf numFmtId="4" fontId="52" fillId="0" borderId="11" xfId="43" applyNumberFormat="1" applyFont="1" applyFill="1" applyBorder="1" applyAlignment="1" applyProtection="1">
      <alignment horizontal="right" vertical="center" shrinkToFit="1"/>
      <protection locked="0"/>
    </xf>
    <xf numFmtId="3" fontId="52"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xf>
    <xf numFmtId="2" fontId="50" fillId="0" borderId="11" xfId="43" applyNumberFormat="1" applyFont="1" applyFill="1" applyBorder="1" applyAlignment="1" applyProtection="1">
      <alignment horizontal="right" vertical="center" shrinkToFit="1"/>
      <protection/>
    </xf>
    <xf numFmtId="4" fontId="50" fillId="0" borderId="11" xfId="43" applyNumberFormat="1" applyFont="1" applyFill="1" applyBorder="1" applyAlignment="1" applyProtection="1">
      <alignment horizontal="right" vertical="center" shrinkToFit="1"/>
      <protection locked="0"/>
    </xf>
    <xf numFmtId="3" fontId="50" fillId="0" borderId="11" xfId="43" applyNumberFormat="1" applyFont="1" applyFill="1" applyBorder="1" applyAlignment="1" applyProtection="1">
      <alignment horizontal="right" vertical="center" shrinkToFit="1"/>
      <protection locked="0"/>
    </xf>
    <xf numFmtId="0"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0" fontId="50" fillId="0" borderId="11" xfId="53" applyNumberFormat="1" applyFont="1" applyFill="1" applyBorder="1" applyAlignment="1">
      <alignment horizontal="left" vertical="center"/>
      <protection/>
    </xf>
    <xf numFmtId="184" fontId="50" fillId="0" borderId="11" xfId="53" applyNumberFormat="1" applyFont="1" applyFill="1" applyBorder="1" applyAlignment="1">
      <alignment horizontal="center" vertical="center"/>
      <protection/>
    </xf>
    <xf numFmtId="0" fontId="50" fillId="0" borderId="11" xfId="53" applyNumberFormat="1" applyFont="1" applyFill="1" applyBorder="1" applyAlignment="1">
      <alignment horizontal="right" vertical="center"/>
      <protection/>
    </xf>
    <xf numFmtId="4" fontId="52" fillId="0" borderId="11" xfId="53" applyNumberFormat="1" applyFont="1" applyFill="1" applyBorder="1" applyAlignment="1" applyProtection="1">
      <alignment horizontal="right" vertical="center"/>
      <protection/>
    </xf>
    <xf numFmtId="3" fontId="52" fillId="0" borderId="11" xfId="53" applyNumberFormat="1" applyFont="1" applyFill="1" applyBorder="1" applyAlignment="1" applyProtection="1">
      <alignment horizontal="right" vertical="center"/>
      <protection/>
    </xf>
    <xf numFmtId="3" fontId="50" fillId="0" borderId="11" xfId="53" applyNumberFormat="1" applyFont="1" applyFill="1" applyBorder="1" applyAlignment="1" applyProtection="1">
      <alignment horizontal="right" vertical="center"/>
      <protection/>
    </xf>
    <xf numFmtId="2" fontId="50" fillId="0" borderId="11" xfId="53" applyNumberFormat="1" applyFont="1" applyFill="1" applyBorder="1" applyAlignment="1" applyProtection="1">
      <alignment horizontal="right" vertical="center"/>
      <protection/>
    </xf>
    <xf numFmtId="4" fontId="50" fillId="0" borderId="11" xfId="53" applyNumberFormat="1" applyFont="1" applyFill="1" applyBorder="1" applyAlignment="1" applyProtection="1">
      <alignment horizontal="right" vertical="center"/>
      <protection/>
    </xf>
    <xf numFmtId="184" fontId="50" fillId="0" borderId="11" xfId="55" applyNumberFormat="1" applyFont="1" applyFill="1" applyBorder="1" applyAlignment="1">
      <alignment horizontal="center" vertical="center" shrinkToFit="1"/>
      <protection/>
    </xf>
    <xf numFmtId="0" fontId="50" fillId="0" borderId="11" xfId="55" applyFont="1" applyFill="1" applyBorder="1" applyAlignment="1">
      <alignment horizontal="right" vertical="center" shrinkToFit="1"/>
      <protection/>
    </xf>
    <xf numFmtId="0" fontId="50" fillId="0" borderId="31" xfId="0" applyFont="1" applyFill="1" applyBorder="1" applyAlignment="1">
      <alignment horizontal="left"/>
    </xf>
    <xf numFmtId="2" fontId="50" fillId="0" borderId="32" xfId="0" applyNumberFormat="1" applyFont="1" applyFill="1" applyBorder="1" applyAlignment="1">
      <alignment horizontal="right"/>
    </xf>
    <xf numFmtId="0" fontId="50" fillId="0" borderId="31" xfId="0" applyFont="1" applyFill="1" applyBorder="1" applyAlignment="1">
      <alignment horizontal="left" vertical="center" shrinkToFit="1"/>
    </xf>
    <xf numFmtId="2" fontId="50" fillId="0" borderId="32" xfId="43" applyNumberFormat="1" applyFont="1" applyFill="1" applyBorder="1" applyAlignment="1" applyProtection="1">
      <alignment horizontal="right" vertical="center" shrinkToFit="1"/>
      <protection/>
    </xf>
    <xf numFmtId="0" fontId="50" fillId="0" borderId="31" xfId="0" applyNumberFormat="1" applyFont="1" applyFill="1" applyBorder="1" applyAlignment="1">
      <alignment horizontal="left" vertical="center"/>
    </xf>
    <xf numFmtId="0" fontId="50" fillId="0" borderId="31" xfId="53" applyNumberFormat="1" applyFont="1" applyFill="1" applyBorder="1" applyAlignment="1">
      <alignment horizontal="left" vertical="center"/>
      <protection/>
    </xf>
    <xf numFmtId="2" fontId="50" fillId="0" borderId="32" xfId="53" applyNumberFormat="1" applyFont="1" applyFill="1" applyBorder="1" applyAlignment="1" applyProtection="1">
      <alignment horizontal="right" vertical="center"/>
      <protection/>
    </xf>
    <xf numFmtId="0" fontId="50" fillId="0" borderId="31" xfId="55" applyFont="1" applyFill="1" applyBorder="1" applyAlignment="1">
      <alignment horizontal="left" vertical="center" shrinkToFit="1"/>
      <protection/>
    </xf>
    <xf numFmtId="0" fontId="8" fillId="0" borderId="29" xfId="0" applyFont="1" applyFill="1" applyBorder="1" applyAlignment="1">
      <alignment horizontal="right"/>
    </xf>
    <xf numFmtId="0" fontId="8" fillId="0" borderId="29" xfId="0" applyNumberFormat="1" applyFont="1" applyFill="1" applyBorder="1" applyAlignment="1" applyProtection="1">
      <alignment horizontal="right" vertical="center"/>
      <protection locked="0"/>
    </xf>
    <xf numFmtId="0" fontId="8" fillId="0" borderId="29" xfId="0" applyFont="1" applyFill="1" applyBorder="1" applyAlignment="1" applyProtection="1">
      <alignment horizontal="right" vertical="center" shrinkToFit="1"/>
      <protection locked="0"/>
    </xf>
    <xf numFmtId="0" fontId="8" fillId="0" borderId="29" xfId="53" applyFont="1" applyFill="1" applyBorder="1" applyAlignment="1" applyProtection="1">
      <alignment horizontal="right" vertical="center" shrinkToFit="1"/>
      <protection locked="0"/>
    </xf>
    <xf numFmtId="14" fontId="50" fillId="0" borderId="11" xfId="0" applyNumberFormat="1" applyFont="1" applyFill="1" applyBorder="1" applyAlignment="1">
      <alignment horizontal="left" vertical="center"/>
    </xf>
    <xf numFmtId="0" fontId="50" fillId="0" borderId="11" xfId="0" applyFont="1" applyFill="1" applyBorder="1" applyAlignment="1">
      <alignment horizontal="right" vertical="center"/>
    </xf>
    <xf numFmtId="0" fontId="50" fillId="0" borderId="11" xfId="0" applyFont="1" applyFill="1" applyBorder="1" applyAlignment="1">
      <alignment horizontal="left" vertical="center"/>
    </xf>
    <xf numFmtId="0" fontId="50" fillId="0" borderId="11" xfId="0" applyFont="1" applyFill="1" applyBorder="1" applyAlignment="1" applyProtection="1">
      <alignment horizontal="right" vertical="center"/>
      <protection locked="0"/>
    </xf>
    <xf numFmtId="0" fontId="50" fillId="0" borderId="11" xfId="0" applyFont="1" applyFill="1" applyBorder="1" applyAlignment="1" applyProtection="1">
      <alignment horizontal="left" vertical="center"/>
      <protection locked="0"/>
    </xf>
    <xf numFmtId="49" fontId="50" fillId="0" borderId="11" xfId="0" applyNumberFormat="1" applyFont="1" applyFill="1" applyBorder="1" applyAlignment="1" applyProtection="1">
      <alignment horizontal="left" vertical="center"/>
      <protection locked="0"/>
    </xf>
    <xf numFmtId="0" fontId="50" fillId="0" borderId="11" xfId="0" applyFont="1" applyFill="1" applyBorder="1" applyAlignment="1">
      <alignment horizontal="left" vertical="center"/>
    </xf>
    <xf numFmtId="0" fontId="50" fillId="0" borderId="11" xfId="53" applyFont="1" applyFill="1" applyBorder="1" applyAlignment="1">
      <alignment horizontal="left" vertical="center"/>
      <protection/>
    </xf>
    <xf numFmtId="0" fontId="50" fillId="0" borderId="31" xfId="53" applyFont="1" applyFill="1" applyBorder="1" applyAlignment="1">
      <alignment vertical="center"/>
      <protection/>
    </xf>
    <xf numFmtId="0" fontId="38" fillId="0" borderId="35" xfId="0" applyFont="1" applyFill="1" applyBorder="1" applyAlignment="1" applyProtection="1">
      <alignment vertical="center"/>
      <protection locked="0"/>
    </xf>
    <xf numFmtId="0" fontId="50" fillId="0" borderId="11" xfId="55" applyFont="1" applyFill="1" applyBorder="1" applyAlignment="1">
      <alignment horizontal="right" vertical="center"/>
      <protection/>
    </xf>
    <xf numFmtId="0" fontId="50" fillId="0" borderId="11" xfId="53" applyFont="1" applyFill="1" applyBorder="1" applyAlignment="1">
      <alignment horizontal="right" vertical="center"/>
      <protection/>
    </xf>
    <xf numFmtId="200" fontId="15" fillId="0" borderId="0" xfId="0" applyNumberFormat="1" applyFont="1" applyAlignment="1">
      <alignment horizontal="right" vertical="center"/>
    </xf>
    <xf numFmtId="193" fontId="15" fillId="0" borderId="0" xfId="0" applyNumberFormat="1" applyFont="1" applyAlignment="1">
      <alignment horizontal="right" vertical="center"/>
    </xf>
    <xf numFmtId="0" fontId="14" fillId="0" borderId="0" xfId="0" applyFont="1" applyAlignment="1">
      <alignment horizontal="right" vertical="center"/>
    </xf>
    <xf numFmtId="0" fontId="50" fillId="0" borderId="31" xfId="53" applyNumberFormat="1" applyFont="1" applyFill="1" applyBorder="1" applyAlignment="1">
      <alignment vertical="center"/>
      <protection/>
    </xf>
    <xf numFmtId="0" fontId="38" fillId="0" borderId="36" xfId="0" applyFont="1" applyFill="1" applyBorder="1" applyAlignment="1">
      <alignment horizontal="right" vertical="center"/>
    </xf>
    <xf numFmtId="3" fontId="50" fillId="0" borderId="11" xfId="0" applyNumberFormat="1" applyFont="1" applyFill="1" applyBorder="1" applyAlignment="1" applyProtection="1">
      <alignment horizontal="right" vertical="center"/>
      <protection/>
    </xf>
    <xf numFmtId="2" fontId="50" fillId="0" borderId="11" xfId="0" applyNumberFormat="1" applyFont="1" applyFill="1" applyBorder="1" applyAlignment="1" applyProtection="1">
      <alignment horizontal="right" vertical="center"/>
      <protection/>
    </xf>
    <xf numFmtId="0" fontId="50" fillId="0" borderId="31" xfId="53" applyFont="1" applyFill="1" applyBorder="1" applyAlignment="1">
      <alignment horizontal="left" vertical="center"/>
      <protection/>
    </xf>
    <xf numFmtId="0" fontId="50" fillId="0" borderId="37" xfId="0" applyFont="1" applyFill="1" applyBorder="1" applyAlignment="1">
      <alignment horizontal="left"/>
    </xf>
    <xf numFmtId="184" fontId="50" fillId="0" borderId="38" xfId="0" applyNumberFormat="1" applyFont="1" applyFill="1" applyBorder="1" applyAlignment="1">
      <alignment horizontal="center" wrapText="1"/>
    </xf>
    <xf numFmtId="14" fontId="50" fillId="0" borderId="38" xfId="0" applyNumberFormat="1" applyFont="1" applyFill="1" applyBorder="1" applyAlignment="1">
      <alignment horizontal="left"/>
    </xf>
    <xf numFmtId="0" fontId="50" fillId="0" borderId="38" xfId="0" applyFont="1" applyFill="1" applyBorder="1" applyAlignment="1">
      <alignment horizontal="right"/>
    </xf>
    <xf numFmtId="4" fontId="52" fillId="0" borderId="38" xfId="0" applyNumberFormat="1" applyFont="1" applyFill="1" applyBorder="1" applyAlignment="1">
      <alignment horizontal="right"/>
    </xf>
    <xf numFmtId="3" fontId="52" fillId="0" borderId="38" xfId="0" applyNumberFormat="1" applyFont="1" applyFill="1" applyBorder="1" applyAlignment="1">
      <alignment horizontal="right"/>
    </xf>
    <xf numFmtId="3" fontId="50" fillId="0" borderId="38" xfId="0" applyNumberFormat="1" applyFont="1" applyFill="1" applyBorder="1" applyAlignment="1">
      <alignment horizontal="right"/>
    </xf>
    <xf numFmtId="2" fontId="50" fillId="0" borderId="38" xfId="0" applyNumberFormat="1" applyFont="1" applyFill="1" applyBorder="1" applyAlignment="1">
      <alignment horizontal="right"/>
    </xf>
    <xf numFmtId="4" fontId="50" fillId="0" borderId="38" xfId="0" applyNumberFormat="1" applyFont="1" applyFill="1" applyBorder="1" applyAlignment="1">
      <alignment horizontal="right"/>
    </xf>
    <xf numFmtId="3" fontId="50" fillId="0" borderId="38" xfId="0" applyNumberFormat="1" applyFont="1" applyFill="1" applyBorder="1" applyAlignment="1">
      <alignment horizontal="right"/>
    </xf>
    <xf numFmtId="2" fontId="50" fillId="0" borderId="39" xfId="0" applyNumberFormat="1" applyFont="1" applyFill="1" applyBorder="1" applyAlignment="1">
      <alignment horizontal="right"/>
    </xf>
    <xf numFmtId="3" fontId="50" fillId="0" borderId="10" xfId="0" applyNumberFormat="1" applyFont="1" applyFill="1" applyBorder="1" applyAlignment="1">
      <alignment horizontal="right" vertical="center"/>
    </xf>
    <xf numFmtId="2" fontId="50" fillId="0" borderId="40" xfId="68" applyNumberFormat="1" applyFont="1" applyFill="1" applyBorder="1" applyAlignment="1" applyProtection="1">
      <alignment horizontal="right" vertical="center"/>
      <protection/>
    </xf>
    <xf numFmtId="4" fontId="52" fillId="0" borderId="11" xfId="0" applyNumberFormat="1" applyFont="1" applyFill="1" applyBorder="1" applyAlignment="1">
      <alignment vertical="center"/>
    </xf>
    <xf numFmtId="2" fontId="50" fillId="0" borderId="11" xfId="0" applyNumberFormat="1" applyFont="1" applyFill="1" applyBorder="1" applyAlignment="1">
      <alignment vertical="center"/>
    </xf>
    <xf numFmtId="4" fontId="50" fillId="0" borderId="11" xfId="0" applyNumberFormat="1" applyFont="1" applyFill="1" applyBorder="1" applyAlignment="1">
      <alignment vertical="center"/>
    </xf>
    <xf numFmtId="2" fontId="50" fillId="0" borderId="32" xfId="0" applyNumberFormat="1" applyFont="1" applyFill="1" applyBorder="1" applyAlignment="1">
      <alignment vertical="center"/>
    </xf>
    <xf numFmtId="0" fontId="28" fillId="0" borderId="29" xfId="0" applyFont="1" applyFill="1" applyBorder="1" applyAlignment="1">
      <alignment horizontal="right"/>
    </xf>
    <xf numFmtId="0" fontId="50" fillId="0" borderId="11" xfId="0" applyFont="1" applyFill="1" applyBorder="1" applyAlignment="1">
      <alignment horizontal="left"/>
    </xf>
    <xf numFmtId="184" fontId="50" fillId="0" borderId="11" xfId="0" applyNumberFormat="1" applyFont="1" applyFill="1" applyBorder="1" applyAlignment="1">
      <alignment horizontal="center"/>
    </xf>
    <xf numFmtId="4" fontId="52" fillId="0" borderId="11" xfId="0" applyNumberFormat="1" applyFont="1" applyFill="1" applyBorder="1" applyAlignment="1">
      <alignment horizontal="right" wrapText="1"/>
    </xf>
    <xf numFmtId="2" fontId="50" fillId="0" borderId="11" xfId="0" applyNumberFormat="1" applyFont="1" applyFill="1" applyBorder="1" applyAlignment="1">
      <alignment horizontal="right"/>
    </xf>
    <xf numFmtId="4" fontId="50" fillId="0" borderId="11" xfId="0" applyNumberFormat="1" applyFont="1" applyFill="1" applyBorder="1" applyAlignment="1">
      <alignment horizontal="right" wrapText="1"/>
    </xf>
    <xf numFmtId="184" fontId="50" fillId="0" borderId="11" xfId="0" applyNumberFormat="1" applyFont="1" applyFill="1" applyBorder="1" applyAlignment="1">
      <alignment horizontal="center"/>
    </xf>
    <xf numFmtId="0" fontId="50" fillId="0" borderId="11" xfId="0" applyFont="1" applyFill="1" applyBorder="1" applyAlignment="1">
      <alignment horizontal="right"/>
    </xf>
    <xf numFmtId="4" fontId="52" fillId="0" borderId="11" xfId="0" applyNumberFormat="1" applyFont="1" applyFill="1" applyBorder="1" applyAlignment="1">
      <alignment horizontal="right"/>
    </xf>
    <xf numFmtId="3" fontId="52" fillId="0" borderId="11" xfId="0" applyNumberFormat="1" applyFont="1" applyFill="1" applyBorder="1" applyAlignment="1">
      <alignment horizontal="right"/>
    </xf>
    <xf numFmtId="4" fontId="50" fillId="0" borderId="11" xfId="0" applyNumberFormat="1" applyFont="1" applyFill="1" applyBorder="1" applyAlignment="1">
      <alignment horizontal="right"/>
    </xf>
    <xf numFmtId="3" fontId="50" fillId="0" borderId="11" xfId="40" applyNumberFormat="1" applyFont="1" applyFill="1" applyBorder="1" applyAlignment="1" applyProtection="1">
      <alignment horizontal="right" vertical="center"/>
      <protection/>
    </xf>
    <xf numFmtId="184" fontId="50" fillId="0" borderId="11" xfId="54" applyNumberFormat="1" applyFont="1" applyFill="1" applyBorder="1" applyAlignment="1">
      <alignment horizontal="center" vertical="center"/>
      <protection/>
    </xf>
    <xf numFmtId="0" fontId="50" fillId="0" borderId="11" xfId="54" applyFont="1" applyFill="1" applyBorder="1" applyAlignment="1">
      <alignment horizontal="right" vertical="center"/>
      <protection/>
    </xf>
    <xf numFmtId="2" fontId="50" fillId="0" borderId="32" xfId="0" applyNumberFormat="1" applyFont="1" applyFill="1" applyBorder="1" applyAlignment="1">
      <alignment horizontal="right"/>
    </xf>
    <xf numFmtId="0" fontId="50" fillId="0" borderId="31" xfId="0" applyFont="1" applyFill="1" applyBorder="1" applyAlignment="1" applyProtection="1">
      <alignment horizontal="left" vertical="center" shrinkToFit="1"/>
      <protection locked="0"/>
    </xf>
    <xf numFmtId="212" fontId="50" fillId="0" borderId="31" xfId="0" applyNumberFormat="1" applyFont="1" applyFill="1" applyBorder="1" applyAlignment="1">
      <alignment horizontal="left" vertical="center" shrinkToFit="1"/>
    </xf>
    <xf numFmtId="0" fontId="50" fillId="0" borderId="31" xfId="54" applyFont="1" applyFill="1" applyBorder="1" applyAlignment="1">
      <alignment horizontal="left" vertical="center" shrinkToFit="1"/>
      <protection/>
    </xf>
    <xf numFmtId="184" fontId="50" fillId="0" borderId="11" xfId="0" applyNumberFormat="1" applyFont="1" applyFill="1" applyBorder="1" applyAlignment="1">
      <alignment horizontal="left" vertical="center"/>
    </xf>
    <xf numFmtId="184" fontId="50" fillId="0" borderId="11" xfId="0" applyNumberFormat="1" applyFont="1" applyFill="1" applyBorder="1" applyAlignment="1" applyProtection="1">
      <alignment horizontal="left" vertical="center"/>
      <protection locked="0"/>
    </xf>
    <xf numFmtId="0" fontId="50" fillId="0" borderId="11" xfId="55" applyNumberFormat="1" applyFont="1" applyFill="1" applyBorder="1" applyAlignment="1">
      <alignment horizontal="left" vertical="center"/>
      <protection/>
    </xf>
    <xf numFmtId="184" fontId="50" fillId="0" borderId="11" xfId="0" applyNumberFormat="1" applyFont="1" applyFill="1" applyBorder="1" applyAlignment="1">
      <alignment horizontal="left" vertical="center"/>
    </xf>
    <xf numFmtId="0" fontId="50" fillId="0" borderId="11" xfId="0" applyNumberFormat="1" applyFont="1" applyFill="1" applyBorder="1" applyAlignment="1">
      <alignment horizontal="right" vertical="center"/>
    </xf>
    <xf numFmtId="3" fontId="52" fillId="0" borderId="11" xfId="0" applyNumberFormat="1" applyFont="1" applyFill="1" applyBorder="1" applyAlignment="1">
      <alignment horizontal="right" vertical="center"/>
    </xf>
    <xf numFmtId="2" fontId="50" fillId="0" borderId="11" xfId="0" applyNumberFormat="1" applyFont="1" applyFill="1" applyBorder="1" applyAlignment="1">
      <alignment horizontal="right" vertical="center"/>
    </xf>
    <xf numFmtId="184" fontId="50" fillId="0" borderId="11" xfId="55" applyNumberFormat="1" applyFont="1" applyFill="1" applyBorder="1" applyAlignment="1">
      <alignment horizontal="left" vertical="center"/>
      <protection/>
    </xf>
    <xf numFmtId="0" fontId="50" fillId="0" borderId="11" xfId="55" applyNumberFormat="1" applyFont="1" applyFill="1" applyBorder="1" applyAlignment="1">
      <alignment horizontal="right" vertical="center"/>
      <protection/>
    </xf>
    <xf numFmtId="2" fontId="50" fillId="0" borderId="11" xfId="40" applyNumberFormat="1" applyFont="1" applyFill="1" applyBorder="1" applyAlignment="1" applyProtection="1">
      <alignment horizontal="right" vertical="center"/>
      <protection/>
    </xf>
    <xf numFmtId="0" fontId="50" fillId="0" borderId="16" xfId="0" applyNumberFormat="1" applyFont="1" applyFill="1" applyBorder="1" applyAlignment="1">
      <alignment horizontal="left" vertical="center"/>
    </xf>
    <xf numFmtId="184" fontId="50" fillId="0" borderId="12" xfId="0" applyNumberFormat="1" applyFont="1" applyFill="1" applyBorder="1" applyAlignment="1">
      <alignment horizontal="left" vertical="center"/>
    </xf>
    <xf numFmtId="0" fontId="50" fillId="0" borderId="12" xfId="0" applyNumberFormat="1" applyFont="1" applyFill="1" applyBorder="1" applyAlignment="1">
      <alignment horizontal="left" vertical="center"/>
    </xf>
    <xf numFmtId="0" fontId="50" fillId="0" borderId="12" xfId="0" applyNumberFormat="1" applyFont="1" applyFill="1" applyBorder="1" applyAlignment="1">
      <alignment horizontal="right" vertical="center"/>
    </xf>
    <xf numFmtId="4" fontId="52" fillId="0" borderId="12" xfId="0" applyNumberFormat="1" applyFont="1" applyFill="1" applyBorder="1" applyAlignment="1">
      <alignment horizontal="right" vertical="center"/>
    </xf>
    <xf numFmtId="3" fontId="52" fillId="0" borderId="12" xfId="0" applyNumberFormat="1" applyFont="1" applyFill="1" applyBorder="1" applyAlignment="1">
      <alignment horizontal="right" vertical="center"/>
    </xf>
    <xf numFmtId="3" fontId="50" fillId="0" borderId="12" xfId="0" applyNumberFormat="1" applyFont="1" applyFill="1" applyBorder="1" applyAlignment="1">
      <alignment horizontal="right" vertical="center"/>
    </xf>
    <xf numFmtId="2" fontId="50" fillId="0" borderId="12" xfId="0" applyNumberFormat="1" applyFont="1" applyFill="1" applyBorder="1" applyAlignment="1">
      <alignment horizontal="right" vertical="center"/>
    </xf>
    <xf numFmtId="4" fontId="50" fillId="0" borderId="12" xfId="0" applyNumberFormat="1" applyFont="1" applyFill="1" applyBorder="1" applyAlignment="1">
      <alignment horizontal="right" vertical="center"/>
    </xf>
    <xf numFmtId="3" fontId="50" fillId="0" borderId="12" xfId="0" applyNumberFormat="1" applyFont="1" applyFill="1" applyBorder="1" applyAlignment="1">
      <alignment horizontal="right" vertical="center"/>
    </xf>
    <xf numFmtId="2" fontId="50" fillId="0" borderId="41" xfId="0" applyNumberFormat="1" applyFont="1" applyFill="1" applyBorder="1" applyAlignment="1">
      <alignment horizontal="right" vertical="center"/>
    </xf>
    <xf numFmtId="2" fontId="50" fillId="0" borderId="32" xfId="0" applyNumberFormat="1" applyFont="1" applyFill="1" applyBorder="1" applyAlignment="1" applyProtection="1">
      <alignment horizontal="right" vertical="center"/>
      <protection/>
    </xf>
    <xf numFmtId="0" fontId="50" fillId="0" borderId="31" xfId="55" applyNumberFormat="1" applyFont="1" applyFill="1" applyBorder="1" applyAlignment="1">
      <alignment horizontal="left" vertical="center"/>
      <protection/>
    </xf>
    <xf numFmtId="2" fontId="50" fillId="0" borderId="32" xfId="40" applyNumberFormat="1" applyFont="1" applyFill="1" applyBorder="1" applyAlignment="1" applyProtection="1">
      <alignment horizontal="right" vertical="center"/>
      <protection/>
    </xf>
    <xf numFmtId="0" fontId="50" fillId="0" borderId="37" xfId="0" applyNumberFormat="1" applyFont="1" applyFill="1" applyBorder="1" applyAlignment="1" applyProtection="1">
      <alignment horizontal="left" vertical="center"/>
      <protection locked="0"/>
    </xf>
    <xf numFmtId="0" fontId="50" fillId="0" borderId="38" xfId="0" applyNumberFormat="1" applyFont="1" applyFill="1" applyBorder="1" applyAlignment="1" applyProtection="1">
      <alignment horizontal="left" vertical="center"/>
      <protection locked="0"/>
    </xf>
    <xf numFmtId="0" fontId="50" fillId="0" borderId="38" xfId="0" applyNumberFormat="1" applyFont="1" applyFill="1" applyBorder="1" applyAlignment="1" applyProtection="1">
      <alignment horizontal="right" vertical="center"/>
      <protection locked="0"/>
    </xf>
    <xf numFmtId="4" fontId="52" fillId="0" borderId="38" xfId="40" applyNumberFormat="1" applyFont="1" applyFill="1" applyBorder="1" applyAlignment="1" applyProtection="1">
      <alignment horizontal="right" vertical="center"/>
      <protection/>
    </xf>
    <xf numFmtId="3" fontId="52" fillId="0" borderId="38" xfId="40" applyNumberFormat="1" applyFont="1" applyFill="1" applyBorder="1" applyAlignment="1" applyProtection="1">
      <alignment horizontal="right" vertical="center"/>
      <protection/>
    </xf>
    <xf numFmtId="3" fontId="50" fillId="0" borderId="38" xfId="68" applyNumberFormat="1" applyFont="1" applyFill="1" applyBorder="1" applyAlignment="1" applyProtection="1">
      <alignment horizontal="right" vertical="center"/>
      <protection/>
    </xf>
    <xf numFmtId="2" fontId="50" fillId="0" borderId="38" xfId="68" applyNumberFormat="1" applyFont="1" applyFill="1" applyBorder="1" applyAlignment="1" applyProtection="1">
      <alignment horizontal="right" vertical="center"/>
      <protection/>
    </xf>
    <xf numFmtId="4" fontId="50" fillId="0" borderId="38" xfId="40" applyNumberFormat="1" applyFont="1" applyFill="1" applyBorder="1" applyAlignment="1" applyProtection="1">
      <alignment horizontal="right" vertical="center"/>
      <protection/>
    </xf>
    <xf numFmtId="3" fontId="50" fillId="0" borderId="38" xfId="0" applyNumberFormat="1" applyFont="1" applyFill="1" applyBorder="1" applyAlignment="1">
      <alignment horizontal="right" vertical="center"/>
    </xf>
    <xf numFmtId="2" fontId="50" fillId="0" borderId="39" xfId="68" applyNumberFormat="1" applyFont="1" applyFill="1" applyBorder="1" applyAlignment="1" applyProtection="1">
      <alignment horizontal="right" vertical="center"/>
      <protection/>
    </xf>
    <xf numFmtId="0" fontId="8" fillId="0" borderId="29" xfId="0" applyNumberFormat="1" applyFont="1" applyFill="1" applyBorder="1" applyAlignment="1" applyProtection="1">
      <alignment horizontal="left" vertical="center"/>
      <protection locked="0"/>
    </xf>
    <xf numFmtId="0" fontId="50" fillId="0" borderId="42" xfId="0" applyNumberFormat="1" applyFont="1" applyFill="1" applyBorder="1" applyAlignment="1">
      <alignment horizontal="left" vertical="center"/>
    </xf>
    <xf numFmtId="0" fontId="50" fillId="0" borderId="10" xfId="0" applyNumberFormat="1" applyFont="1" applyFill="1" applyBorder="1" applyAlignment="1">
      <alignment horizontal="left" vertical="center"/>
    </xf>
    <xf numFmtId="0" fontId="50" fillId="0" borderId="10" xfId="0" applyNumberFormat="1" applyFont="1" applyFill="1" applyBorder="1" applyAlignment="1">
      <alignment horizontal="right" vertical="center"/>
    </xf>
    <xf numFmtId="4" fontId="52" fillId="0" borderId="10" xfId="0" applyNumberFormat="1" applyFont="1" applyFill="1" applyBorder="1" applyAlignment="1">
      <alignment horizontal="right" vertical="center"/>
    </xf>
    <xf numFmtId="3" fontId="52" fillId="0" borderId="10" xfId="0" applyNumberFormat="1" applyFont="1" applyFill="1" applyBorder="1" applyAlignment="1">
      <alignment horizontal="right" vertical="center"/>
    </xf>
    <xf numFmtId="2" fontId="50" fillId="0" borderId="10" xfId="0" applyNumberFormat="1" applyFont="1" applyFill="1" applyBorder="1" applyAlignment="1">
      <alignment horizontal="right" vertical="center"/>
    </xf>
    <xf numFmtId="4" fontId="50" fillId="0" borderId="10" xfId="0" applyNumberFormat="1" applyFont="1" applyFill="1" applyBorder="1" applyAlignment="1">
      <alignment horizontal="right" vertical="center"/>
    </xf>
    <xf numFmtId="3" fontId="50" fillId="0" borderId="10" xfId="0" applyNumberFormat="1" applyFont="1" applyFill="1" applyBorder="1" applyAlignment="1">
      <alignment horizontal="right" vertical="center"/>
    </xf>
    <xf numFmtId="2" fontId="50" fillId="0" borderId="40" xfId="0" applyNumberFormat="1" applyFont="1" applyFill="1" applyBorder="1" applyAlignment="1">
      <alignment horizontal="right" vertical="center"/>
    </xf>
    <xf numFmtId="0" fontId="50" fillId="0" borderId="43" xfId="0" applyNumberFormat="1" applyFont="1" applyFill="1" applyBorder="1" applyAlignment="1">
      <alignment horizontal="left" vertical="center"/>
    </xf>
    <xf numFmtId="0" fontId="50" fillId="0" borderId="44" xfId="0" applyNumberFormat="1" applyFont="1" applyFill="1" applyBorder="1" applyAlignment="1">
      <alignment horizontal="left" vertical="center"/>
    </xf>
    <xf numFmtId="0" fontId="50" fillId="0" borderId="44" xfId="0" applyNumberFormat="1" applyFont="1" applyFill="1" applyBorder="1" applyAlignment="1">
      <alignment horizontal="right" vertical="center"/>
    </xf>
    <xf numFmtId="4" fontId="52" fillId="0" borderId="44" xfId="0" applyNumberFormat="1" applyFont="1" applyFill="1" applyBorder="1" applyAlignment="1">
      <alignment horizontal="right" vertical="center"/>
    </xf>
    <xf numFmtId="3" fontId="52" fillId="0" borderId="44" xfId="0" applyNumberFormat="1" applyFont="1" applyFill="1" applyBorder="1" applyAlignment="1">
      <alignment horizontal="right" vertical="center"/>
    </xf>
    <xf numFmtId="3" fontId="50" fillId="0" borderId="44" xfId="68" applyNumberFormat="1" applyFont="1" applyFill="1" applyBorder="1" applyAlignment="1" applyProtection="1">
      <alignment horizontal="right" vertical="center"/>
      <protection/>
    </xf>
    <xf numFmtId="2" fontId="50" fillId="0" borderId="44" xfId="68" applyNumberFormat="1" applyFont="1" applyFill="1" applyBorder="1" applyAlignment="1" applyProtection="1">
      <alignment horizontal="right" vertical="center"/>
      <protection/>
    </xf>
    <xf numFmtId="4" fontId="50" fillId="0" borderId="44" xfId="0" applyNumberFormat="1" applyFont="1" applyFill="1" applyBorder="1" applyAlignment="1">
      <alignment horizontal="right" vertical="center"/>
    </xf>
    <xf numFmtId="3" fontId="50" fillId="0" borderId="44" xfId="0" applyNumberFormat="1" applyFont="1" applyFill="1" applyBorder="1" applyAlignment="1">
      <alignment horizontal="right" vertical="center"/>
    </xf>
    <xf numFmtId="2" fontId="50" fillId="0" borderId="45" xfId="68" applyNumberFormat="1" applyFont="1" applyFill="1" applyBorder="1" applyAlignment="1" applyProtection="1">
      <alignment horizontal="right" vertical="center"/>
      <protection/>
    </xf>
    <xf numFmtId="184" fontId="50" fillId="0" borderId="38" xfId="0" applyNumberFormat="1" applyFont="1" applyFill="1" applyBorder="1" applyAlignment="1" applyProtection="1">
      <alignment horizontal="center" vertical="center"/>
      <protection locked="0"/>
    </xf>
    <xf numFmtId="0" fontId="50" fillId="0" borderId="12" xfId="55" applyNumberFormat="1" applyFont="1" applyFill="1" applyBorder="1" applyAlignment="1">
      <alignment horizontal="left" vertical="center"/>
      <protection/>
    </xf>
    <xf numFmtId="4" fontId="52" fillId="0" borderId="12" xfId="43" applyNumberFormat="1" applyFont="1" applyFill="1" applyBorder="1" applyAlignment="1" applyProtection="1">
      <alignment horizontal="right" vertical="center"/>
      <protection locked="0"/>
    </xf>
    <xf numFmtId="2" fontId="50" fillId="0" borderId="12" xfId="43" applyNumberFormat="1" applyFont="1" applyFill="1" applyBorder="1" applyAlignment="1" applyProtection="1">
      <alignment horizontal="right" vertical="center"/>
      <protection/>
    </xf>
    <xf numFmtId="4" fontId="50" fillId="0" borderId="12" xfId="43" applyNumberFormat="1" applyFont="1" applyFill="1" applyBorder="1" applyAlignment="1" applyProtection="1">
      <alignment horizontal="right" vertical="center"/>
      <protection locked="0"/>
    </xf>
    <xf numFmtId="2" fontId="50" fillId="0" borderId="41" xfId="43" applyNumberFormat="1" applyFont="1" applyFill="1" applyBorder="1" applyAlignment="1" applyProtection="1">
      <alignment horizontal="right" vertical="center"/>
      <protection/>
    </xf>
    <xf numFmtId="0" fontId="31" fillId="0" borderId="0"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9" fillId="0" borderId="29" xfId="0" applyFont="1" applyFill="1" applyBorder="1" applyAlignment="1" applyProtection="1">
      <alignment horizontal="right" wrapText="1"/>
      <protection locked="0"/>
    </xf>
    <xf numFmtId="0" fontId="39" fillId="0" borderId="11" xfId="0" applyFont="1" applyFill="1" applyBorder="1" applyAlignment="1" applyProtection="1">
      <alignment horizontal="right" wrapText="1"/>
      <protection locked="0"/>
    </xf>
    <xf numFmtId="0" fontId="39" fillId="0" borderId="46" xfId="0" applyFont="1" applyFill="1" applyBorder="1" applyAlignment="1" applyProtection="1">
      <alignment horizontal="right" wrapText="1"/>
      <protection locked="0"/>
    </xf>
    <xf numFmtId="0" fontId="39" fillId="0" borderId="47" xfId="0" applyFont="1" applyFill="1" applyBorder="1" applyAlignment="1" applyProtection="1">
      <alignment horizontal="right" wrapText="1"/>
      <protection locked="0"/>
    </xf>
    <xf numFmtId="0" fontId="35" fillId="0" borderId="11" xfId="0" applyFont="1" applyFill="1" applyBorder="1" applyAlignment="1" applyProtection="1">
      <alignment horizontal="right" vertical="center" wrapText="1"/>
      <protection locked="0"/>
    </xf>
    <xf numFmtId="0" fontId="9" fillId="0" borderId="11" xfId="0" applyFont="1" applyFill="1" applyBorder="1" applyAlignment="1">
      <alignment horizontal="right"/>
    </xf>
    <xf numFmtId="0" fontId="9" fillId="0" borderId="0" xfId="0" applyFont="1" applyFill="1" applyAlignment="1">
      <alignment horizontal="right"/>
    </xf>
    <xf numFmtId="0" fontId="8" fillId="0" borderId="29" xfId="0" applyNumberFormat="1" applyFont="1" applyFill="1" applyBorder="1" applyAlignment="1" applyProtection="1">
      <alignment horizontal="right" vertical="center"/>
      <protection locked="0"/>
    </xf>
    <xf numFmtId="3" fontId="52" fillId="0" borderId="12" xfId="0" applyNumberFormat="1" applyFont="1" applyFill="1" applyBorder="1" applyAlignment="1">
      <alignment horizontal="right" vertical="center"/>
    </xf>
    <xf numFmtId="0" fontId="50" fillId="0" borderId="37" xfId="0" applyNumberFormat="1" applyFont="1" applyFill="1" applyBorder="1" applyAlignment="1">
      <alignment horizontal="left" vertical="center"/>
    </xf>
    <xf numFmtId="0" fontId="50" fillId="0" borderId="38" xfId="0" applyNumberFormat="1" applyFont="1" applyFill="1" applyBorder="1" applyAlignment="1">
      <alignment horizontal="left" vertical="center"/>
    </xf>
    <xf numFmtId="0" fontId="50" fillId="0" borderId="38" xfId="0" applyNumberFormat="1" applyFont="1" applyFill="1" applyBorder="1" applyAlignment="1">
      <alignment horizontal="right" vertical="center"/>
    </xf>
    <xf numFmtId="4" fontId="52" fillId="0" borderId="38" xfId="0" applyNumberFormat="1" applyFont="1" applyFill="1" applyBorder="1" applyAlignment="1">
      <alignment horizontal="right" vertical="center"/>
    </xf>
    <xf numFmtId="3" fontId="52" fillId="0" borderId="38" xfId="0" applyNumberFormat="1" applyFont="1" applyFill="1" applyBorder="1" applyAlignment="1">
      <alignment horizontal="right" vertical="center"/>
    </xf>
    <xf numFmtId="2" fontId="50" fillId="0" borderId="39" xfId="0" applyNumberFormat="1" applyFont="1" applyFill="1" applyBorder="1" applyAlignment="1">
      <alignment horizontal="right" vertical="center"/>
    </xf>
    <xf numFmtId="0" fontId="50" fillId="0" borderId="43" xfId="0" applyNumberFormat="1" applyFont="1" applyFill="1" applyBorder="1" applyAlignment="1">
      <alignment horizontal="left" vertical="center"/>
    </xf>
    <xf numFmtId="3" fontId="52" fillId="0" borderId="44" xfId="0" applyNumberFormat="1" applyFont="1" applyFill="1" applyBorder="1" applyAlignment="1">
      <alignment horizontal="right" vertical="center"/>
    </xf>
    <xf numFmtId="2" fontId="50" fillId="0" borderId="45" xfId="0" applyNumberFormat="1" applyFont="1" applyFill="1" applyBorder="1" applyAlignment="1">
      <alignment horizontal="right" vertical="center"/>
    </xf>
    <xf numFmtId="184" fontId="50" fillId="0" borderId="44" xfId="0" applyNumberFormat="1" applyFont="1" applyFill="1" applyBorder="1" applyAlignment="1">
      <alignment horizontal="center" vertical="center"/>
    </xf>
    <xf numFmtId="184" fontId="50" fillId="0" borderId="10" xfId="0" applyNumberFormat="1" applyFont="1" applyFill="1" applyBorder="1" applyAlignment="1">
      <alignment horizontal="center" vertical="center"/>
    </xf>
    <xf numFmtId="184" fontId="50" fillId="0" borderId="38" xfId="0" applyNumberFormat="1" applyFont="1" applyFill="1" applyBorder="1" applyAlignment="1">
      <alignment horizontal="center" vertical="center"/>
    </xf>
    <xf numFmtId="0" fontId="40" fillId="0" borderId="11" xfId="0"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lignment vertical="center" wrapText="1"/>
    </xf>
    <xf numFmtId="0" fontId="20" fillId="33" borderId="10" xfId="0" applyFont="1" applyFill="1" applyBorder="1" applyAlignment="1">
      <alignment horizontal="center" vertical="center"/>
    </xf>
    <xf numFmtId="0" fontId="11" fillId="0" borderId="10" xfId="0" applyFont="1" applyBorder="1" applyAlignment="1">
      <alignment horizontal="center"/>
    </xf>
    <xf numFmtId="0" fontId="49" fillId="33" borderId="48" xfId="0" applyFont="1" applyFill="1" applyBorder="1" applyAlignment="1" applyProtection="1">
      <alignment horizontal="center" vertical="center"/>
      <protection/>
    </xf>
    <xf numFmtId="0" fontId="36" fillId="0" borderId="49" xfId="0" applyFont="1" applyBorder="1" applyAlignment="1">
      <alignment horizontal="center"/>
    </xf>
    <xf numFmtId="0" fontId="36" fillId="0" borderId="50" xfId="0" applyFont="1" applyBorder="1" applyAlignment="1">
      <alignment horizontal="center"/>
    </xf>
    <xf numFmtId="181" fontId="38" fillId="0" borderId="51" xfId="0" applyNumberFormat="1" applyFont="1" applyFill="1" applyBorder="1" applyAlignment="1" applyProtection="1">
      <alignment horizontal="center" wrapText="1"/>
      <protection/>
    </xf>
    <xf numFmtId="0" fontId="38" fillId="0" borderId="51" xfId="0" applyFont="1" applyBorder="1" applyAlignment="1">
      <alignment horizontal="center"/>
    </xf>
    <xf numFmtId="0" fontId="38" fillId="0" borderId="52" xfId="0" applyFont="1" applyBorder="1" applyAlignment="1">
      <alignment horizontal="center"/>
    </xf>
    <xf numFmtId="0" fontId="38" fillId="0" borderId="51" xfId="0" applyNumberFormat="1" applyFont="1" applyFill="1" applyBorder="1" applyAlignment="1" applyProtection="1">
      <alignment horizontal="center" wrapText="1"/>
      <protection/>
    </xf>
    <xf numFmtId="0" fontId="38" fillId="0" borderId="20" xfId="0" applyFont="1" applyBorder="1" applyAlignment="1">
      <alignment horizontal="center"/>
    </xf>
    <xf numFmtId="43" fontId="38" fillId="0" borderId="53" xfId="40" applyFont="1" applyFill="1" applyBorder="1" applyAlignment="1" applyProtection="1">
      <alignment horizontal="center" wrapText="1"/>
      <protection/>
    </xf>
    <xf numFmtId="0" fontId="38" fillId="0" borderId="54" xfId="0" applyFont="1" applyBorder="1" applyAlignment="1">
      <alignment horizontal="center"/>
    </xf>
    <xf numFmtId="0" fontId="38" fillId="0" borderId="51" xfId="0" applyFont="1" applyFill="1" applyBorder="1" applyAlignment="1" applyProtection="1">
      <alignment horizontal="center" wrapText="1"/>
      <protection/>
    </xf>
    <xf numFmtId="4" fontId="38" fillId="0" borderId="51" xfId="0" applyNumberFormat="1" applyFont="1" applyFill="1" applyBorder="1" applyAlignment="1" applyProtection="1">
      <alignment horizontal="center" wrapText="1"/>
      <protection/>
    </xf>
    <xf numFmtId="184" fontId="38" fillId="0" borderId="51" xfId="0" applyNumberFormat="1" applyFont="1" applyFill="1" applyBorder="1" applyAlignment="1" applyProtection="1">
      <alignment horizontal="center" wrapText="1"/>
      <protection/>
    </xf>
    <xf numFmtId="0" fontId="38" fillId="0" borderId="28" xfId="0" applyNumberFormat="1" applyFont="1" applyFill="1" applyBorder="1" applyAlignment="1">
      <alignment horizontal="center" wrapText="1"/>
    </xf>
    <xf numFmtId="184" fontId="38" fillId="0" borderId="0" xfId="0" applyNumberFormat="1" applyFont="1" applyFill="1" applyBorder="1" applyAlignment="1">
      <alignment horizontal="center" wrapText="1"/>
    </xf>
    <xf numFmtId="0" fontId="38" fillId="0" borderId="0" xfId="0" applyNumberFormat="1" applyFont="1" applyFill="1" applyBorder="1" applyAlignment="1">
      <alignment horizontal="center" wrapText="1"/>
    </xf>
    <xf numFmtId="0" fontId="38" fillId="0" borderId="0" xfId="0" applyNumberFormat="1" applyFont="1" applyFill="1" applyBorder="1" applyAlignment="1" applyProtection="1">
      <alignment horizontal="center" wrapText="1"/>
      <protection/>
    </xf>
    <xf numFmtId="192" fontId="38" fillId="0" borderId="55" xfId="0" applyNumberFormat="1" applyFont="1" applyFill="1" applyBorder="1" applyAlignment="1" applyProtection="1">
      <alignment horizontal="center" wrapText="1"/>
      <protection/>
    </xf>
    <xf numFmtId="0" fontId="49" fillId="33" borderId="0" xfId="0" applyFont="1" applyFill="1" applyBorder="1" applyAlignment="1" applyProtection="1">
      <alignment horizontal="center" vertical="center" wrapText="1"/>
      <protection/>
    </xf>
    <xf numFmtId="0" fontId="0" fillId="0" borderId="0" xfId="0" applyAlignment="1">
      <alignment horizontal="center" wrapText="1"/>
    </xf>
    <xf numFmtId="2" fontId="38" fillId="0" borderId="51" xfId="0" applyNumberFormat="1" applyFont="1" applyFill="1" applyBorder="1" applyAlignment="1" applyProtection="1">
      <alignment horizontal="center" wrapText="1"/>
      <protection/>
    </xf>
    <xf numFmtId="2" fontId="38" fillId="0" borderId="52" xfId="0" applyNumberFormat="1" applyFont="1" applyFill="1" applyBorder="1" applyAlignment="1" applyProtection="1">
      <alignment horizontal="center" wrapText="1"/>
      <protection/>
    </xf>
    <xf numFmtId="0" fontId="49" fillId="33" borderId="56" xfId="0" applyFont="1" applyFill="1" applyBorder="1" applyAlignment="1" applyProtection="1">
      <alignment horizontal="center" vertical="center" wrapText="1"/>
      <protection/>
    </xf>
    <xf numFmtId="0" fontId="0" fillId="0" borderId="56" xfId="0" applyBorder="1" applyAlignment="1">
      <alignment horizontal="center" wrapText="1"/>
    </xf>
    <xf numFmtId="0" fontId="38" fillId="0" borderId="33" xfId="0" applyFont="1" applyBorder="1" applyAlignment="1">
      <alignment horizontal="center"/>
    </xf>
    <xf numFmtId="0" fontId="38" fillId="0" borderId="57" xfId="0" applyFont="1" applyBorder="1" applyAlignment="1">
      <alignment horizontal="center"/>
    </xf>
    <xf numFmtId="184" fontId="38" fillId="0" borderId="33" xfId="0" applyNumberFormat="1" applyFont="1" applyBorder="1" applyAlignment="1">
      <alignment horizontal="center"/>
    </xf>
    <xf numFmtId="0" fontId="38" fillId="0" borderId="33" xfId="0" applyFont="1" applyBorder="1" applyAlignment="1">
      <alignment horizont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2" xfId="55"/>
    <cellStyle name="Not" xfId="56"/>
    <cellStyle name="Nötr" xfId="57"/>
    <cellStyle name="Currency" xfId="58"/>
    <cellStyle name="Currency [0]" xfId="59"/>
    <cellStyle name="Toplam" xfId="60"/>
    <cellStyle name="Uyarı Metni" xfId="61"/>
    <cellStyle name="Vurgu1" xfId="62"/>
    <cellStyle name="Vurgu2" xfId="63"/>
    <cellStyle name="Vurgu3" xfId="64"/>
    <cellStyle name="Vurgu4" xfId="65"/>
    <cellStyle name="Vurgu5" xfId="66"/>
    <cellStyle name="Vurgu6"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14</xdr:col>
      <xdr:colOff>0</xdr:colOff>
      <xdr:row>0</xdr:row>
      <xdr:rowOff>590550</xdr:rowOff>
    </xdr:to>
    <xdr:sp>
      <xdr:nvSpPr>
        <xdr:cNvPr id="1" name="Text Box 1"/>
        <xdr:cNvSpPr txBox="1">
          <a:spLocks noChangeArrowheads="1"/>
        </xdr:cNvSpPr>
      </xdr:nvSpPr>
      <xdr:spPr>
        <a:xfrm>
          <a:off x="28575" y="66675"/>
          <a:ext cx="12725400" cy="523875"/>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WEEKLY BOX OFFICE &amp; ADMISSION REPORT</a:t>
          </a:r>
        </a:p>
      </xdr:txBody>
    </xdr:sp>
    <xdr:clientData/>
  </xdr:twoCellAnchor>
  <xdr:twoCellAnchor>
    <xdr:from>
      <xdr:col>2</xdr:col>
      <xdr:colOff>180975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4543425" y="600075"/>
          <a:ext cx="8210550" cy="304800"/>
        </a:xfrm>
        <a:prstGeom prst="rect">
          <a:avLst/>
        </a:prstGeom>
        <a:solidFill>
          <a:srgbClr val="C0C0C0"/>
        </a:solidFill>
        <a:ln w="9525" cmpd="sng">
          <a:noFill/>
        </a:ln>
      </xdr:spPr>
      <xdr:txBody>
        <a:bodyPr vertOverflow="clip" wrap="square" lIns="0" tIns="27432" rIns="36576" bIns="0"/>
        <a:p>
          <a:pPr algn="r">
            <a:defRPr/>
          </a:pPr>
          <a:r>
            <a:rPr lang="en-US" cap="none" sz="2000" b="1" i="0" u="none" baseline="0">
              <a:solidFill>
                <a:srgbClr val="900000"/>
              </a:solidFill>
              <a:latin typeface="Administer"/>
              <a:ea typeface="Administer"/>
              <a:cs typeface="Administer"/>
            </a:rPr>
            <a:t>week: 08</a:t>
          </a:r>
          <a:r>
            <a:rPr lang="en-US" cap="none" sz="2000" b="0" i="0" u="none" baseline="0">
              <a:solidFill>
                <a:srgbClr val="000000"/>
              </a:solidFill>
              <a:latin typeface="Administer"/>
              <a:ea typeface="Administer"/>
              <a:cs typeface="Administer"/>
            </a:rPr>
            <a:t> 18-24 February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9</xdr:col>
      <xdr:colOff>0</xdr:colOff>
      <xdr:row>0</xdr:row>
      <xdr:rowOff>581025</xdr:rowOff>
    </xdr:to>
    <xdr:sp>
      <xdr:nvSpPr>
        <xdr:cNvPr id="1" name="Text Box 1"/>
        <xdr:cNvSpPr txBox="1">
          <a:spLocks noChangeArrowheads="1"/>
        </xdr:cNvSpPr>
      </xdr:nvSpPr>
      <xdr:spPr>
        <a:xfrm>
          <a:off x="28575" y="66675"/>
          <a:ext cx="9058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000" b="1" i="0" u="none" baseline="0">
              <a:solidFill>
                <a:srgbClr val="000000"/>
              </a:solidFill>
              <a:latin typeface="AcidSansRegular"/>
              <a:ea typeface="AcidSansRegular"/>
              <a:cs typeface="AcidSansRegular"/>
            </a:rPr>
            <a:t>TÜRK</a:t>
          </a:r>
          <a:r>
            <a:rPr lang="en-US" cap="none" sz="2000" b="1" i="0" u="none" baseline="0">
              <a:solidFill>
                <a:srgbClr val="000000"/>
              </a:solidFill>
              <a:latin typeface="Arial"/>
              <a:ea typeface="Arial"/>
              <a:cs typeface="Arial"/>
            </a:rPr>
            <a:t>İ</a:t>
          </a:r>
          <a:r>
            <a:rPr lang="en-US" cap="none" sz="20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16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9</xdr:col>
      <xdr:colOff>0</xdr:colOff>
      <xdr:row>0</xdr:row>
      <xdr:rowOff>904875</xdr:rowOff>
    </xdr:to>
    <xdr:sp fLocksText="0">
      <xdr:nvSpPr>
        <xdr:cNvPr id="2" name="Text Box 2"/>
        <xdr:cNvSpPr txBox="1">
          <a:spLocks noChangeArrowheads="1"/>
        </xdr:cNvSpPr>
      </xdr:nvSpPr>
      <xdr:spPr>
        <a:xfrm>
          <a:off x="1809750" y="600075"/>
          <a:ext cx="727710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- 24 February 2011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14</xdr:col>
      <xdr:colOff>0</xdr:colOff>
      <xdr:row>0</xdr:row>
      <xdr:rowOff>581025</xdr:rowOff>
    </xdr:to>
    <xdr:sp>
      <xdr:nvSpPr>
        <xdr:cNvPr id="1" name="Text Box 1"/>
        <xdr:cNvSpPr txBox="1">
          <a:spLocks noChangeArrowheads="1"/>
        </xdr:cNvSpPr>
      </xdr:nvSpPr>
      <xdr:spPr>
        <a:xfrm>
          <a:off x="38100" y="66675"/>
          <a:ext cx="12106275" cy="514350"/>
        </a:xfrm>
        <a:prstGeom prst="rect">
          <a:avLst/>
        </a:prstGeom>
        <a:solidFill>
          <a:srgbClr val="C0C0C0"/>
        </a:solidFill>
        <a:ln w="38100" cmpd="dbl">
          <a:noFill/>
        </a:ln>
      </xdr:spPr>
      <xdr:txBody>
        <a:bodyPr vertOverflow="clip" wrap="square" lIns="73152" tIns="73152" rIns="73152" bIns="73152"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WEEKLY MARKET DATA</a:t>
          </a:r>
          <a:r>
            <a:rPr lang="en-US" cap="none" sz="2000" b="1" i="0" u="none" baseline="0">
              <a:solidFill>
                <a:srgbClr val="000000"/>
              </a:solidFill>
              <a:latin typeface="AcidSans-Light"/>
              <a:ea typeface="AcidSans-Light"/>
              <a:cs typeface="AcidSans-Light"/>
            </a:rPr>
            <a:t> </a:t>
          </a:r>
          <a:r>
            <a:rPr lang="en-US" cap="none" sz="2000" b="0" i="0" u="none" baseline="0">
              <a:solidFill>
                <a:srgbClr val="000000"/>
              </a:solidFill>
              <a:latin typeface="AcidSans-Regular"/>
              <a:ea typeface="AcidSans-Regular"/>
              <a:cs typeface="AcidSans-Regular"/>
            </a:rPr>
            <a:t>BOX OFFICE &amp; ADMISSION REPORT</a:t>
          </a:r>
        </a:p>
      </xdr:txBody>
    </xdr:sp>
    <xdr:clientData/>
  </xdr:twoCellAnchor>
  <xdr:twoCellAnchor>
    <xdr:from>
      <xdr:col>1</xdr:col>
      <xdr:colOff>1514475</xdr:colOff>
      <xdr:row>0</xdr:row>
      <xdr:rowOff>600075</xdr:rowOff>
    </xdr:from>
    <xdr:to>
      <xdr:col>14</xdr:col>
      <xdr:colOff>0</xdr:colOff>
      <xdr:row>0</xdr:row>
      <xdr:rowOff>904875</xdr:rowOff>
    </xdr:to>
    <xdr:sp fLocksText="0">
      <xdr:nvSpPr>
        <xdr:cNvPr id="2" name="Text Box 2"/>
        <xdr:cNvSpPr txBox="1">
          <a:spLocks noChangeArrowheads="1"/>
        </xdr:cNvSpPr>
      </xdr:nvSpPr>
      <xdr:spPr>
        <a:xfrm>
          <a:off x="1762125" y="600075"/>
          <a:ext cx="10382250" cy="304800"/>
        </a:xfrm>
        <a:prstGeom prst="rect">
          <a:avLst/>
        </a:prstGeom>
        <a:solidFill>
          <a:srgbClr val="C0C0C0"/>
        </a:solidFill>
        <a:ln w="9525" cmpd="sng">
          <a:noFill/>
        </a:ln>
      </xdr:spPr>
      <xdr:txBody>
        <a:bodyPr vertOverflow="clip" wrap="square" lIns="0" tIns="27432" rIns="36576" bIns="0"/>
        <a:p>
          <a:pPr algn="r">
            <a:defRPr/>
          </a:pPr>
          <a:r>
            <a:rPr lang="en-US" cap="none" sz="2000" b="0" i="0" u="none" baseline="0">
              <a:solidFill>
                <a:srgbClr val="900000"/>
              </a:solidFill>
              <a:latin typeface="Administer"/>
              <a:ea typeface="Administer"/>
              <a:cs typeface="Administer"/>
            </a:rPr>
            <a:t>ex years releases, annuel, all weeks</a:t>
          </a:r>
          <a:r>
            <a:rPr lang="en-US" cap="none" sz="2000" b="0" i="0" u="none" baseline="0">
              <a:solidFill>
                <a:srgbClr val="000000"/>
              </a:solidFill>
              <a:latin typeface="Administer"/>
              <a:ea typeface="Administer"/>
              <a:cs typeface="Administer"/>
            </a:rPr>
            <a:t> </a:t>
          </a:r>
          <a:r>
            <a:rPr lang="en-US" cap="none" sz="1600" b="0" i="0" u="none" baseline="0">
              <a:solidFill>
                <a:srgbClr val="000000"/>
              </a:solidFill>
              <a:latin typeface="Administer"/>
              <a:ea typeface="Administer"/>
              <a:cs typeface="Administer"/>
            </a:rPr>
            <a:t>/</a:t>
          </a:r>
          <a:r>
            <a:rPr lang="en-US" cap="none" sz="2000" b="0" i="0" u="none" baseline="0">
              <a:solidFill>
                <a:srgbClr val="000000"/>
              </a:solidFill>
              <a:latin typeface="Administer"/>
              <a:ea typeface="Administer"/>
              <a:cs typeface="Administer"/>
            </a:rPr>
            <a:t> 31 December - 24 February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95"/>
  <sheetViews>
    <sheetView showGridLines="0" tabSelected="1" zoomScale="90" zoomScaleNormal="90" zoomScalePageLayoutView="0" workbookViewId="0" topLeftCell="A1">
      <selection activeCell="A20" sqref="A20:IV20"/>
    </sheetView>
  </sheetViews>
  <sheetFormatPr defaultColWidth="9.140625" defaultRowHeight="12.75"/>
  <cols>
    <col min="1" max="1" width="3.421875" style="75" bestFit="1" customWidth="1"/>
    <col min="2" max="2" width="62.00390625" style="45" bestFit="1" customWidth="1"/>
    <col min="3" max="3" width="9.140625" style="46" bestFit="1" customWidth="1"/>
    <col min="4" max="4" width="22.7109375" style="47" bestFit="1" customWidth="1"/>
    <col min="5" max="5" width="7.140625" style="26" bestFit="1" customWidth="1"/>
    <col min="6" max="6" width="8.140625" style="26" customWidth="1"/>
    <col min="7" max="7" width="9.421875" style="26" customWidth="1"/>
    <col min="8" max="8" width="13.57421875" style="42" bestFit="1" customWidth="1"/>
    <col min="9" max="9" width="8.57421875" style="43" bestFit="1" customWidth="1"/>
    <col min="10" max="10" width="8.140625" style="29" customWidth="1"/>
    <col min="11" max="11" width="7.28125" style="30" bestFit="1" customWidth="1"/>
    <col min="12" max="12" width="14.28125" style="44" bestFit="1" customWidth="1"/>
    <col min="13" max="13" width="10.140625" style="32" bestFit="1" customWidth="1"/>
    <col min="14" max="14" width="7.28125" style="60" bestFit="1" customWidth="1"/>
    <col min="15" max="16" width="2.28125" style="65" bestFit="1" customWidth="1"/>
    <col min="17" max="16384" width="9.140625" style="3" customWidth="1"/>
  </cols>
  <sheetData>
    <row r="1" spans="1:16" s="1" customFormat="1" ht="72" customHeight="1">
      <c r="A1" s="74"/>
      <c r="B1" s="48"/>
      <c r="C1" s="49"/>
      <c r="D1" s="50"/>
      <c r="E1" s="51"/>
      <c r="F1" s="51"/>
      <c r="G1" s="51"/>
      <c r="H1" s="52"/>
      <c r="I1" s="53"/>
      <c r="J1" s="54"/>
      <c r="K1" s="55"/>
      <c r="L1" s="56"/>
      <c r="M1" s="57"/>
      <c r="N1" s="58"/>
      <c r="O1" s="62"/>
      <c r="P1" s="62"/>
    </row>
    <row r="2" spans="1:16" s="5" customFormat="1" ht="22.5" customHeight="1" thickBot="1">
      <c r="A2" s="462" t="s">
        <v>69</v>
      </c>
      <c r="B2" s="463"/>
      <c r="C2" s="463"/>
      <c r="D2" s="463"/>
      <c r="E2" s="463"/>
      <c r="F2" s="463"/>
      <c r="G2" s="463"/>
      <c r="H2" s="463"/>
      <c r="I2" s="463"/>
      <c r="J2" s="463"/>
      <c r="K2" s="463"/>
      <c r="L2" s="463"/>
      <c r="M2" s="463"/>
      <c r="N2" s="464"/>
      <c r="O2" s="63"/>
      <c r="P2" s="63"/>
    </row>
    <row r="3" spans="1:16" s="88" customFormat="1" ht="12.75">
      <c r="A3" s="86"/>
      <c r="B3" s="470" t="s">
        <v>6</v>
      </c>
      <c r="C3" s="474" t="s">
        <v>43</v>
      </c>
      <c r="D3" s="472" t="s">
        <v>33</v>
      </c>
      <c r="E3" s="468" t="s">
        <v>44</v>
      </c>
      <c r="F3" s="468" t="s">
        <v>51</v>
      </c>
      <c r="G3" s="468" t="s">
        <v>32</v>
      </c>
      <c r="H3" s="473" t="s">
        <v>45</v>
      </c>
      <c r="I3" s="473"/>
      <c r="J3" s="473"/>
      <c r="K3" s="473"/>
      <c r="L3" s="465" t="s">
        <v>46</v>
      </c>
      <c r="M3" s="466"/>
      <c r="N3" s="467"/>
      <c r="O3" s="87"/>
      <c r="P3" s="87"/>
    </row>
    <row r="4" spans="1:16" s="88" customFormat="1" ht="39" thickBot="1">
      <c r="A4" s="89"/>
      <c r="B4" s="471"/>
      <c r="C4" s="469"/>
      <c r="D4" s="469"/>
      <c r="E4" s="469"/>
      <c r="F4" s="469"/>
      <c r="G4" s="469"/>
      <c r="H4" s="90" t="s">
        <v>47</v>
      </c>
      <c r="I4" s="91" t="s">
        <v>48</v>
      </c>
      <c r="J4" s="91" t="s">
        <v>38</v>
      </c>
      <c r="K4" s="92" t="s">
        <v>49</v>
      </c>
      <c r="L4" s="90" t="s">
        <v>47</v>
      </c>
      <c r="M4" s="91" t="s">
        <v>48</v>
      </c>
      <c r="N4" s="93" t="s">
        <v>50</v>
      </c>
      <c r="O4" s="87"/>
      <c r="P4" s="87"/>
    </row>
    <row r="5" spans="1:16" s="2" customFormat="1" ht="15">
      <c r="A5" s="94">
        <v>1</v>
      </c>
      <c r="B5" s="384" t="s">
        <v>146</v>
      </c>
      <c r="C5" s="229">
        <v>40578</v>
      </c>
      <c r="D5" s="386" t="s">
        <v>23</v>
      </c>
      <c r="E5" s="387">
        <v>224</v>
      </c>
      <c r="F5" s="387">
        <v>360</v>
      </c>
      <c r="G5" s="387">
        <v>3</v>
      </c>
      <c r="H5" s="388">
        <v>3811736</v>
      </c>
      <c r="I5" s="389">
        <v>415293</v>
      </c>
      <c r="J5" s="390">
        <f>I5/F5</f>
        <v>1153.5916666666667</v>
      </c>
      <c r="K5" s="391">
        <f>+H5/I5</f>
        <v>9.178425834290488</v>
      </c>
      <c r="L5" s="392">
        <v>15538873</v>
      </c>
      <c r="M5" s="393">
        <v>1657463</v>
      </c>
      <c r="N5" s="394">
        <f>+L5/M5</f>
        <v>9.375094949329185</v>
      </c>
      <c r="O5" s="408">
        <v>1</v>
      </c>
      <c r="P5" s="266"/>
    </row>
    <row r="6" spans="1:16" s="2" customFormat="1" ht="15">
      <c r="A6" s="94">
        <v>2</v>
      </c>
      <c r="B6" s="311" t="s">
        <v>159</v>
      </c>
      <c r="C6" s="173">
        <v>40550</v>
      </c>
      <c r="D6" s="283" t="s">
        <v>23</v>
      </c>
      <c r="E6" s="284">
        <v>356</v>
      </c>
      <c r="F6" s="284">
        <v>278</v>
      </c>
      <c r="G6" s="284">
        <v>7</v>
      </c>
      <c r="H6" s="231">
        <v>1117213</v>
      </c>
      <c r="I6" s="194">
        <v>130395</v>
      </c>
      <c r="J6" s="175">
        <f>I6/F6</f>
        <v>469.04676258992805</v>
      </c>
      <c r="K6" s="232">
        <f>+H6/I6</f>
        <v>8.567912880095095</v>
      </c>
      <c r="L6" s="233">
        <v>35701725</v>
      </c>
      <c r="M6" s="176">
        <v>3816137</v>
      </c>
      <c r="N6" s="252">
        <f>+L6/M6</f>
        <v>9.35546208115694</v>
      </c>
      <c r="O6" s="408">
        <v>1</v>
      </c>
      <c r="P6" s="266"/>
    </row>
    <row r="7" spans="1:16" s="2" customFormat="1" ht="15.75" thickBot="1">
      <c r="A7" s="328">
        <v>3</v>
      </c>
      <c r="B7" s="418" t="s">
        <v>160</v>
      </c>
      <c r="C7" s="454">
        <v>40571</v>
      </c>
      <c r="D7" s="419" t="s">
        <v>26</v>
      </c>
      <c r="E7" s="420">
        <v>364</v>
      </c>
      <c r="F7" s="420">
        <v>312</v>
      </c>
      <c r="G7" s="420">
        <v>4</v>
      </c>
      <c r="H7" s="421">
        <v>863944.5</v>
      </c>
      <c r="I7" s="422">
        <v>104665</v>
      </c>
      <c r="J7" s="423">
        <f>+I7/F7</f>
        <v>335.4647435897436</v>
      </c>
      <c r="K7" s="424">
        <f>+H7/I7</f>
        <v>8.254378254430803</v>
      </c>
      <c r="L7" s="425">
        <f>9270289+4217769.25+1762200.5+76.25+863944.5</f>
        <v>16114279.5</v>
      </c>
      <c r="M7" s="426">
        <f>1060415+493112+207846+16+104665</f>
        <v>1866054</v>
      </c>
      <c r="N7" s="427">
        <f>+L7/M7</f>
        <v>8.635484021362727</v>
      </c>
      <c r="O7" s="408">
        <v>1</v>
      </c>
      <c r="P7" s="266"/>
    </row>
    <row r="8" spans="1:16" s="2" customFormat="1" ht="15">
      <c r="A8" s="95">
        <v>4</v>
      </c>
      <c r="B8" s="409" t="s">
        <v>161</v>
      </c>
      <c r="C8" s="455">
        <v>40592</v>
      </c>
      <c r="D8" s="410" t="s">
        <v>23</v>
      </c>
      <c r="E8" s="411">
        <v>27</v>
      </c>
      <c r="F8" s="411">
        <v>27</v>
      </c>
      <c r="G8" s="411">
        <v>1</v>
      </c>
      <c r="H8" s="412">
        <v>626361</v>
      </c>
      <c r="I8" s="413">
        <v>46803</v>
      </c>
      <c r="J8" s="350">
        <f>I8/F8</f>
        <v>1733.4444444444443</v>
      </c>
      <c r="K8" s="414">
        <f>+H8/I8</f>
        <v>13.382924171527467</v>
      </c>
      <c r="L8" s="415">
        <v>626361</v>
      </c>
      <c r="M8" s="416">
        <v>46803</v>
      </c>
      <c r="N8" s="417">
        <f>+L8/M8</f>
        <v>13.382924171527467</v>
      </c>
      <c r="O8" s="408"/>
      <c r="P8" s="266"/>
    </row>
    <row r="9" spans="1:16" s="4" customFormat="1" ht="15">
      <c r="A9" s="94">
        <v>5</v>
      </c>
      <c r="B9" s="257" t="s">
        <v>154</v>
      </c>
      <c r="C9" s="169">
        <v>40585</v>
      </c>
      <c r="D9" s="286" t="s">
        <v>24</v>
      </c>
      <c r="E9" s="285">
        <v>89</v>
      </c>
      <c r="F9" s="285">
        <v>88</v>
      </c>
      <c r="G9" s="285">
        <v>2</v>
      </c>
      <c r="H9" s="234">
        <v>453346</v>
      </c>
      <c r="I9" s="192">
        <v>43740</v>
      </c>
      <c r="J9" s="172">
        <f>I9/F9</f>
        <v>497.04545454545456</v>
      </c>
      <c r="K9" s="235">
        <f>H9/I9</f>
        <v>10.364563328760859</v>
      </c>
      <c r="L9" s="236">
        <v>1145311</v>
      </c>
      <c r="M9" s="171">
        <v>110188</v>
      </c>
      <c r="N9" s="254">
        <f>+L9/M9</f>
        <v>10.394153628344284</v>
      </c>
      <c r="O9" s="408"/>
      <c r="P9" s="266"/>
    </row>
    <row r="10" spans="1:16" s="4" customFormat="1" ht="15">
      <c r="A10" s="94">
        <v>6</v>
      </c>
      <c r="B10" s="257" t="s">
        <v>144</v>
      </c>
      <c r="C10" s="169">
        <v>40578</v>
      </c>
      <c r="D10" s="286" t="s">
        <v>17</v>
      </c>
      <c r="E10" s="285">
        <v>79</v>
      </c>
      <c r="F10" s="285">
        <v>79</v>
      </c>
      <c r="G10" s="285">
        <v>3</v>
      </c>
      <c r="H10" s="243">
        <v>406869.5</v>
      </c>
      <c r="I10" s="197">
        <v>33287</v>
      </c>
      <c r="J10" s="179">
        <f>IF(H10&lt;&gt;0,I10/F10,"")</f>
        <v>421.3544303797468</v>
      </c>
      <c r="K10" s="241">
        <f>IF(H10&lt;&gt;0,H10/I10,"")</f>
        <v>12.223075074353352</v>
      </c>
      <c r="L10" s="244">
        <f>1249630.5+757498.5+406869.5</f>
        <v>2413998.5</v>
      </c>
      <c r="M10" s="175">
        <f>100473+61059+33287</f>
        <v>194819</v>
      </c>
      <c r="N10" s="258">
        <f>IF(L10&lt;&gt;0,L10/M10,"")</f>
        <v>12.390980859156448</v>
      </c>
      <c r="O10" s="408"/>
      <c r="P10" s="266"/>
    </row>
    <row r="11" spans="1:16" s="4" customFormat="1" ht="15">
      <c r="A11" s="94">
        <v>7</v>
      </c>
      <c r="B11" s="257" t="s">
        <v>162</v>
      </c>
      <c r="C11" s="169">
        <v>40592</v>
      </c>
      <c r="D11" s="286" t="s">
        <v>24</v>
      </c>
      <c r="E11" s="285">
        <v>168</v>
      </c>
      <c r="F11" s="285">
        <v>118</v>
      </c>
      <c r="G11" s="285">
        <v>1</v>
      </c>
      <c r="H11" s="234">
        <v>365764</v>
      </c>
      <c r="I11" s="192">
        <v>32285</v>
      </c>
      <c r="J11" s="172">
        <f>I11/F11</f>
        <v>273.60169491525426</v>
      </c>
      <c r="K11" s="235">
        <f>H11/I11</f>
        <v>11.32922409787827</v>
      </c>
      <c r="L11" s="236">
        <v>365764</v>
      </c>
      <c r="M11" s="171">
        <v>32285</v>
      </c>
      <c r="N11" s="254">
        <f>+L11/M11</f>
        <v>11.32922409787827</v>
      </c>
      <c r="O11" s="408"/>
      <c r="P11" s="266"/>
    </row>
    <row r="12" spans="1:16" s="4" customFormat="1" ht="15">
      <c r="A12" s="95">
        <v>8</v>
      </c>
      <c r="B12" s="311" t="s">
        <v>163</v>
      </c>
      <c r="C12" s="173">
        <v>40592</v>
      </c>
      <c r="D12" s="283" t="s">
        <v>23</v>
      </c>
      <c r="E12" s="284">
        <v>80</v>
      </c>
      <c r="F12" s="284">
        <v>80</v>
      </c>
      <c r="G12" s="284">
        <v>1</v>
      </c>
      <c r="H12" s="231">
        <v>281000</v>
      </c>
      <c r="I12" s="194">
        <v>31553</v>
      </c>
      <c r="J12" s="175">
        <f>I12/F12</f>
        <v>394.4125</v>
      </c>
      <c r="K12" s="232">
        <f>+H12/I12</f>
        <v>8.905650809748677</v>
      </c>
      <c r="L12" s="233">
        <v>281000</v>
      </c>
      <c r="M12" s="176">
        <v>31553</v>
      </c>
      <c r="N12" s="252">
        <f>+L12/M12</f>
        <v>8.905650809748677</v>
      </c>
      <c r="O12" s="408">
        <v>1</v>
      </c>
      <c r="P12" s="266"/>
    </row>
    <row r="13" spans="1:16" s="4" customFormat="1" ht="15">
      <c r="A13" s="94">
        <v>9</v>
      </c>
      <c r="B13" s="311" t="s">
        <v>164</v>
      </c>
      <c r="C13" s="173">
        <v>40592</v>
      </c>
      <c r="D13" s="376" t="s">
        <v>120</v>
      </c>
      <c r="E13" s="284">
        <v>26</v>
      </c>
      <c r="F13" s="284">
        <v>26</v>
      </c>
      <c r="G13" s="284">
        <v>1</v>
      </c>
      <c r="H13" s="237">
        <v>237198</v>
      </c>
      <c r="I13" s="193">
        <v>20106</v>
      </c>
      <c r="J13" s="182">
        <f>(I13/F13)</f>
        <v>773.3076923076923</v>
      </c>
      <c r="K13" s="238">
        <f>H13/I13</f>
        <v>11.797373918233363</v>
      </c>
      <c r="L13" s="239">
        <f>237198</f>
        <v>237198</v>
      </c>
      <c r="M13" s="181">
        <f>20106</f>
        <v>20106</v>
      </c>
      <c r="N13" s="256">
        <f>L13/M13</f>
        <v>11.797373918233363</v>
      </c>
      <c r="O13" s="408"/>
      <c r="P13" s="266"/>
    </row>
    <row r="14" spans="1:16" s="4" customFormat="1" ht="15">
      <c r="A14" s="94">
        <v>10</v>
      </c>
      <c r="B14" s="311" t="s">
        <v>165</v>
      </c>
      <c r="C14" s="173">
        <v>40585</v>
      </c>
      <c r="D14" s="376" t="s">
        <v>120</v>
      </c>
      <c r="E14" s="284">
        <v>58</v>
      </c>
      <c r="F14" s="284">
        <v>58</v>
      </c>
      <c r="G14" s="284">
        <v>2</v>
      </c>
      <c r="H14" s="237">
        <v>209847.25</v>
      </c>
      <c r="I14" s="193">
        <v>24506</v>
      </c>
      <c r="J14" s="182">
        <f>(I14/F14)</f>
        <v>422.51724137931035</v>
      </c>
      <c r="K14" s="238">
        <f>H14/I14</f>
        <v>8.563096792622215</v>
      </c>
      <c r="L14" s="239">
        <f>236018+209847.25</f>
        <v>445865.25</v>
      </c>
      <c r="M14" s="181">
        <f>25731+24506</f>
        <v>50237</v>
      </c>
      <c r="N14" s="256">
        <f>L14/M14</f>
        <v>8.875236379560882</v>
      </c>
      <c r="O14" s="408">
        <v>1</v>
      </c>
      <c r="P14" s="266"/>
    </row>
    <row r="15" spans="1:16" s="4" customFormat="1" ht="15">
      <c r="A15" s="94">
        <v>11</v>
      </c>
      <c r="B15" s="257" t="s">
        <v>129</v>
      </c>
      <c r="C15" s="169">
        <v>40564</v>
      </c>
      <c r="D15" s="286" t="s">
        <v>24</v>
      </c>
      <c r="E15" s="285">
        <v>109</v>
      </c>
      <c r="F15" s="285">
        <v>99</v>
      </c>
      <c r="G15" s="285">
        <v>5</v>
      </c>
      <c r="H15" s="234">
        <v>175203</v>
      </c>
      <c r="I15" s="192">
        <f>19449-500</f>
        <v>18949</v>
      </c>
      <c r="J15" s="172">
        <f>I15/F15</f>
        <v>191.40404040404042</v>
      </c>
      <c r="K15" s="235">
        <f>H15/I15</f>
        <v>9.246028814185445</v>
      </c>
      <c r="L15" s="236">
        <v>3635662</v>
      </c>
      <c r="M15" s="171">
        <v>349200</v>
      </c>
      <c r="N15" s="254">
        <f>+L15/M15</f>
        <v>10.411403207331043</v>
      </c>
      <c r="O15" s="408"/>
      <c r="P15" s="266"/>
    </row>
    <row r="16" spans="1:16" s="4" customFormat="1" ht="15">
      <c r="A16" s="95">
        <v>12</v>
      </c>
      <c r="B16" s="257" t="s">
        <v>166</v>
      </c>
      <c r="C16" s="169">
        <v>40592</v>
      </c>
      <c r="D16" s="286" t="s">
        <v>27</v>
      </c>
      <c r="E16" s="285">
        <v>68</v>
      </c>
      <c r="F16" s="285">
        <v>68</v>
      </c>
      <c r="G16" s="285">
        <v>1</v>
      </c>
      <c r="H16" s="240">
        <v>127679</v>
      </c>
      <c r="I16" s="196">
        <v>12805</v>
      </c>
      <c r="J16" s="179">
        <f>+I16/F16</f>
        <v>188.30882352941177</v>
      </c>
      <c r="K16" s="241">
        <f>+H16/I16</f>
        <v>9.971026942600547</v>
      </c>
      <c r="L16" s="242">
        <v>127679</v>
      </c>
      <c r="M16" s="178">
        <v>12805</v>
      </c>
      <c r="N16" s="258">
        <f>+L16/M16</f>
        <v>9.971026942600547</v>
      </c>
      <c r="O16" s="408">
        <v>1</v>
      </c>
      <c r="P16" s="266"/>
    </row>
    <row r="17" spans="1:16" s="4" customFormat="1" ht="15">
      <c r="A17" s="94">
        <v>13</v>
      </c>
      <c r="B17" s="257" t="s">
        <v>155</v>
      </c>
      <c r="C17" s="169">
        <v>40585</v>
      </c>
      <c r="D17" s="286" t="s">
        <v>27</v>
      </c>
      <c r="E17" s="285">
        <v>41</v>
      </c>
      <c r="F17" s="285">
        <v>41</v>
      </c>
      <c r="G17" s="285">
        <v>2</v>
      </c>
      <c r="H17" s="240">
        <v>106882</v>
      </c>
      <c r="I17" s="196">
        <v>8830</v>
      </c>
      <c r="J17" s="179">
        <f>+I17/F17</f>
        <v>215.3658536585366</v>
      </c>
      <c r="K17" s="241">
        <f>+H17/I17</f>
        <v>12.104416761041902</v>
      </c>
      <c r="L17" s="242">
        <v>317438</v>
      </c>
      <c r="M17" s="178">
        <v>25904</v>
      </c>
      <c r="N17" s="258">
        <f>+L17/M17</f>
        <v>12.254400864731316</v>
      </c>
      <c r="O17" s="408"/>
      <c r="P17" s="266"/>
    </row>
    <row r="18" spans="1:16" s="4" customFormat="1" ht="15">
      <c r="A18" s="94">
        <v>14</v>
      </c>
      <c r="B18" s="257" t="s">
        <v>117</v>
      </c>
      <c r="C18" s="169">
        <v>40557</v>
      </c>
      <c r="D18" s="286" t="s">
        <v>27</v>
      </c>
      <c r="E18" s="285">
        <v>66</v>
      </c>
      <c r="F18" s="285">
        <v>65</v>
      </c>
      <c r="G18" s="285">
        <v>6</v>
      </c>
      <c r="H18" s="240">
        <v>98584</v>
      </c>
      <c r="I18" s="196">
        <v>13457</v>
      </c>
      <c r="J18" s="179">
        <f>+I18/F18</f>
        <v>207.03076923076924</v>
      </c>
      <c r="K18" s="241">
        <f>+H18/I18</f>
        <v>7.325852716058557</v>
      </c>
      <c r="L18" s="242">
        <v>2540045</v>
      </c>
      <c r="M18" s="178">
        <v>241973</v>
      </c>
      <c r="N18" s="258">
        <f>+L18/M18</f>
        <v>10.49722489699264</v>
      </c>
      <c r="O18" s="408"/>
      <c r="P18" s="266"/>
    </row>
    <row r="19" spans="1:16" s="4" customFormat="1" ht="15">
      <c r="A19" s="94">
        <v>15</v>
      </c>
      <c r="B19" s="311" t="s">
        <v>153</v>
      </c>
      <c r="C19" s="173">
        <v>40571</v>
      </c>
      <c r="D19" s="283" t="s">
        <v>23</v>
      </c>
      <c r="E19" s="284">
        <v>200</v>
      </c>
      <c r="F19" s="284">
        <v>42</v>
      </c>
      <c r="G19" s="284">
        <v>4</v>
      </c>
      <c r="H19" s="231">
        <v>71129</v>
      </c>
      <c r="I19" s="194">
        <v>6205</v>
      </c>
      <c r="J19" s="175">
        <f>I19/F19</f>
        <v>147.73809523809524</v>
      </c>
      <c r="K19" s="232">
        <f>+H19/I19</f>
        <v>11.46317485898469</v>
      </c>
      <c r="L19" s="233">
        <v>2951030</v>
      </c>
      <c r="M19" s="176">
        <v>239438</v>
      </c>
      <c r="N19" s="252">
        <f>+L19/M19</f>
        <v>12.324818951043694</v>
      </c>
      <c r="O19" s="408"/>
      <c r="P19" s="266"/>
    </row>
    <row r="20" spans="1:16" s="4" customFormat="1" ht="15">
      <c r="A20" s="95">
        <v>16</v>
      </c>
      <c r="B20" s="311" t="s">
        <v>140</v>
      </c>
      <c r="C20" s="173">
        <v>40571</v>
      </c>
      <c r="D20" s="283" t="s">
        <v>104</v>
      </c>
      <c r="E20" s="284">
        <v>20</v>
      </c>
      <c r="F20" s="284">
        <v>20</v>
      </c>
      <c r="G20" s="284">
        <v>4</v>
      </c>
      <c r="H20" s="300">
        <v>63605</v>
      </c>
      <c r="I20" s="301">
        <v>5475</v>
      </c>
      <c r="J20" s="336">
        <v>273.75</v>
      </c>
      <c r="K20" s="337">
        <v>11.617351598173515</v>
      </c>
      <c r="L20" s="304">
        <v>717442</v>
      </c>
      <c r="M20" s="302">
        <v>56602</v>
      </c>
      <c r="N20" s="395">
        <v>12.67520582311579</v>
      </c>
      <c r="O20" s="408"/>
      <c r="P20" s="266"/>
    </row>
    <row r="21" spans="1:16" s="4" customFormat="1" ht="15">
      <c r="A21" s="94">
        <v>17</v>
      </c>
      <c r="B21" s="311" t="s">
        <v>102</v>
      </c>
      <c r="C21" s="173">
        <v>40550</v>
      </c>
      <c r="D21" s="283" t="s">
        <v>26</v>
      </c>
      <c r="E21" s="284">
        <v>238</v>
      </c>
      <c r="F21" s="284">
        <v>31</v>
      </c>
      <c r="G21" s="284">
        <v>7</v>
      </c>
      <c r="H21" s="231">
        <v>43197.5</v>
      </c>
      <c r="I21" s="194">
        <v>7089</v>
      </c>
      <c r="J21" s="179">
        <f>+I21/F21</f>
        <v>228.67741935483872</v>
      </c>
      <c r="K21" s="241">
        <f>+H21/I21</f>
        <v>6.093595711665961</v>
      </c>
      <c r="L21" s="233">
        <f>3050831.5+2178855.5+1196710.5+496983-200+210922.5+72277.5+4+43197.5</f>
        <v>7249582</v>
      </c>
      <c r="M21" s="175">
        <f>393137+282255+156413+64920+60+27548+10641+7089</f>
        <v>942063</v>
      </c>
      <c r="N21" s="258">
        <f>+L21/M21</f>
        <v>7.695432258776749</v>
      </c>
      <c r="O21" s="408">
        <v>1</v>
      </c>
      <c r="P21" s="266"/>
    </row>
    <row r="22" spans="1:16" s="4" customFormat="1" ht="15">
      <c r="A22" s="94">
        <v>18</v>
      </c>
      <c r="B22" s="311" t="s">
        <v>71</v>
      </c>
      <c r="C22" s="173">
        <v>40536</v>
      </c>
      <c r="D22" s="283" t="s">
        <v>23</v>
      </c>
      <c r="E22" s="284">
        <v>112</v>
      </c>
      <c r="F22" s="284">
        <v>21</v>
      </c>
      <c r="G22" s="284">
        <v>9</v>
      </c>
      <c r="H22" s="231">
        <v>25605</v>
      </c>
      <c r="I22" s="194">
        <v>2458</v>
      </c>
      <c r="J22" s="175">
        <f>I22/F22</f>
        <v>117.04761904761905</v>
      </c>
      <c r="K22" s="232">
        <f>+H22/I22</f>
        <v>10.417005695687552</v>
      </c>
      <c r="L22" s="233">
        <v>2725989</v>
      </c>
      <c r="M22" s="176">
        <v>240471</v>
      </c>
      <c r="N22" s="252">
        <f>+L22/M22</f>
        <v>11.33604052047856</v>
      </c>
      <c r="O22" s="408"/>
      <c r="P22" s="266"/>
    </row>
    <row r="23" spans="1:16" s="4" customFormat="1" ht="15">
      <c r="A23" s="94">
        <v>19</v>
      </c>
      <c r="B23" s="311" t="s">
        <v>167</v>
      </c>
      <c r="C23" s="173">
        <v>40564</v>
      </c>
      <c r="D23" s="376" t="s">
        <v>120</v>
      </c>
      <c r="E23" s="284">
        <v>160</v>
      </c>
      <c r="F23" s="284">
        <v>38</v>
      </c>
      <c r="G23" s="284">
        <v>5</v>
      </c>
      <c r="H23" s="237">
        <v>22961.5</v>
      </c>
      <c r="I23" s="193">
        <v>4045</v>
      </c>
      <c r="J23" s="182">
        <f>(I23/F23)</f>
        <v>106.44736842105263</v>
      </c>
      <c r="K23" s="238">
        <f>H23/I23</f>
        <v>5.6765142150803465</v>
      </c>
      <c r="L23" s="239">
        <f>1102015+435620.5+74279.5+50432+22961.5</f>
        <v>1685308.5</v>
      </c>
      <c r="M23" s="181">
        <f>144071+60233+10598+7830+4045</f>
        <v>226777</v>
      </c>
      <c r="N23" s="256">
        <f>L23/M23</f>
        <v>7.431567134233189</v>
      </c>
      <c r="O23" s="408">
        <v>1</v>
      </c>
      <c r="P23" s="266"/>
    </row>
    <row r="24" spans="1:16" s="4" customFormat="1" ht="15">
      <c r="A24" s="95">
        <v>20</v>
      </c>
      <c r="B24" s="311" t="s">
        <v>119</v>
      </c>
      <c r="C24" s="173">
        <v>40557</v>
      </c>
      <c r="D24" s="376" t="s">
        <v>120</v>
      </c>
      <c r="E24" s="284">
        <v>50</v>
      </c>
      <c r="F24" s="284">
        <v>20</v>
      </c>
      <c r="G24" s="284">
        <v>6</v>
      </c>
      <c r="H24" s="237">
        <v>19286.5</v>
      </c>
      <c r="I24" s="193">
        <v>3186</v>
      </c>
      <c r="J24" s="182">
        <f>(I24/F24)</f>
        <v>159.3</v>
      </c>
      <c r="K24" s="238">
        <f>H24/I24</f>
        <v>6.053515379786567</v>
      </c>
      <c r="L24" s="239">
        <f>462199.75+464711.5+220315+61757.25+29707.5+19286.5</f>
        <v>1257977.5</v>
      </c>
      <c r="M24" s="181">
        <f>36851+37511+17353+5020+3902+3186</f>
        <v>103823</v>
      </c>
      <c r="N24" s="256">
        <f>L24/M24</f>
        <v>12.116558951292102</v>
      </c>
      <c r="O24" s="408"/>
      <c r="P24" s="266"/>
    </row>
    <row r="25" spans="1:16" s="4" customFormat="1" ht="15">
      <c r="A25" s="95">
        <v>21</v>
      </c>
      <c r="B25" s="311" t="s">
        <v>156</v>
      </c>
      <c r="C25" s="173">
        <v>40585</v>
      </c>
      <c r="D25" s="283" t="s">
        <v>23</v>
      </c>
      <c r="E25" s="284">
        <v>13</v>
      </c>
      <c r="F25" s="284">
        <v>13</v>
      </c>
      <c r="G25" s="284">
        <v>2</v>
      </c>
      <c r="H25" s="231">
        <v>13721</v>
      </c>
      <c r="I25" s="194">
        <v>1128</v>
      </c>
      <c r="J25" s="175">
        <f>I25/F25</f>
        <v>86.76923076923077</v>
      </c>
      <c r="K25" s="232">
        <f>+H25/I25</f>
        <v>12.164007092198581</v>
      </c>
      <c r="L25" s="233">
        <v>60408</v>
      </c>
      <c r="M25" s="176">
        <v>4591</v>
      </c>
      <c r="N25" s="252">
        <f>+L25/M25</f>
        <v>13.157917664996733</v>
      </c>
      <c r="O25" s="408"/>
      <c r="P25" s="266"/>
    </row>
    <row r="26" spans="1:16" s="4" customFormat="1" ht="15">
      <c r="A26" s="94">
        <v>22</v>
      </c>
      <c r="B26" s="311" t="s">
        <v>19</v>
      </c>
      <c r="C26" s="173">
        <v>40515</v>
      </c>
      <c r="D26" s="376" t="s">
        <v>120</v>
      </c>
      <c r="E26" s="284">
        <v>62</v>
      </c>
      <c r="F26" s="284">
        <v>17</v>
      </c>
      <c r="G26" s="284">
        <v>12</v>
      </c>
      <c r="H26" s="237">
        <v>10987</v>
      </c>
      <c r="I26" s="193">
        <v>1782</v>
      </c>
      <c r="J26" s="182">
        <f>(I26/F26)</f>
        <v>104.82352941176471</v>
      </c>
      <c r="K26" s="238">
        <f>H26/I26</f>
        <v>6.165544332210999</v>
      </c>
      <c r="L26" s="239">
        <f>353151+191248+132731.5+71376+47862+26248.5+19265+34650.5+35095.5+42312+25849+10987</f>
        <v>990776</v>
      </c>
      <c r="M26" s="181">
        <f>34650+19352+14525+10591+7581+5012+3223+6065+6865+6589+3930+1782</f>
        <v>120165</v>
      </c>
      <c r="N26" s="256">
        <f>L26/M26</f>
        <v>8.245129613448176</v>
      </c>
      <c r="O26" s="408"/>
      <c r="P26" s="266"/>
    </row>
    <row r="27" spans="1:16" s="4" customFormat="1" ht="15">
      <c r="A27" s="94">
        <v>23</v>
      </c>
      <c r="B27" s="311" t="s">
        <v>2</v>
      </c>
      <c r="C27" s="173">
        <v>40522</v>
      </c>
      <c r="D27" s="376" t="s">
        <v>120</v>
      </c>
      <c r="E27" s="284">
        <v>127</v>
      </c>
      <c r="F27" s="284">
        <v>10</v>
      </c>
      <c r="G27" s="284">
        <v>11</v>
      </c>
      <c r="H27" s="237">
        <v>10420.5</v>
      </c>
      <c r="I27" s="193">
        <v>2477</v>
      </c>
      <c r="J27" s="182">
        <f>(I27/F27)</f>
        <v>247.7</v>
      </c>
      <c r="K27" s="238">
        <f>H27/I27</f>
        <v>4.206903512313282</v>
      </c>
      <c r="L27" s="239">
        <f>1048675+809166.5+457718.5+70165.5+7102+12164+8619.5+11777.5+6559.5+3338.5+10420.5</f>
        <v>2445707</v>
      </c>
      <c r="M27" s="181">
        <f>92481+73795+43350+8841+1153+2869+1615+2831+1620+630+2477</f>
        <v>231662</v>
      </c>
      <c r="N27" s="256">
        <f>L27/M27</f>
        <v>10.557221296544103</v>
      </c>
      <c r="O27" s="408"/>
      <c r="P27" s="266"/>
    </row>
    <row r="28" spans="1:16" s="4" customFormat="1" ht="15">
      <c r="A28" s="94">
        <v>24</v>
      </c>
      <c r="B28" s="311" t="s">
        <v>118</v>
      </c>
      <c r="C28" s="173">
        <v>40557</v>
      </c>
      <c r="D28" s="283" t="s">
        <v>23</v>
      </c>
      <c r="E28" s="284">
        <v>129</v>
      </c>
      <c r="F28" s="284">
        <v>15</v>
      </c>
      <c r="G28" s="284">
        <v>6</v>
      </c>
      <c r="H28" s="231">
        <v>9046</v>
      </c>
      <c r="I28" s="194">
        <v>1326</v>
      </c>
      <c r="J28" s="175">
        <f>I28/F28</f>
        <v>88.4</v>
      </c>
      <c r="K28" s="232">
        <f>+H28/I28</f>
        <v>6.822021116138763</v>
      </c>
      <c r="L28" s="233">
        <v>1360173</v>
      </c>
      <c r="M28" s="176">
        <v>118835</v>
      </c>
      <c r="N28" s="252">
        <f>+L28/M28</f>
        <v>11.445895569487105</v>
      </c>
      <c r="O28" s="408"/>
      <c r="P28" s="266"/>
    </row>
    <row r="29" spans="1:16" s="4" customFormat="1" ht="15">
      <c r="A29" s="95">
        <v>25</v>
      </c>
      <c r="B29" s="257" t="s">
        <v>141</v>
      </c>
      <c r="C29" s="169">
        <v>40564</v>
      </c>
      <c r="D29" s="286" t="s">
        <v>17</v>
      </c>
      <c r="E29" s="285">
        <v>100</v>
      </c>
      <c r="F29" s="285">
        <v>12</v>
      </c>
      <c r="G29" s="285">
        <v>5</v>
      </c>
      <c r="H29" s="243">
        <v>8236</v>
      </c>
      <c r="I29" s="197">
        <v>1497</v>
      </c>
      <c r="J29" s="179">
        <f>IF(H29&lt;&gt;0,I29/F29,"")</f>
        <v>124.75</v>
      </c>
      <c r="K29" s="241">
        <f>IF(H29&lt;&gt;0,H29/I29,"")</f>
        <v>5.501670006680027</v>
      </c>
      <c r="L29" s="244">
        <f>351928.5+109593.5+20592.5+6351+8236</f>
        <v>496701.5</v>
      </c>
      <c r="M29" s="175">
        <f>40887+13714+2624+866+1497</f>
        <v>59588</v>
      </c>
      <c r="N29" s="258">
        <f>IF(L29&lt;&gt;0,L29/M29,"")</f>
        <v>8.335596093173121</v>
      </c>
      <c r="O29" s="408">
        <v>1</v>
      </c>
      <c r="P29" s="266"/>
    </row>
    <row r="30" spans="1:16" s="4" customFormat="1" ht="15">
      <c r="A30" s="95">
        <v>26</v>
      </c>
      <c r="B30" s="257" t="s">
        <v>87</v>
      </c>
      <c r="C30" s="169">
        <v>40515</v>
      </c>
      <c r="D30" s="286" t="s">
        <v>24</v>
      </c>
      <c r="E30" s="285">
        <v>337</v>
      </c>
      <c r="F30" s="285">
        <v>3</v>
      </c>
      <c r="G30" s="285">
        <v>12</v>
      </c>
      <c r="H30" s="234">
        <v>7416</v>
      </c>
      <c r="I30" s="192">
        <v>1461</v>
      </c>
      <c r="J30" s="172">
        <f>I30/F30</f>
        <v>487</v>
      </c>
      <c r="K30" s="235">
        <f>H30/I30</f>
        <v>5.075975359342916</v>
      </c>
      <c r="L30" s="236">
        <v>19636508</v>
      </c>
      <c r="M30" s="171">
        <v>2095488</v>
      </c>
      <c r="N30" s="254">
        <f>+L30/M30</f>
        <v>9.370852040193025</v>
      </c>
      <c r="O30" s="408">
        <v>1</v>
      </c>
      <c r="P30" s="266"/>
    </row>
    <row r="31" spans="1:16" s="4" customFormat="1" ht="15">
      <c r="A31" s="94">
        <v>27</v>
      </c>
      <c r="B31" s="311" t="s">
        <v>88</v>
      </c>
      <c r="C31" s="173">
        <v>40529</v>
      </c>
      <c r="D31" s="376" t="s">
        <v>120</v>
      </c>
      <c r="E31" s="284">
        <v>147</v>
      </c>
      <c r="F31" s="284">
        <v>7</v>
      </c>
      <c r="G31" s="284">
        <v>10</v>
      </c>
      <c r="H31" s="237">
        <v>5445.5</v>
      </c>
      <c r="I31" s="193">
        <v>1176</v>
      </c>
      <c r="J31" s="182">
        <f>(I31/F31)</f>
        <v>168</v>
      </c>
      <c r="K31" s="238">
        <f>H31/I31</f>
        <v>4.630527210884353</v>
      </c>
      <c r="L31" s="239">
        <f>691567.5+648414.5+518408+71321.5+45526+17480+7409+4406.5+1874+5445.5</f>
        <v>2011852.5</v>
      </c>
      <c r="M31" s="181">
        <f>79327+75064+61133+10266+7792+4345+1731+935+303+1176</f>
        <v>242072</v>
      </c>
      <c r="N31" s="256">
        <f>L31/M31</f>
        <v>8.310967398129483</v>
      </c>
      <c r="O31" s="408">
        <v>1</v>
      </c>
      <c r="P31" s="266"/>
    </row>
    <row r="32" spans="1:16" s="4" customFormat="1" ht="15">
      <c r="A32" s="94">
        <v>28</v>
      </c>
      <c r="B32" s="257" t="s">
        <v>1</v>
      </c>
      <c r="C32" s="169">
        <v>40522</v>
      </c>
      <c r="D32" s="286" t="s">
        <v>27</v>
      </c>
      <c r="E32" s="285">
        <v>110</v>
      </c>
      <c r="F32" s="285">
        <v>9</v>
      </c>
      <c r="G32" s="285">
        <v>11</v>
      </c>
      <c r="H32" s="240">
        <v>3734</v>
      </c>
      <c r="I32" s="196">
        <v>594</v>
      </c>
      <c r="J32" s="179">
        <f>+I32/F32</f>
        <v>66</v>
      </c>
      <c r="K32" s="241">
        <f>+H32/I32</f>
        <v>6.286195286195286</v>
      </c>
      <c r="L32" s="242">
        <v>5011853</v>
      </c>
      <c r="M32" s="178">
        <v>476701</v>
      </c>
      <c r="N32" s="258">
        <f>+L32/M32</f>
        <v>10.513619648374977</v>
      </c>
      <c r="O32" s="408"/>
      <c r="P32" s="266"/>
    </row>
    <row r="33" spans="1:16" s="4" customFormat="1" ht="15">
      <c r="A33" s="94">
        <v>29</v>
      </c>
      <c r="B33" s="311" t="s">
        <v>168</v>
      </c>
      <c r="C33" s="173">
        <v>40592</v>
      </c>
      <c r="D33" s="283" t="s">
        <v>31</v>
      </c>
      <c r="E33" s="284">
        <v>3</v>
      </c>
      <c r="F33" s="284">
        <v>3</v>
      </c>
      <c r="G33" s="284">
        <v>1</v>
      </c>
      <c r="H33" s="231">
        <v>3730</v>
      </c>
      <c r="I33" s="194">
        <v>519</v>
      </c>
      <c r="J33" s="175">
        <f>I33/F33</f>
        <v>173</v>
      </c>
      <c r="K33" s="232">
        <f>H33/I33</f>
        <v>7.186897880539499</v>
      </c>
      <c r="L33" s="233">
        <v>3730</v>
      </c>
      <c r="M33" s="175">
        <v>519</v>
      </c>
      <c r="N33" s="252">
        <f>L33/M33</f>
        <v>7.186897880539499</v>
      </c>
      <c r="O33" s="408">
        <v>1</v>
      </c>
      <c r="P33" s="266"/>
    </row>
    <row r="34" spans="1:16" s="4" customFormat="1" ht="15">
      <c r="A34" s="95">
        <v>30</v>
      </c>
      <c r="B34" s="257" t="s">
        <v>73</v>
      </c>
      <c r="C34" s="169">
        <v>40536</v>
      </c>
      <c r="D34" s="286" t="s">
        <v>24</v>
      </c>
      <c r="E34" s="285">
        <v>48</v>
      </c>
      <c r="F34" s="285">
        <v>4</v>
      </c>
      <c r="G34" s="285">
        <v>9</v>
      </c>
      <c r="H34" s="234">
        <v>3417</v>
      </c>
      <c r="I34" s="192">
        <v>493</v>
      </c>
      <c r="J34" s="172">
        <f>I34/F34</f>
        <v>123.25</v>
      </c>
      <c r="K34" s="235">
        <f>H34/I34</f>
        <v>6.931034482758621</v>
      </c>
      <c r="L34" s="236">
        <v>702704</v>
      </c>
      <c r="M34" s="171">
        <v>62786</v>
      </c>
      <c r="N34" s="254">
        <f>+L34/M34</f>
        <v>11.192049182938872</v>
      </c>
      <c r="O34" s="408"/>
      <c r="P34" s="266"/>
    </row>
    <row r="35" spans="1:16" s="4" customFormat="1" ht="15">
      <c r="A35" s="95">
        <v>31</v>
      </c>
      <c r="B35" s="311" t="s">
        <v>121</v>
      </c>
      <c r="C35" s="186">
        <v>40557</v>
      </c>
      <c r="D35" s="295" t="s">
        <v>90</v>
      </c>
      <c r="E35" s="296">
        <v>7</v>
      </c>
      <c r="F35" s="296">
        <v>5</v>
      </c>
      <c r="G35" s="296">
        <v>6</v>
      </c>
      <c r="H35" s="245">
        <v>3121</v>
      </c>
      <c r="I35" s="194">
        <v>515</v>
      </c>
      <c r="J35" s="176">
        <f>I35/F35</f>
        <v>103</v>
      </c>
      <c r="K35" s="246">
        <f>H35/I35</f>
        <v>6.060194174757282</v>
      </c>
      <c r="L35" s="247">
        <v>94116</v>
      </c>
      <c r="M35" s="176">
        <v>6870</v>
      </c>
      <c r="N35" s="260">
        <f>L35/M35</f>
        <v>13.699563318777292</v>
      </c>
      <c r="O35" s="408"/>
      <c r="P35" s="266"/>
    </row>
    <row r="36" spans="1:16" s="4" customFormat="1" ht="15">
      <c r="A36" s="94">
        <v>32</v>
      </c>
      <c r="B36" s="257" t="s">
        <v>89</v>
      </c>
      <c r="C36" s="169">
        <v>40543</v>
      </c>
      <c r="D36" s="286" t="s">
        <v>17</v>
      </c>
      <c r="E36" s="285">
        <v>20</v>
      </c>
      <c r="F36" s="285">
        <v>9</v>
      </c>
      <c r="G36" s="285">
        <v>6</v>
      </c>
      <c r="H36" s="243">
        <v>3105</v>
      </c>
      <c r="I36" s="197">
        <v>413</v>
      </c>
      <c r="J36" s="179">
        <f>IF(H36&lt;&gt;0,I36/F36,"")</f>
        <v>45.888888888888886</v>
      </c>
      <c r="K36" s="241">
        <f>IF(H36&lt;&gt;0,H36/I36,"")</f>
        <v>7.518159806295399</v>
      </c>
      <c r="L36" s="244">
        <f>66843.5+17122+2473.5+3354+459+3105</f>
        <v>93357</v>
      </c>
      <c r="M36" s="187">
        <f>6779+1684+271+528+66+413</f>
        <v>9741</v>
      </c>
      <c r="N36" s="258">
        <f>IF(L36&lt;&gt;0,L36/M36,"")</f>
        <v>9.583923621804743</v>
      </c>
      <c r="O36" s="408"/>
      <c r="P36" s="266"/>
    </row>
    <row r="37" spans="1:16" s="4" customFormat="1" ht="15">
      <c r="A37" s="94">
        <v>33</v>
      </c>
      <c r="B37" s="257" t="s">
        <v>37</v>
      </c>
      <c r="C37" s="169">
        <v>40480</v>
      </c>
      <c r="D37" s="286" t="s">
        <v>27</v>
      </c>
      <c r="E37" s="285">
        <v>21</v>
      </c>
      <c r="F37" s="285">
        <v>3</v>
      </c>
      <c r="G37" s="285">
        <v>13</v>
      </c>
      <c r="H37" s="240">
        <v>2972</v>
      </c>
      <c r="I37" s="196">
        <v>535</v>
      </c>
      <c r="J37" s="179">
        <f>+I37/F37</f>
        <v>178.33333333333334</v>
      </c>
      <c r="K37" s="241">
        <f>+H37/I37</f>
        <v>5.555140186915888</v>
      </c>
      <c r="L37" s="242">
        <v>302074</v>
      </c>
      <c r="M37" s="178">
        <v>27572</v>
      </c>
      <c r="N37" s="258">
        <f>+L37/M37</f>
        <v>10.95582474974612</v>
      </c>
      <c r="O37" s="408"/>
      <c r="P37" s="266"/>
    </row>
    <row r="38" spans="1:16" s="4" customFormat="1" ht="15">
      <c r="A38" s="94">
        <v>34</v>
      </c>
      <c r="B38" s="311" t="s">
        <v>86</v>
      </c>
      <c r="C38" s="186">
        <v>40543</v>
      </c>
      <c r="D38" s="295" t="s">
        <v>90</v>
      </c>
      <c r="E38" s="378">
        <v>2</v>
      </c>
      <c r="F38" s="296">
        <v>1</v>
      </c>
      <c r="G38" s="378">
        <v>8</v>
      </c>
      <c r="H38" s="245">
        <v>2583</v>
      </c>
      <c r="I38" s="379">
        <v>210</v>
      </c>
      <c r="J38" s="176">
        <f>I38/F38</f>
        <v>210</v>
      </c>
      <c r="K38" s="380">
        <f>H38/I38</f>
        <v>12.3</v>
      </c>
      <c r="L38" s="247">
        <v>65502.5</v>
      </c>
      <c r="M38" s="187">
        <v>4837</v>
      </c>
      <c r="N38" s="260">
        <f>L38/M38</f>
        <v>13.541968162083936</v>
      </c>
      <c r="O38" s="408"/>
      <c r="P38" s="266"/>
    </row>
    <row r="39" spans="1:16" s="4" customFormat="1" ht="15">
      <c r="A39" s="95">
        <v>35</v>
      </c>
      <c r="B39" s="257" t="s">
        <v>85</v>
      </c>
      <c r="C39" s="169">
        <v>40543</v>
      </c>
      <c r="D39" s="286" t="s">
        <v>105</v>
      </c>
      <c r="E39" s="285" t="s">
        <v>74</v>
      </c>
      <c r="F39" s="285" t="s">
        <v>169</v>
      </c>
      <c r="G39" s="285" t="s">
        <v>170</v>
      </c>
      <c r="H39" s="240">
        <v>2141</v>
      </c>
      <c r="I39" s="196">
        <v>310</v>
      </c>
      <c r="J39" s="367">
        <v>52</v>
      </c>
      <c r="K39" s="232">
        <f>H39/I39</f>
        <v>6.906451612903226</v>
      </c>
      <c r="L39" s="242">
        <v>230716</v>
      </c>
      <c r="M39" s="178">
        <v>18729</v>
      </c>
      <c r="N39" s="252">
        <f>L39/M39</f>
        <v>12.318650221581505</v>
      </c>
      <c r="O39" s="408"/>
      <c r="P39" s="266"/>
    </row>
    <row r="40" spans="1:16" s="4" customFormat="1" ht="15">
      <c r="A40" s="95">
        <v>36</v>
      </c>
      <c r="B40" s="257" t="s">
        <v>171</v>
      </c>
      <c r="C40" s="169">
        <v>40557</v>
      </c>
      <c r="D40" s="286" t="s">
        <v>27</v>
      </c>
      <c r="E40" s="285">
        <v>66</v>
      </c>
      <c r="F40" s="285">
        <v>4</v>
      </c>
      <c r="G40" s="285">
        <v>6</v>
      </c>
      <c r="H40" s="240">
        <v>2045</v>
      </c>
      <c r="I40" s="196">
        <v>292</v>
      </c>
      <c r="J40" s="179">
        <f>+I40/F40</f>
        <v>73</v>
      </c>
      <c r="K40" s="241">
        <f>+H40/I40</f>
        <v>7.0034246575342465</v>
      </c>
      <c r="L40" s="242">
        <v>205149</v>
      </c>
      <c r="M40" s="178">
        <v>24159</v>
      </c>
      <c r="N40" s="258">
        <f>+L40/M40</f>
        <v>8.491618030547622</v>
      </c>
      <c r="O40" s="408">
        <v>1</v>
      </c>
      <c r="P40" s="266"/>
    </row>
    <row r="41" spans="1:16" s="4" customFormat="1" ht="15">
      <c r="A41" s="94">
        <v>37</v>
      </c>
      <c r="B41" s="257" t="s">
        <v>29</v>
      </c>
      <c r="C41" s="169">
        <v>40494</v>
      </c>
      <c r="D41" s="286" t="s">
        <v>24</v>
      </c>
      <c r="E41" s="285">
        <v>144</v>
      </c>
      <c r="F41" s="285">
        <v>1</v>
      </c>
      <c r="G41" s="285">
        <v>13</v>
      </c>
      <c r="H41" s="234">
        <v>2042</v>
      </c>
      <c r="I41" s="192">
        <v>495</v>
      </c>
      <c r="J41" s="172">
        <f>I41/F41</f>
        <v>495</v>
      </c>
      <c r="K41" s="235">
        <f>H41/I41</f>
        <v>4.125252525252526</v>
      </c>
      <c r="L41" s="236">
        <v>6072415</v>
      </c>
      <c r="M41" s="171">
        <v>524703</v>
      </c>
      <c r="N41" s="254">
        <f>+L41/M41</f>
        <v>11.573051802638826</v>
      </c>
      <c r="O41" s="408"/>
      <c r="P41" s="266"/>
    </row>
    <row r="42" spans="1:16" s="4" customFormat="1" ht="15">
      <c r="A42" s="94">
        <v>38</v>
      </c>
      <c r="B42" s="396" t="s">
        <v>172</v>
      </c>
      <c r="C42" s="188">
        <v>40368</v>
      </c>
      <c r="D42" s="376" t="s">
        <v>120</v>
      </c>
      <c r="E42" s="382">
        <v>126</v>
      </c>
      <c r="F42" s="382">
        <v>1</v>
      </c>
      <c r="G42" s="382">
        <v>23</v>
      </c>
      <c r="H42" s="237">
        <v>1782</v>
      </c>
      <c r="I42" s="193">
        <v>445</v>
      </c>
      <c r="J42" s="182">
        <f>(I42/F42)</f>
        <v>445</v>
      </c>
      <c r="K42" s="238">
        <f>H42/I42</f>
        <v>4.004494382022472</v>
      </c>
      <c r="L42" s="239">
        <f>2106797.5+50230.5+32558.5+15249.5+15137+17418.5+7784.5+2808+2841.5+1328+2453+1693+613+726+713+1425.5+1782+1437+1782</f>
        <v>2264778</v>
      </c>
      <c r="M42" s="181">
        <f>220679+7944+5486+2451+2714+3159+1414+494+658+202+452+398+85+227+178+356+445+228+445</f>
        <v>248015</v>
      </c>
      <c r="N42" s="256">
        <f>L42/M42</f>
        <v>9.131617039291978</v>
      </c>
      <c r="O42" s="408"/>
      <c r="P42" s="266"/>
    </row>
    <row r="43" spans="1:16" s="4" customFormat="1" ht="15">
      <c r="A43" s="94">
        <v>39</v>
      </c>
      <c r="B43" s="311" t="s">
        <v>72</v>
      </c>
      <c r="C43" s="173">
        <v>40536</v>
      </c>
      <c r="D43" s="283" t="s">
        <v>23</v>
      </c>
      <c r="E43" s="378">
        <v>91</v>
      </c>
      <c r="F43" s="284">
        <v>1</v>
      </c>
      <c r="G43" s="378">
        <v>9</v>
      </c>
      <c r="H43" s="231">
        <v>1546</v>
      </c>
      <c r="I43" s="194">
        <v>759</v>
      </c>
      <c r="J43" s="175">
        <f>I43/F43</f>
        <v>759</v>
      </c>
      <c r="K43" s="246">
        <f>+H43/I43</f>
        <v>2.036890645586298</v>
      </c>
      <c r="L43" s="233">
        <v>1197983</v>
      </c>
      <c r="M43" s="187">
        <v>105389</v>
      </c>
      <c r="N43" s="252">
        <f>+L43/M43</f>
        <v>11.367248953875642</v>
      </c>
      <c r="O43" s="408"/>
      <c r="P43" s="266"/>
    </row>
    <row r="44" spans="1:16" s="4" customFormat="1" ht="15">
      <c r="A44" s="94">
        <v>40</v>
      </c>
      <c r="B44" s="311" t="s">
        <v>79</v>
      </c>
      <c r="C44" s="173">
        <v>40459</v>
      </c>
      <c r="D44" s="376" t="s">
        <v>120</v>
      </c>
      <c r="E44" s="284">
        <v>142</v>
      </c>
      <c r="F44" s="284">
        <v>1</v>
      </c>
      <c r="G44" s="284">
        <v>16</v>
      </c>
      <c r="H44" s="237">
        <v>1425.5</v>
      </c>
      <c r="I44" s="193">
        <v>267</v>
      </c>
      <c r="J44" s="182">
        <f>(I44/F44)</f>
        <v>267</v>
      </c>
      <c r="K44" s="238">
        <f aca="true" t="shared" si="0" ref="K44:K63">H44/I44</f>
        <v>5.3389513108614235</v>
      </c>
      <c r="L44" s="239">
        <f>569713+434829.5+295345.5+223420+26108+12415.5+5998+1904+1368+799+648+306+1782+594+1782+1425.5</f>
        <v>1578438</v>
      </c>
      <c r="M44" s="181">
        <f>61050+47827+36467+29781+4601+2405+1000+284+287+123+103+51+445+113+446+267</f>
        <v>185250</v>
      </c>
      <c r="N44" s="256">
        <f aca="true" t="shared" si="1" ref="N44:N59">L44/M44</f>
        <v>8.520582995951417</v>
      </c>
      <c r="O44" s="408">
        <v>1</v>
      </c>
      <c r="P44" s="266"/>
    </row>
    <row r="45" spans="1:16" s="4" customFormat="1" ht="15">
      <c r="A45" s="95">
        <v>41</v>
      </c>
      <c r="B45" s="396" t="s">
        <v>116</v>
      </c>
      <c r="C45" s="188">
        <v>40396</v>
      </c>
      <c r="D45" s="376" t="s">
        <v>120</v>
      </c>
      <c r="E45" s="382">
        <v>4</v>
      </c>
      <c r="F45" s="382">
        <v>2</v>
      </c>
      <c r="G45" s="382">
        <v>22</v>
      </c>
      <c r="H45" s="237">
        <v>1323</v>
      </c>
      <c r="I45" s="193">
        <v>206</v>
      </c>
      <c r="J45" s="182">
        <f>(I45/F45)</f>
        <v>103</v>
      </c>
      <c r="K45" s="238">
        <f t="shared" si="0"/>
        <v>6.422330097087379</v>
      </c>
      <c r="L45" s="239">
        <f>14959+9646+7725+4386+3960+14571+6049+4818+2605+3811+4797+6372+2996+165+950.5+1598.5+276+381+768+800+1224+1323</f>
        <v>94181</v>
      </c>
      <c r="M45" s="181">
        <f>1646+1123+1125+547+522+2218+896+595+438+656+743+1047+452+23+148+219+42+85+83+91+196+206</f>
        <v>13101</v>
      </c>
      <c r="N45" s="256">
        <f t="shared" si="1"/>
        <v>7.188840546523166</v>
      </c>
      <c r="O45" s="408"/>
      <c r="P45" s="266"/>
    </row>
    <row r="46" spans="1:16" s="4" customFormat="1" ht="15">
      <c r="A46" s="95">
        <v>42</v>
      </c>
      <c r="B46" s="311" t="s">
        <v>60</v>
      </c>
      <c r="C46" s="173">
        <v>40543</v>
      </c>
      <c r="D46" s="376" t="s">
        <v>120</v>
      </c>
      <c r="E46" s="284">
        <v>99</v>
      </c>
      <c r="F46" s="284">
        <v>2</v>
      </c>
      <c r="G46" s="284">
        <v>8</v>
      </c>
      <c r="H46" s="237">
        <v>1245</v>
      </c>
      <c r="I46" s="193">
        <v>178</v>
      </c>
      <c r="J46" s="182">
        <f>(I46/F46)</f>
        <v>89</v>
      </c>
      <c r="K46" s="238">
        <f t="shared" si="0"/>
        <v>6.99438202247191</v>
      </c>
      <c r="L46" s="239">
        <f>74157.5+721285.5+410076+112730.5+28262.5+6646+19483.5+940+1245</f>
        <v>1374826.5</v>
      </c>
      <c r="M46" s="181">
        <f>7361+62279+35611+10987+4077+689+3901+125+178</f>
        <v>125208</v>
      </c>
      <c r="N46" s="256">
        <f t="shared" si="1"/>
        <v>10.98034071305348</v>
      </c>
      <c r="O46" s="408"/>
      <c r="P46" s="266"/>
    </row>
    <row r="47" spans="1:16" s="4" customFormat="1" ht="15">
      <c r="A47" s="94">
        <v>43</v>
      </c>
      <c r="B47" s="311" t="s">
        <v>15</v>
      </c>
      <c r="C47" s="173">
        <v>40473</v>
      </c>
      <c r="D47" s="376" t="s">
        <v>120</v>
      </c>
      <c r="E47" s="284">
        <v>30</v>
      </c>
      <c r="F47" s="284">
        <v>1</v>
      </c>
      <c r="G47" s="284">
        <v>15</v>
      </c>
      <c r="H47" s="237">
        <v>1076</v>
      </c>
      <c r="I47" s="193">
        <v>114</v>
      </c>
      <c r="J47" s="182">
        <f>(I47/F47)</f>
        <v>114</v>
      </c>
      <c r="K47" s="238">
        <f t="shared" si="0"/>
        <v>9.43859649122807</v>
      </c>
      <c r="L47" s="239">
        <f>140269+106844+7979+4849+4700.5+7059+2232+1390+2769+13917+8357+891.5+4704+1307+1076</f>
        <v>308344</v>
      </c>
      <c r="M47" s="181">
        <f>11518+8629+641+577+660+1341+325+348+324+2259+1374+332+506+327+114</f>
        <v>29275</v>
      </c>
      <c r="N47" s="256">
        <f t="shared" si="1"/>
        <v>10.53267292912041</v>
      </c>
      <c r="O47" s="408"/>
      <c r="P47" s="266"/>
    </row>
    <row r="48" spans="1:16" s="4" customFormat="1" ht="15">
      <c r="A48" s="94">
        <v>44</v>
      </c>
      <c r="B48" s="311" t="s">
        <v>4</v>
      </c>
      <c r="C48" s="186">
        <v>40529</v>
      </c>
      <c r="D48" s="295" t="s">
        <v>90</v>
      </c>
      <c r="E48" s="296">
        <v>5</v>
      </c>
      <c r="F48" s="296">
        <v>4</v>
      </c>
      <c r="G48" s="296">
        <v>7</v>
      </c>
      <c r="H48" s="245">
        <v>1031</v>
      </c>
      <c r="I48" s="194">
        <v>163</v>
      </c>
      <c r="J48" s="176">
        <f>I48/F48</f>
        <v>40.75</v>
      </c>
      <c r="K48" s="246">
        <f t="shared" si="0"/>
        <v>6.325153374233129</v>
      </c>
      <c r="L48" s="247">
        <v>26687</v>
      </c>
      <c r="M48" s="176">
        <v>2758</v>
      </c>
      <c r="N48" s="260">
        <f t="shared" si="1"/>
        <v>9.676214648295867</v>
      </c>
      <c r="O48" s="408"/>
      <c r="P48" s="266"/>
    </row>
    <row r="49" spans="1:16" s="4" customFormat="1" ht="15">
      <c r="A49" s="94">
        <v>45</v>
      </c>
      <c r="B49" s="311" t="s">
        <v>173</v>
      </c>
      <c r="C49" s="173">
        <v>40095</v>
      </c>
      <c r="D49" s="376" t="s">
        <v>120</v>
      </c>
      <c r="E49" s="284">
        <v>22</v>
      </c>
      <c r="F49" s="284">
        <v>1</v>
      </c>
      <c r="G49" s="284">
        <v>20</v>
      </c>
      <c r="H49" s="237">
        <v>952</v>
      </c>
      <c r="I49" s="193">
        <v>238</v>
      </c>
      <c r="J49" s="182">
        <f aca="true" t="shared" si="2" ref="J49:J59">(I49/F49)</f>
        <v>238</v>
      </c>
      <c r="K49" s="238">
        <f t="shared" si="0"/>
        <v>4</v>
      </c>
      <c r="L49" s="239">
        <f>158809.5+140713.25+103696.25+38523+19360+17458+1188+196+2484+3158+1780+2933+1780+2461+6600.5+2668.5+440+441+476+952</f>
        <v>506118</v>
      </c>
      <c r="M49" s="181">
        <f>14214+13110+10683+4685+3074+2645+297+16+571+596+445+584+445+466+837+295+44+65+72+238</f>
        <v>53382</v>
      </c>
      <c r="N49" s="256">
        <f t="shared" si="1"/>
        <v>9.481061031808474</v>
      </c>
      <c r="O49" s="408"/>
      <c r="P49" s="266"/>
    </row>
    <row r="50" spans="1:16" s="4" customFormat="1" ht="15">
      <c r="A50" s="94">
        <v>46</v>
      </c>
      <c r="B50" s="311" t="s">
        <v>143</v>
      </c>
      <c r="C50" s="173">
        <v>40298</v>
      </c>
      <c r="D50" s="376" t="s">
        <v>120</v>
      </c>
      <c r="E50" s="284">
        <v>10</v>
      </c>
      <c r="F50" s="284">
        <v>1</v>
      </c>
      <c r="G50" s="284">
        <v>22</v>
      </c>
      <c r="H50" s="237">
        <v>952</v>
      </c>
      <c r="I50" s="193">
        <v>238</v>
      </c>
      <c r="J50" s="182">
        <f t="shared" si="2"/>
        <v>238</v>
      </c>
      <c r="K50" s="238">
        <f t="shared" si="0"/>
        <v>4</v>
      </c>
      <c r="L50" s="239">
        <f>83892.5+865+192+477+220.5+1901+2138.5+1307+952</f>
        <v>91945.5</v>
      </c>
      <c r="M50" s="181">
        <f>10300+144+24+59+48+475+534+327+238</f>
        <v>12149</v>
      </c>
      <c r="N50" s="256">
        <f t="shared" si="1"/>
        <v>7.568153757510906</v>
      </c>
      <c r="O50" s="408"/>
      <c r="P50" s="266"/>
    </row>
    <row r="51" spans="1:16" s="4" customFormat="1" ht="15">
      <c r="A51" s="95">
        <v>47</v>
      </c>
      <c r="B51" s="311" t="s">
        <v>174</v>
      </c>
      <c r="C51" s="173">
        <v>40102</v>
      </c>
      <c r="D51" s="376" t="s">
        <v>120</v>
      </c>
      <c r="E51" s="284">
        <v>22</v>
      </c>
      <c r="F51" s="284">
        <v>1</v>
      </c>
      <c r="G51" s="284">
        <v>13</v>
      </c>
      <c r="H51" s="237">
        <v>952</v>
      </c>
      <c r="I51" s="193">
        <v>238</v>
      </c>
      <c r="J51" s="182">
        <f t="shared" si="2"/>
        <v>238</v>
      </c>
      <c r="K51" s="238">
        <f t="shared" si="0"/>
        <v>4</v>
      </c>
      <c r="L51" s="239">
        <f>129717.5+110957+18478+6527+6853.5+1081.5+738.5+250+165+404+829.5+186+952</f>
        <v>277139.5</v>
      </c>
      <c r="M51" s="181">
        <f>10402+8975+1885+691+1109+369+262+48+23+69+109+24+238</f>
        <v>24204</v>
      </c>
      <c r="N51" s="256">
        <f t="shared" si="1"/>
        <v>11.450152867294662</v>
      </c>
      <c r="O51" s="408"/>
      <c r="P51" s="266"/>
    </row>
    <row r="52" spans="1:16" s="4" customFormat="1" ht="15">
      <c r="A52" s="95">
        <v>48</v>
      </c>
      <c r="B52" s="311" t="s">
        <v>175</v>
      </c>
      <c r="C52" s="173">
        <v>39892</v>
      </c>
      <c r="D52" s="376" t="s">
        <v>120</v>
      </c>
      <c r="E52" s="284">
        <v>5</v>
      </c>
      <c r="F52" s="284">
        <v>1</v>
      </c>
      <c r="G52" s="284">
        <v>24</v>
      </c>
      <c r="H52" s="240">
        <v>952</v>
      </c>
      <c r="I52" s="196">
        <v>238</v>
      </c>
      <c r="J52" s="367">
        <f t="shared" si="2"/>
        <v>238</v>
      </c>
      <c r="K52" s="383">
        <f t="shared" si="0"/>
        <v>4</v>
      </c>
      <c r="L52" s="242">
        <f>18881.5+13473+6553+4173.5+2378+3269+2172+792+240+60+1236+552+1321+1757+465+884+565+65+261+952+114+51+2376+952</f>
        <v>63543</v>
      </c>
      <c r="M52" s="178">
        <f>2268+1745+795+568+579+610+541+209+80+20+215+68+169+337+93+144+93+15+56+238+23+20+594+238</f>
        <v>9718</v>
      </c>
      <c r="N52" s="397">
        <f t="shared" si="1"/>
        <v>6.538691088701379</v>
      </c>
      <c r="O52" s="408"/>
      <c r="P52" s="266"/>
    </row>
    <row r="53" spans="1:16" s="4" customFormat="1" ht="15">
      <c r="A53" s="94">
        <v>49</v>
      </c>
      <c r="B53" s="311" t="s">
        <v>176</v>
      </c>
      <c r="C53" s="173">
        <v>39997</v>
      </c>
      <c r="D53" s="376" t="s">
        <v>120</v>
      </c>
      <c r="E53" s="284">
        <v>5</v>
      </c>
      <c r="F53" s="284">
        <v>1</v>
      </c>
      <c r="G53" s="284">
        <v>21</v>
      </c>
      <c r="H53" s="237">
        <v>952</v>
      </c>
      <c r="I53" s="193">
        <v>238</v>
      </c>
      <c r="J53" s="182">
        <f t="shared" si="2"/>
        <v>238</v>
      </c>
      <c r="K53" s="238">
        <f t="shared" si="0"/>
        <v>4</v>
      </c>
      <c r="L53" s="239">
        <f>18914.5+7321+4028.5+1674+6130+4818.5+6984.5+5012.5+1695+4556+3587.5+1286+2931+2868+2878.5+3369+1780+1780+162+63+952</f>
        <v>82791.5</v>
      </c>
      <c r="M53" s="181">
        <f>1467+674+673+324+645+765+779+620+311+670+508+195+503+424+502+755+445+445+35+21+238</f>
        <v>10999</v>
      </c>
      <c r="N53" s="256">
        <f t="shared" si="1"/>
        <v>7.527184289480862</v>
      </c>
      <c r="O53" s="408"/>
      <c r="P53" s="266"/>
    </row>
    <row r="54" spans="1:16" s="4" customFormat="1" ht="15">
      <c r="A54" s="94">
        <v>50</v>
      </c>
      <c r="B54" s="311" t="s">
        <v>177</v>
      </c>
      <c r="C54" s="173">
        <v>39871</v>
      </c>
      <c r="D54" s="376" t="s">
        <v>120</v>
      </c>
      <c r="E54" s="284">
        <v>1</v>
      </c>
      <c r="F54" s="284">
        <v>1</v>
      </c>
      <c r="G54" s="284">
        <v>24</v>
      </c>
      <c r="H54" s="237">
        <v>952</v>
      </c>
      <c r="I54" s="193">
        <v>238</v>
      </c>
      <c r="J54" s="182">
        <f t="shared" si="2"/>
        <v>238</v>
      </c>
      <c r="K54" s="238">
        <f t="shared" si="0"/>
        <v>4</v>
      </c>
      <c r="L54" s="239">
        <f>1088+1510+1304+856+387+214+424+106+162+130+476+60.5+118+96+1664+1780+454+259.5+1188+119.5+1188+1780+1780+1780+952</f>
        <v>19876.5</v>
      </c>
      <c r="M54" s="181">
        <f>267+175+155+102+46+26+51+12+18+16+57+8+22+16+416+445+57+31+297+19+297+445+445+445+238</f>
        <v>4106</v>
      </c>
      <c r="N54" s="256">
        <f t="shared" si="1"/>
        <v>4.840842669264491</v>
      </c>
      <c r="O54" s="408"/>
      <c r="P54" s="266"/>
    </row>
    <row r="55" spans="1:16" s="4" customFormat="1" ht="15">
      <c r="A55" s="94">
        <v>51</v>
      </c>
      <c r="B55" s="311" t="s">
        <v>178</v>
      </c>
      <c r="C55" s="173">
        <v>40025</v>
      </c>
      <c r="D55" s="376" t="s">
        <v>120</v>
      </c>
      <c r="E55" s="284">
        <v>1</v>
      </c>
      <c r="F55" s="284">
        <v>1</v>
      </c>
      <c r="G55" s="284">
        <v>9</v>
      </c>
      <c r="H55" s="237">
        <v>952</v>
      </c>
      <c r="I55" s="193">
        <v>238</v>
      </c>
      <c r="J55" s="182">
        <f t="shared" si="2"/>
        <v>238</v>
      </c>
      <c r="K55" s="238">
        <f t="shared" si="0"/>
        <v>4</v>
      </c>
      <c r="L55" s="239">
        <f>6157+1979.5+2138+815+825+343+114+159+952</f>
        <v>13482.5</v>
      </c>
      <c r="M55" s="181">
        <f>452+147+247+163+165+40+19+36+238</f>
        <v>1507</v>
      </c>
      <c r="N55" s="256">
        <f t="shared" si="1"/>
        <v>8.946582614465827</v>
      </c>
      <c r="O55" s="408"/>
      <c r="P55" s="266"/>
    </row>
    <row r="56" spans="1:16" s="4" customFormat="1" ht="15">
      <c r="A56" s="94">
        <v>52</v>
      </c>
      <c r="B56" s="311" t="s">
        <v>179</v>
      </c>
      <c r="C56" s="173">
        <v>40053</v>
      </c>
      <c r="D56" s="376" t="s">
        <v>120</v>
      </c>
      <c r="E56" s="284">
        <v>14</v>
      </c>
      <c r="F56" s="284">
        <v>1</v>
      </c>
      <c r="G56" s="284">
        <v>11</v>
      </c>
      <c r="H56" s="237">
        <v>952</v>
      </c>
      <c r="I56" s="193">
        <v>238</v>
      </c>
      <c r="J56" s="182">
        <f t="shared" si="2"/>
        <v>238</v>
      </c>
      <c r="K56" s="238">
        <f t="shared" si="0"/>
        <v>4</v>
      </c>
      <c r="L56" s="239">
        <f>46744+27773.5+29652+15092+1850+3126+1717.5+468+83+54+952</f>
        <v>127512</v>
      </c>
      <c r="M56" s="181">
        <f>3724+2772+2752+1903+308+472+380+135+20+18+238</f>
        <v>12722</v>
      </c>
      <c r="N56" s="256">
        <f t="shared" si="1"/>
        <v>10.022952365980192</v>
      </c>
      <c r="O56" s="408"/>
      <c r="P56" s="266"/>
    </row>
    <row r="57" spans="1:16" s="4" customFormat="1" ht="15">
      <c r="A57" s="95">
        <v>53</v>
      </c>
      <c r="B57" s="311" t="s">
        <v>180</v>
      </c>
      <c r="C57" s="173">
        <v>40039</v>
      </c>
      <c r="D57" s="376" t="s">
        <v>120</v>
      </c>
      <c r="E57" s="284">
        <v>8</v>
      </c>
      <c r="F57" s="284">
        <v>1</v>
      </c>
      <c r="G57" s="284">
        <v>11</v>
      </c>
      <c r="H57" s="237">
        <v>952</v>
      </c>
      <c r="I57" s="193">
        <v>238</v>
      </c>
      <c r="J57" s="182">
        <f t="shared" si="2"/>
        <v>238</v>
      </c>
      <c r="K57" s="238">
        <f t="shared" si="0"/>
        <v>4</v>
      </c>
      <c r="L57" s="239">
        <f>29121.25+9335.5+10783.5+6805.5+6780.5+3746+1541.5+84+273+1188+952</f>
        <v>70610.75</v>
      </c>
      <c r="M57" s="181">
        <f>2428+976+1509+1029+1087+466+273+24+62+297+238</f>
        <v>8389</v>
      </c>
      <c r="N57" s="256">
        <f t="shared" si="1"/>
        <v>8.417064012397187</v>
      </c>
      <c r="O57" s="408"/>
      <c r="P57" s="266"/>
    </row>
    <row r="58" spans="1:16" s="4" customFormat="1" ht="15">
      <c r="A58" s="95">
        <v>54</v>
      </c>
      <c r="B58" s="311" t="s">
        <v>181</v>
      </c>
      <c r="C58" s="173">
        <v>40445</v>
      </c>
      <c r="D58" s="376" t="s">
        <v>120</v>
      </c>
      <c r="E58" s="284">
        <v>99</v>
      </c>
      <c r="F58" s="284">
        <v>1</v>
      </c>
      <c r="G58" s="284">
        <v>14</v>
      </c>
      <c r="H58" s="237">
        <v>678</v>
      </c>
      <c r="I58" s="193">
        <v>102</v>
      </c>
      <c r="J58" s="182">
        <f t="shared" si="2"/>
        <v>102</v>
      </c>
      <c r="K58" s="238">
        <f t="shared" si="0"/>
        <v>6.647058823529412</v>
      </c>
      <c r="L58" s="239">
        <f>321502+248658+168337.5+120626.5+93787.5+82596.5+8900+14133+4789+1421+2440+594+966+678</f>
        <v>1069429</v>
      </c>
      <c r="M58" s="181">
        <f>37510+29635+22309+17930+15012+11746+1292+2243+804+260+600+115+317+102</f>
        <v>139875</v>
      </c>
      <c r="N58" s="256">
        <f t="shared" si="1"/>
        <v>7.645605004468275</v>
      </c>
      <c r="O58" s="408">
        <v>1</v>
      </c>
      <c r="P58" s="266"/>
    </row>
    <row r="59" spans="1:16" s="4" customFormat="1" ht="15">
      <c r="A59" s="94">
        <v>55</v>
      </c>
      <c r="B59" s="311" t="s">
        <v>152</v>
      </c>
      <c r="C59" s="173">
        <v>40543</v>
      </c>
      <c r="D59" s="376" t="s">
        <v>120</v>
      </c>
      <c r="E59" s="284">
        <v>77</v>
      </c>
      <c r="F59" s="284">
        <v>3</v>
      </c>
      <c r="G59" s="284">
        <v>8</v>
      </c>
      <c r="H59" s="237">
        <v>615.5</v>
      </c>
      <c r="I59" s="193">
        <v>118</v>
      </c>
      <c r="J59" s="182">
        <f t="shared" si="2"/>
        <v>39.333333333333336</v>
      </c>
      <c r="K59" s="238">
        <f t="shared" si="0"/>
        <v>5.216101694915254</v>
      </c>
      <c r="L59" s="239">
        <f>163528+30551+13366.5+447+2034+736+438+615.5</f>
        <v>211716</v>
      </c>
      <c r="M59" s="181">
        <f>16190+3500+1888+71+488+168+61+118</f>
        <v>22484</v>
      </c>
      <c r="N59" s="256">
        <f t="shared" si="1"/>
        <v>9.416296032734389</v>
      </c>
      <c r="O59" s="408">
        <v>1</v>
      </c>
      <c r="P59" s="266"/>
    </row>
    <row r="60" spans="1:16" s="4" customFormat="1" ht="15">
      <c r="A60" s="94">
        <v>56</v>
      </c>
      <c r="B60" s="257" t="s">
        <v>58</v>
      </c>
      <c r="C60" s="169">
        <v>40529</v>
      </c>
      <c r="D60" s="286" t="s">
        <v>24</v>
      </c>
      <c r="E60" s="285">
        <v>72</v>
      </c>
      <c r="F60" s="285">
        <v>1</v>
      </c>
      <c r="G60" s="285">
        <v>8</v>
      </c>
      <c r="H60" s="234">
        <v>500</v>
      </c>
      <c r="I60" s="192">
        <v>70</v>
      </c>
      <c r="J60" s="172">
        <f>I60/F60</f>
        <v>70</v>
      </c>
      <c r="K60" s="235">
        <f t="shared" si="0"/>
        <v>7.142857142857143</v>
      </c>
      <c r="L60" s="236">
        <v>919779</v>
      </c>
      <c r="M60" s="171">
        <v>84805</v>
      </c>
      <c r="N60" s="254">
        <f>+L60/M60</f>
        <v>10.84581097812629</v>
      </c>
      <c r="O60" s="408"/>
      <c r="P60" s="266"/>
    </row>
    <row r="61" spans="1:16" s="4" customFormat="1" ht="15">
      <c r="A61" s="94">
        <v>57</v>
      </c>
      <c r="B61" s="311" t="s">
        <v>130</v>
      </c>
      <c r="C61" s="173">
        <v>40564</v>
      </c>
      <c r="D61" s="376" t="s">
        <v>120</v>
      </c>
      <c r="E61" s="284">
        <v>13</v>
      </c>
      <c r="F61" s="284">
        <v>1</v>
      </c>
      <c r="G61" s="284">
        <v>5</v>
      </c>
      <c r="H61" s="237">
        <v>489</v>
      </c>
      <c r="I61" s="193">
        <v>63</v>
      </c>
      <c r="J61" s="182">
        <f>(I61/F61)</f>
        <v>63</v>
      </c>
      <c r="K61" s="238">
        <f t="shared" si="0"/>
        <v>7.761904761904762</v>
      </c>
      <c r="L61" s="239">
        <f>64028+21223+629+205+489</f>
        <v>86574</v>
      </c>
      <c r="M61" s="181">
        <f>5321+1577+38+24+63</f>
        <v>7023</v>
      </c>
      <c r="N61" s="256">
        <f>L61/M61</f>
        <v>12.327210593763349</v>
      </c>
      <c r="O61" s="408"/>
      <c r="P61" s="266"/>
    </row>
    <row r="62" spans="1:16" s="4" customFormat="1" ht="15">
      <c r="A62" s="94">
        <v>58</v>
      </c>
      <c r="B62" s="311" t="s">
        <v>182</v>
      </c>
      <c r="C62" s="173">
        <v>40543</v>
      </c>
      <c r="D62" s="283" t="s">
        <v>31</v>
      </c>
      <c r="E62" s="284">
        <v>37</v>
      </c>
      <c r="F62" s="284">
        <v>2</v>
      </c>
      <c r="G62" s="284">
        <v>8</v>
      </c>
      <c r="H62" s="231">
        <v>450</v>
      </c>
      <c r="I62" s="194">
        <v>71</v>
      </c>
      <c r="J62" s="175">
        <f>I62/F62</f>
        <v>35.5</v>
      </c>
      <c r="K62" s="232">
        <f t="shared" si="0"/>
        <v>6.338028169014085</v>
      </c>
      <c r="L62" s="233">
        <v>66290.5</v>
      </c>
      <c r="M62" s="175">
        <v>9245</v>
      </c>
      <c r="N62" s="252">
        <f>L62/M62</f>
        <v>7.170416441319632</v>
      </c>
      <c r="O62" s="408">
        <v>1</v>
      </c>
      <c r="P62" s="266"/>
    </row>
    <row r="63" spans="1:16" s="4" customFormat="1" ht="15">
      <c r="A63" s="95">
        <v>59</v>
      </c>
      <c r="B63" s="311" t="s">
        <v>139</v>
      </c>
      <c r="C63" s="186">
        <v>40564</v>
      </c>
      <c r="D63" s="295" t="s">
        <v>90</v>
      </c>
      <c r="E63" s="296">
        <v>1</v>
      </c>
      <c r="F63" s="296">
        <v>1</v>
      </c>
      <c r="G63" s="296">
        <v>4</v>
      </c>
      <c r="H63" s="245">
        <v>449</v>
      </c>
      <c r="I63" s="194">
        <v>62</v>
      </c>
      <c r="J63" s="176">
        <f>I63/F63</f>
        <v>62</v>
      </c>
      <c r="K63" s="246">
        <f t="shared" si="0"/>
        <v>7.241935483870968</v>
      </c>
      <c r="L63" s="247">
        <v>8377</v>
      </c>
      <c r="M63" s="176">
        <v>729</v>
      </c>
      <c r="N63" s="260">
        <f>L63/M63</f>
        <v>11.491083676268861</v>
      </c>
      <c r="O63" s="408"/>
      <c r="P63" s="266"/>
    </row>
    <row r="64" spans="1:16" s="4" customFormat="1" ht="15">
      <c r="A64" s="95">
        <v>60</v>
      </c>
      <c r="B64" s="311" t="s">
        <v>76</v>
      </c>
      <c r="C64" s="173">
        <v>40487</v>
      </c>
      <c r="D64" s="283" t="s">
        <v>26</v>
      </c>
      <c r="E64" s="284">
        <v>162</v>
      </c>
      <c r="F64" s="284">
        <v>1</v>
      </c>
      <c r="G64" s="284">
        <v>14</v>
      </c>
      <c r="H64" s="231">
        <v>313</v>
      </c>
      <c r="I64" s="194">
        <v>52</v>
      </c>
      <c r="J64" s="179">
        <f>+I64/F64</f>
        <v>52</v>
      </c>
      <c r="K64" s="241">
        <f>+H64/I64</f>
        <v>6.019230769230769</v>
      </c>
      <c r="L64" s="233">
        <f>525983.5+915356-20+520720.5+229861+37809.5+41066.5+9062.5+5020+8527+1340+1644+1941+1056+313</f>
        <v>2299680.5</v>
      </c>
      <c r="M64" s="175">
        <f>56225+93965-2+58841+28041+5233+5910+1474+785+1182+198+319+388+171+52</f>
        <v>252782</v>
      </c>
      <c r="N64" s="258">
        <f>+L64/M64</f>
        <v>9.097485184862846</v>
      </c>
      <c r="O64" s="408">
        <v>1</v>
      </c>
      <c r="P64" s="266"/>
    </row>
    <row r="65" spans="1:16" s="4" customFormat="1" ht="15">
      <c r="A65" s="94">
        <v>61</v>
      </c>
      <c r="B65" s="311" t="s">
        <v>133</v>
      </c>
      <c r="C65" s="186">
        <v>40564</v>
      </c>
      <c r="D65" s="295" t="s">
        <v>90</v>
      </c>
      <c r="E65" s="296">
        <v>3</v>
      </c>
      <c r="F65" s="296">
        <v>1</v>
      </c>
      <c r="G65" s="296">
        <v>4</v>
      </c>
      <c r="H65" s="245">
        <v>243.5</v>
      </c>
      <c r="I65" s="194">
        <v>37</v>
      </c>
      <c r="J65" s="176">
        <f>I65/F65</f>
        <v>37</v>
      </c>
      <c r="K65" s="246">
        <f>H65/I65</f>
        <v>6.581081081081081</v>
      </c>
      <c r="L65" s="247">
        <v>11909.5</v>
      </c>
      <c r="M65" s="176">
        <v>822</v>
      </c>
      <c r="N65" s="260">
        <f>L65/M65</f>
        <v>14.488442822384428</v>
      </c>
      <c r="O65" s="408"/>
      <c r="P65" s="266">
        <v>1</v>
      </c>
    </row>
    <row r="66" spans="1:16" s="4" customFormat="1" ht="15">
      <c r="A66" s="94">
        <v>62</v>
      </c>
      <c r="B66" s="257" t="s">
        <v>92</v>
      </c>
      <c r="C66" s="169">
        <v>40529</v>
      </c>
      <c r="D66" s="286" t="s">
        <v>17</v>
      </c>
      <c r="E66" s="285">
        <v>134</v>
      </c>
      <c r="F66" s="285">
        <v>1</v>
      </c>
      <c r="G66" s="285">
        <v>8</v>
      </c>
      <c r="H66" s="243">
        <v>230</v>
      </c>
      <c r="I66" s="197">
        <v>38</v>
      </c>
      <c r="J66" s="179">
        <f>IF(H66&lt;&gt;0,I66/F66,"")</f>
        <v>38</v>
      </c>
      <c r="K66" s="241">
        <f>IF(H66&lt;&gt;0,H66/I66,"")</f>
        <v>6.052631578947368</v>
      </c>
      <c r="L66" s="244">
        <f>415183+3929+3246+2363+1074+230</f>
        <v>426025</v>
      </c>
      <c r="M66" s="175">
        <f>52315+638+476+361+299+38</f>
        <v>54127</v>
      </c>
      <c r="N66" s="258">
        <f>IF(L66&lt;&gt;0,L66/M66,"")</f>
        <v>7.870840800339941</v>
      </c>
      <c r="O66" s="408">
        <v>1</v>
      </c>
      <c r="P66" s="266"/>
    </row>
    <row r="67" spans="1:16" s="4" customFormat="1" ht="15">
      <c r="A67" s="94">
        <v>63</v>
      </c>
      <c r="B67" s="311" t="s">
        <v>103</v>
      </c>
      <c r="C67" s="173">
        <v>40550</v>
      </c>
      <c r="D67" s="376" t="s">
        <v>120</v>
      </c>
      <c r="E67" s="284">
        <v>2</v>
      </c>
      <c r="F67" s="284">
        <v>2</v>
      </c>
      <c r="G67" s="284">
        <v>6</v>
      </c>
      <c r="H67" s="237">
        <v>140</v>
      </c>
      <c r="I67" s="193">
        <v>315</v>
      </c>
      <c r="J67" s="182">
        <f>(I67/F67)</f>
        <v>157.5</v>
      </c>
      <c r="K67" s="238">
        <f>H67/I67</f>
        <v>0.4444444444444444</v>
      </c>
      <c r="L67" s="239">
        <f>8356+3109+3208+1189+694+1140</f>
        <v>17696</v>
      </c>
      <c r="M67" s="181">
        <f>789+330+327+132+146+315</f>
        <v>2039</v>
      </c>
      <c r="N67" s="256">
        <f>L67/M67</f>
        <v>8.678764100049044</v>
      </c>
      <c r="O67" s="408"/>
      <c r="P67" s="266"/>
    </row>
    <row r="68" spans="1:16" s="4" customFormat="1" ht="15">
      <c r="A68" s="94">
        <v>64</v>
      </c>
      <c r="B68" s="311" t="s">
        <v>106</v>
      </c>
      <c r="C68" s="173">
        <v>40529</v>
      </c>
      <c r="D68" s="376" t="s">
        <v>120</v>
      </c>
      <c r="E68" s="284">
        <v>27</v>
      </c>
      <c r="F68" s="284">
        <v>1</v>
      </c>
      <c r="G68" s="284">
        <v>7</v>
      </c>
      <c r="H68" s="237">
        <v>100</v>
      </c>
      <c r="I68" s="193">
        <v>13</v>
      </c>
      <c r="J68" s="182">
        <f>(I68/F68)</f>
        <v>13</v>
      </c>
      <c r="K68" s="238">
        <f>H68/I68</f>
        <v>7.6923076923076925</v>
      </c>
      <c r="L68" s="239">
        <f>68045+25663+7073.5+5233+3859+470+100</f>
        <v>110443.5</v>
      </c>
      <c r="M68" s="181">
        <f>5442+2277+920+1185+711+78+13</f>
        <v>10626</v>
      </c>
      <c r="N68" s="256">
        <f>L68/M68</f>
        <v>10.393704121964992</v>
      </c>
      <c r="O68" s="408"/>
      <c r="P68" s="266"/>
    </row>
    <row r="69" spans="1:16" s="4" customFormat="1" ht="15.75" thickBot="1">
      <c r="A69" s="95">
        <v>65</v>
      </c>
      <c r="B69" s="398" t="s">
        <v>20</v>
      </c>
      <c r="C69" s="428">
        <v>40207</v>
      </c>
      <c r="D69" s="399" t="s">
        <v>17</v>
      </c>
      <c r="E69" s="400">
        <v>47</v>
      </c>
      <c r="F69" s="400">
        <v>1</v>
      </c>
      <c r="G69" s="400">
        <v>42</v>
      </c>
      <c r="H69" s="401">
        <v>100</v>
      </c>
      <c r="I69" s="402">
        <v>10</v>
      </c>
      <c r="J69" s="403">
        <f>IF(H69&lt;&gt;0,I69/F69,"")</f>
        <v>10</v>
      </c>
      <c r="K69" s="404">
        <f>IF(H69&lt;&gt;0,H69/I69,"")</f>
        <v>10</v>
      </c>
      <c r="L69" s="405">
        <f>1883790+184+100</f>
        <v>1884074</v>
      </c>
      <c r="M69" s="406">
        <f>162822+46+10</f>
        <v>162878</v>
      </c>
      <c r="N69" s="407">
        <f>IF(L69&lt;&gt;0,L69/M69,"")</f>
        <v>11.56739400041749</v>
      </c>
      <c r="O69" s="408"/>
      <c r="P69" s="266"/>
    </row>
    <row r="70" spans="1:16" s="4" customFormat="1" ht="15">
      <c r="A70" s="460"/>
      <c r="B70" s="461"/>
      <c r="C70" s="6"/>
      <c r="D70" s="7"/>
      <c r="E70" s="20"/>
      <c r="F70" s="21"/>
      <c r="G70" s="20"/>
      <c r="H70" s="8"/>
      <c r="I70" s="9"/>
      <c r="J70" s="12"/>
      <c r="K70" s="13"/>
      <c r="L70" s="14"/>
      <c r="M70" s="15"/>
      <c r="N70" s="59"/>
      <c r="O70" s="64"/>
      <c r="P70" s="64"/>
    </row>
    <row r="71" spans="1:16" s="4" customFormat="1" ht="13.5">
      <c r="A71" s="75"/>
      <c r="B71" s="23"/>
      <c r="C71" s="24"/>
      <c r="D71" s="25"/>
      <c r="E71" s="26"/>
      <c r="F71" s="26"/>
      <c r="G71" s="26"/>
      <c r="H71" s="27"/>
      <c r="I71" s="28"/>
      <c r="J71" s="29"/>
      <c r="K71" s="30"/>
      <c r="L71" s="31"/>
      <c r="M71" s="32"/>
      <c r="N71" s="30"/>
      <c r="O71" s="64"/>
      <c r="P71" s="64"/>
    </row>
    <row r="72" spans="1:52" s="121" customFormat="1" ht="21.75" customHeight="1">
      <c r="A72" s="457" t="s">
        <v>56</v>
      </c>
      <c r="B72" s="458"/>
      <c r="C72" s="458"/>
      <c r="D72" s="458"/>
      <c r="E72" s="458"/>
      <c r="F72" s="458"/>
      <c r="G72" s="458"/>
      <c r="H72" s="458"/>
      <c r="I72" s="458"/>
      <c r="J72" s="458"/>
      <c r="K72" s="458"/>
      <c r="L72" s="458"/>
      <c r="M72" s="458"/>
      <c r="N72" s="458"/>
      <c r="O72" s="153"/>
      <c r="P72" s="263"/>
      <c r="Q72" s="126"/>
      <c r="R72" s="126"/>
      <c r="S72" s="126"/>
      <c r="T72" s="126"/>
      <c r="U72" s="126"/>
      <c r="V72" s="126"/>
      <c r="W72" s="144"/>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1"/>
    </row>
    <row r="73" spans="1:256" s="121" customFormat="1" ht="18" customHeight="1">
      <c r="A73" s="457" t="s">
        <v>28</v>
      </c>
      <c r="B73" s="458"/>
      <c r="C73" s="458"/>
      <c r="D73" s="458"/>
      <c r="E73" s="458"/>
      <c r="F73" s="458"/>
      <c r="G73" s="458"/>
      <c r="H73" s="458"/>
      <c r="I73" s="458"/>
      <c r="J73" s="458"/>
      <c r="K73" s="458"/>
      <c r="L73" s="458"/>
      <c r="M73" s="458"/>
      <c r="N73" s="458"/>
      <c r="O73" s="153"/>
      <c r="P73" s="263"/>
      <c r="Q73" s="126"/>
      <c r="R73" s="126"/>
      <c r="S73" s="126"/>
      <c r="T73" s="126"/>
      <c r="U73" s="126"/>
      <c r="V73" s="126"/>
      <c r="W73" s="146"/>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6"/>
      <c r="AT73" s="147"/>
      <c r="AU73" s="147"/>
      <c r="AV73" s="147"/>
      <c r="AW73" s="147"/>
      <c r="AX73" s="147"/>
      <c r="AY73" s="147"/>
      <c r="AZ73" s="142"/>
      <c r="BA73" s="123"/>
      <c r="BB73" s="123"/>
      <c r="BC73" s="123"/>
      <c r="BD73" s="123"/>
      <c r="BE73" s="123"/>
      <c r="BF73" s="123"/>
      <c r="BG73" s="123"/>
      <c r="BH73" s="123"/>
      <c r="BI73" s="123"/>
      <c r="BJ73" s="123"/>
      <c r="BK73" s="123"/>
      <c r="BL73" s="123"/>
      <c r="BM73" s="123"/>
      <c r="BN73" s="123"/>
      <c r="BO73" s="122"/>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2"/>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2"/>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2"/>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2"/>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2"/>
      <c r="FV73" s="123"/>
      <c r="FW73" s="123"/>
      <c r="FX73" s="123"/>
      <c r="FY73" s="123"/>
      <c r="FZ73" s="123"/>
      <c r="GA73" s="123"/>
      <c r="GB73" s="123"/>
      <c r="GC73" s="123"/>
      <c r="GD73" s="123"/>
      <c r="GE73" s="123"/>
      <c r="GF73" s="123"/>
      <c r="GG73" s="123"/>
      <c r="GH73" s="123"/>
      <c r="GI73" s="123"/>
      <c r="GJ73" s="123"/>
      <c r="GK73" s="123"/>
      <c r="GL73" s="123"/>
      <c r="GM73" s="123"/>
      <c r="GN73" s="123"/>
      <c r="GO73" s="123"/>
      <c r="GP73" s="123"/>
      <c r="GQ73" s="122"/>
      <c r="GR73" s="123"/>
      <c r="GS73" s="123"/>
      <c r="GT73" s="123"/>
      <c r="GU73" s="123"/>
      <c r="GV73" s="123"/>
      <c r="GW73" s="123"/>
      <c r="GX73" s="123"/>
      <c r="GY73" s="123"/>
      <c r="GZ73" s="123"/>
      <c r="HA73" s="123"/>
      <c r="HB73" s="123"/>
      <c r="HC73" s="123"/>
      <c r="HD73" s="123"/>
      <c r="HE73" s="123"/>
      <c r="HF73" s="123"/>
      <c r="HG73" s="123"/>
      <c r="HH73" s="123"/>
      <c r="HI73" s="123"/>
      <c r="HJ73" s="123"/>
      <c r="HK73" s="123"/>
      <c r="HL73" s="123"/>
      <c r="HM73" s="122"/>
      <c r="HN73" s="123"/>
      <c r="HO73" s="123"/>
      <c r="HP73" s="123"/>
      <c r="HQ73" s="123"/>
      <c r="HR73" s="123"/>
      <c r="HS73" s="123"/>
      <c r="HT73" s="123"/>
      <c r="HU73" s="123"/>
      <c r="HV73" s="123"/>
      <c r="HW73" s="123"/>
      <c r="HX73" s="123"/>
      <c r="HY73" s="123"/>
      <c r="HZ73" s="123"/>
      <c r="IA73" s="123"/>
      <c r="IB73" s="123"/>
      <c r="IC73" s="123"/>
      <c r="ID73" s="123"/>
      <c r="IE73" s="123"/>
      <c r="IF73" s="123"/>
      <c r="IG73" s="123"/>
      <c r="IH73" s="123"/>
      <c r="II73" s="122"/>
      <c r="IJ73" s="123"/>
      <c r="IK73" s="123"/>
      <c r="IL73" s="123"/>
      <c r="IM73" s="123"/>
      <c r="IN73" s="123"/>
      <c r="IO73" s="123"/>
      <c r="IP73" s="123"/>
      <c r="IQ73" s="123"/>
      <c r="IR73" s="123"/>
      <c r="IS73" s="123"/>
      <c r="IT73" s="123"/>
      <c r="IU73" s="123"/>
      <c r="IV73" s="123"/>
    </row>
    <row r="74" spans="1:256" s="121" customFormat="1" ht="18" customHeight="1">
      <c r="A74" s="458"/>
      <c r="B74" s="458"/>
      <c r="C74" s="458"/>
      <c r="D74" s="458"/>
      <c r="E74" s="458"/>
      <c r="F74" s="458"/>
      <c r="G74" s="458"/>
      <c r="H74" s="458"/>
      <c r="I74" s="458"/>
      <c r="J74" s="458"/>
      <c r="K74" s="458"/>
      <c r="L74" s="458"/>
      <c r="M74" s="458"/>
      <c r="N74" s="458"/>
      <c r="O74" s="153"/>
      <c r="P74" s="263"/>
      <c r="Q74" s="126"/>
      <c r="R74" s="126"/>
      <c r="S74" s="126"/>
      <c r="T74" s="126"/>
      <c r="U74" s="126"/>
      <c r="V74" s="126"/>
      <c r="W74" s="146"/>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6"/>
      <c r="AT74" s="147"/>
      <c r="AU74" s="147"/>
      <c r="AV74" s="147"/>
      <c r="AW74" s="147"/>
      <c r="AX74" s="147"/>
      <c r="AY74" s="147"/>
      <c r="AZ74" s="142"/>
      <c r="BA74" s="123"/>
      <c r="BB74" s="123"/>
      <c r="BC74" s="123"/>
      <c r="BD74" s="123"/>
      <c r="BE74" s="123"/>
      <c r="BF74" s="123"/>
      <c r="BG74" s="123"/>
      <c r="BH74" s="123"/>
      <c r="BI74" s="123"/>
      <c r="BJ74" s="123"/>
      <c r="BK74" s="123"/>
      <c r="BL74" s="123"/>
      <c r="BM74" s="123"/>
      <c r="BN74" s="123"/>
      <c r="BO74" s="122"/>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2"/>
      <c r="CL74" s="123"/>
      <c r="CM74" s="123"/>
      <c r="CN74" s="123"/>
      <c r="CO74" s="123"/>
      <c r="CP74" s="123"/>
      <c r="CQ74" s="123"/>
      <c r="CR74" s="123"/>
      <c r="CS74" s="123"/>
      <c r="CT74" s="123"/>
      <c r="CU74" s="123"/>
      <c r="CV74" s="123"/>
      <c r="CW74" s="123"/>
      <c r="CX74" s="123"/>
      <c r="CY74" s="123"/>
      <c r="CZ74" s="123"/>
      <c r="DA74" s="123"/>
      <c r="DB74" s="123"/>
      <c r="DC74" s="123"/>
      <c r="DD74" s="123"/>
      <c r="DE74" s="123"/>
      <c r="DF74" s="123"/>
      <c r="DG74" s="122"/>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2"/>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2"/>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2"/>
      <c r="FV74" s="123"/>
      <c r="FW74" s="123"/>
      <c r="FX74" s="123"/>
      <c r="FY74" s="123"/>
      <c r="FZ74" s="123"/>
      <c r="GA74" s="123"/>
      <c r="GB74" s="123"/>
      <c r="GC74" s="123"/>
      <c r="GD74" s="123"/>
      <c r="GE74" s="123"/>
      <c r="GF74" s="123"/>
      <c r="GG74" s="123"/>
      <c r="GH74" s="123"/>
      <c r="GI74" s="123"/>
      <c r="GJ74" s="123"/>
      <c r="GK74" s="123"/>
      <c r="GL74" s="123"/>
      <c r="GM74" s="123"/>
      <c r="GN74" s="123"/>
      <c r="GO74" s="123"/>
      <c r="GP74" s="123"/>
      <c r="GQ74" s="122"/>
      <c r="GR74" s="123"/>
      <c r="GS74" s="123"/>
      <c r="GT74" s="123"/>
      <c r="GU74" s="123"/>
      <c r="GV74" s="123"/>
      <c r="GW74" s="123"/>
      <c r="GX74" s="123"/>
      <c r="GY74" s="123"/>
      <c r="GZ74" s="123"/>
      <c r="HA74" s="123"/>
      <c r="HB74" s="123"/>
      <c r="HC74" s="123"/>
      <c r="HD74" s="123"/>
      <c r="HE74" s="123"/>
      <c r="HF74" s="123"/>
      <c r="HG74" s="123"/>
      <c r="HH74" s="123"/>
      <c r="HI74" s="123"/>
      <c r="HJ74" s="123"/>
      <c r="HK74" s="123"/>
      <c r="HL74" s="123"/>
      <c r="HM74" s="122"/>
      <c r="HN74" s="123"/>
      <c r="HO74" s="123"/>
      <c r="HP74" s="123"/>
      <c r="HQ74" s="123"/>
      <c r="HR74" s="123"/>
      <c r="HS74" s="123"/>
      <c r="HT74" s="123"/>
      <c r="HU74" s="123"/>
      <c r="HV74" s="123"/>
      <c r="HW74" s="123"/>
      <c r="HX74" s="123"/>
      <c r="HY74" s="123"/>
      <c r="HZ74" s="123"/>
      <c r="IA74" s="123"/>
      <c r="IB74" s="123"/>
      <c r="IC74" s="123"/>
      <c r="ID74" s="123"/>
      <c r="IE74" s="123"/>
      <c r="IF74" s="123"/>
      <c r="IG74" s="123"/>
      <c r="IH74" s="123"/>
      <c r="II74" s="122"/>
      <c r="IJ74" s="123"/>
      <c r="IK74" s="123"/>
      <c r="IL74" s="123"/>
      <c r="IM74" s="123"/>
      <c r="IN74" s="123"/>
      <c r="IO74" s="123"/>
      <c r="IP74" s="123"/>
      <c r="IQ74" s="123"/>
      <c r="IR74" s="123"/>
      <c r="IS74" s="123"/>
      <c r="IT74" s="123"/>
      <c r="IU74" s="123"/>
      <c r="IV74" s="123"/>
    </row>
    <row r="75" spans="1:256" s="121" customFormat="1" ht="18" customHeight="1">
      <c r="A75" s="458"/>
      <c r="B75" s="458"/>
      <c r="C75" s="458"/>
      <c r="D75" s="458"/>
      <c r="E75" s="458"/>
      <c r="F75" s="458"/>
      <c r="G75" s="458"/>
      <c r="H75" s="458"/>
      <c r="I75" s="458"/>
      <c r="J75" s="458"/>
      <c r="K75" s="458"/>
      <c r="L75" s="458"/>
      <c r="M75" s="458"/>
      <c r="N75" s="458"/>
      <c r="O75" s="153"/>
      <c r="P75" s="263"/>
      <c r="Q75" s="126"/>
      <c r="R75" s="126"/>
      <c r="S75" s="126"/>
      <c r="T75" s="126"/>
      <c r="U75" s="126"/>
      <c r="V75" s="126"/>
      <c r="W75" s="146"/>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6"/>
      <c r="AT75" s="147"/>
      <c r="AU75" s="147"/>
      <c r="AV75" s="147"/>
      <c r="AW75" s="147"/>
      <c r="AX75" s="147"/>
      <c r="AY75" s="147"/>
      <c r="AZ75" s="142"/>
      <c r="BA75" s="123"/>
      <c r="BB75" s="123"/>
      <c r="BC75" s="123"/>
      <c r="BD75" s="123"/>
      <c r="BE75" s="123"/>
      <c r="BF75" s="123"/>
      <c r="BG75" s="123"/>
      <c r="BH75" s="123"/>
      <c r="BI75" s="123"/>
      <c r="BJ75" s="123"/>
      <c r="BK75" s="123"/>
      <c r="BL75" s="123"/>
      <c r="BM75" s="123"/>
      <c r="BN75" s="123"/>
      <c r="BO75" s="122"/>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2"/>
      <c r="CL75" s="123"/>
      <c r="CM75" s="123"/>
      <c r="CN75" s="123"/>
      <c r="CO75" s="123"/>
      <c r="CP75" s="123"/>
      <c r="CQ75" s="123"/>
      <c r="CR75" s="123"/>
      <c r="CS75" s="123"/>
      <c r="CT75" s="123"/>
      <c r="CU75" s="123"/>
      <c r="CV75" s="123"/>
      <c r="CW75" s="123"/>
      <c r="CX75" s="123"/>
      <c r="CY75" s="123"/>
      <c r="CZ75" s="123"/>
      <c r="DA75" s="123"/>
      <c r="DB75" s="123"/>
      <c r="DC75" s="123"/>
      <c r="DD75" s="123"/>
      <c r="DE75" s="123"/>
      <c r="DF75" s="123"/>
      <c r="DG75" s="122"/>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2"/>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2"/>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2"/>
      <c r="FV75" s="123"/>
      <c r="FW75" s="123"/>
      <c r="FX75" s="123"/>
      <c r="FY75" s="123"/>
      <c r="FZ75" s="123"/>
      <c r="GA75" s="123"/>
      <c r="GB75" s="123"/>
      <c r="GC75" s="123"/>
      <c r="GD75" s="123"/>
      <c r="GE75" s="123"/>
      <c r="GF75" s="123"/>
      <c r="GG75" s="123"/>
      <c r="GH75" s="123"/>
      <c r="GI75" s="123"/>
      <c r="GJ75" s="123"/>
      <c r="GK75" s="123"/>
      <c r="GL75" s="123"/>
      <c r="GM75" s="123"/>
      <c r="GN75" s="123"/>
      <c r="GO75" s="123"/>
      <c r="GP75" s="123"/>
      <c r="GQ75" s="122"/>
      <c r="GR75" s="123"/>
      <c r="GS75" s="123"/>
      <c r="GT75" s="123"/>
      <c r="GU75" s="123"/>
      <c r="GV75" s="123"/>
      <c r="GW75" s="123"/>
      <c r="GX75" s="123"/>
      <c r="GY75" s="123"/>
      <c r="GZ75" s="123"/>
      <c r="HA75" s="123"/>
      <c r="HB75" s="123"/>
      <c r="HC75" s="123"/>
      <c r="HD75" s="123"/>
      <c r="HE75" s="123"/>
      <c r="HF75" s="123"/>
      <c r="HG75" s="123"/>
      <c r="HH75" s="123"/>
      <c r="HI75" s="123"/>
      <c r="HJ75" s="123"/>
      <c r="HK75" s="123"/>
      <c r="HL75" s="123"/>
      <c r="HM75" s="122"/>
      <c r="HN75" s="123"/>
      <c r="HO75" s="123"/>
      <c r="HP75" s="123"/>
      <c r="HQ75" s="123"/>
      <c r="HR75" s="123"/>
      <c r="HS75" s="123"/>
      <c r="HT75" s="123"/>
      <c r="HU75" s="123"/>
      <c r="HV75" s="123"/>
      <c r="HW75" s="123"/>
      <c r="HX75" s="123"/>
      <c r="HY75" s="123"/>
      <c r="HZ75" s="123"/>
      <c r="IA75" s="123"/>
      <c r="IB75" s="123"/>
      <c r="IC75" s="123"/>
      <c r="ID75" s="123"/>
      <c r="IE75" s="123"/>
      <c r="IF75" s="123"/>
      <c r="IG75" s="123"/>
      <c r="IH75" s="123"/>
      <c r="II75" s="122"/>
      <c r="IJ75" s="123"/>
      <c r="IK75" s="123"/>
      <c r="IL75" s="123"/>
      <c r="IM75" s="123"/>
      <c r="IN75" s="123"/>
      <c r="IO75" s="123"/>
      <c r="IP75" s="123"/>
      <c r="IQ75" s="123"/>
      <c r="IR75" s="123"/>
      <c r="IS75" s="123"/>
      <c r="IT75" s="123"/>
      <c r="IU75" s="123"/>
      <c r="IV75" s="123"/>
    </row>
    <row r="76" spans="1:256" s="121" customFormat="1" ht="15" customHeight="1">
      <c r="A76" s="457" t="s">
        <v>54</v>
      </c>
      <c r="B76" s="459"/>
      <c r="C76" s="459"/>
      <c r="D76" s="459"/>
      <c r="E76" s="459"/>
      <c r="F76" s="459"/>
      <c r="G76" s="459"/>
      <c r="H76" s="459"/>
      <c r="I76" s="459"/>
      <c r="J76" s="459"/>
      <c r="K76" s="459"/>
      <c r="L76" s="459"/>
      <c r="M76" s="459"/>
      <c r="N76" s="459"/>
      <c r="O76" s="154"/>
      <c r="P76" s="264"/>
      <c r="Q76" s="127"/>
      <c r="R76" s="127"/>
      <c r="S76" s="127"/>
      <c r="T76" s="127"/>
      <c r="U76" s="127"/>
      <c r="V76" s="127"/>
      <c r="W76" s="146"/>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6"/>
      <c r="AT76" s="147"/>
      <c r="AU76" s="147"/>
      <c r="AV76" s="147"/>
      <c r="AW76" s="147"/>
      <c r="AX76" s="147"/>
      <c r="AY76" s="147"/>
      <c r="AZ76" s="142"/>
      <c r="BA76" s="123"/>
      <c r="BB76" s="123"/>
      <c r="BC76" s="123"/>
      <c r="BD76" s="123"/>
      <c r="BE76" s="123"/>
      <c r="BF76" s="123"/>
      <c r="BG76" s="123"/>
      <c r="BH76" s="123"/>
      <c r="BI76" s="123"/>
      <c r="BJ76" s="123"/>
      <c r="BK76" s="123"/>
      <c r="BL76" s="123"/>
      <c r="BM76" s="123"/>
      <c r="BN76" s="123"/>
      <c r="BO76" s="122"/>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2"/>
      <c r="CL76" s="123"/>
      <c r="CM76" s="123"/>
      <c r="CN76" s="123"/>
      <c r="CO76" s="123"/>
      <c r="CP76" s="123"/>
      <c r="CQ76" s="123"/>
      <c r="CR76" s="123"/>
      <c r="CS76" s="123"/>
      <c r="CT76" s="123"/>
      <c r="CU76" s="123"/>
      <c r="CV76" s="123"/>
      <c r="CW76" s="123"/>
      <c r="CX76" s="123"/>
      <c r="CY76" s="123"/>
      <c r="CZ76" s="123"/>
      <c r="DA76" s="123"/>
      <c r="DB76" s="123"/>
      <c r="DC76" s="123"/>
      <c r="DD76" s="123"/>
      <c r="DE76" s="123"/>
      <c r="DF76" s="123"/>
      <c r="DG76" s="122"/>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2"/>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2"/>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2"/>
      <c r="FV76" s="123"/>
      <c r="FW76" s="123"/>
      <c r="FX76" s="123"/>
      <c r="FY76" s="123"/>
      <c r="FZ76" s="123"/>
      <c r="GA76" s="123"/>
      <c r="GB76" s="123"/>
      <c r="GC76" s="123"/>
      <c r="GD76" s="123"/>
      <c r="GE76" s="123"/>
      <c r="GF76" s="123"/>
      <c r="GG76" s="123"/>
      <c r="GH76" s="123"/>
      <c r="GI76" s="123"/>
      <c r="GJ76" s="123"/>
      <c r="GK76" s="123"/>
      <c r="GL76" s="123"/>
      <c r="GM76" s="123"/>
      <c r="GN76" s="123"/>
      <c r="GO76" s="123"/>
      <c r="GP76" s="123"/>
      <c r="GQ76" s="122"/>
      <c r="GR76" s="123"/>
      <c r="GS76" s="123"/>
      <c r="GT76" s="123"/>
      <c r="GU76" s="123"/>
      <c r="GV76" s="123"/>
      <c r="GW76" s="123"/>
      <c r="GX76" s="123"/>
      <c r="GY76" s="123"/>
      <c r="GZ76" s="123"/>
      <c r="HA76" s="123"/>
      <c r="HB76" s="123"/>
      <c r="HC76" s="123"/>
      <c r="HD76" s="123"/>
      <c r="HE76" s="123"/>
      <c r="HF76" s="123"/>
      <c r="HG76" s="123"/>
      <c r="HH76" s="123"/>
      <c r="HI76" s="123"/>
      <c r="HJ76" s="123"/>
      <c r="HK76" s="123"/>
      <c r="HL76" s="123"/>
      <c r="HM76" s="122"/>
      <c r="HN76" s="123"/>
      <c r="HO76" s="123"/>
      <c r="HP76" s="123"/>
      <c r="HQ76" s="123"/>
      <c r="HR76" s="123"/>
      <c r="HS76" s="123"/>
      <c r="HT76" s="123"/>
      <c r="HU76" s="123"/>
      <c r="HV76" s="123"/>
      <c r="HW76" s="123"/>
      <c r="HX76" s="123"/>
      <c r="HY76" s="123"/>
      <c r="HZ76" s="123"/>
      <c r="IA76" s="123"/>
      <c r="IB76" s="123"/>
      <c r="IC76" s="123"/>
      <c r="ID76" s="123"/>
      <c r="IE76" s="123"/>
      <c r="IF76" s="123"/>
      <c r="IG76" s="123"/>
      <c r="IH76" s="123"/>
      <c r="II76" s="122"/>
      <c r="IJ76" s="123"/>
      <c r="IK76" s="123"/>
      <c r="IL76" s="123"/>
      <c r="IM76" s="123"/>
      <c r="IN76" s="123"/>
      <c r="IO76" s="123"/>
      <c r="IP76" s="123"/>
      <c r="IQ76" s="123"/>
      <c r="IR76" s="123"/>
      <c r="IS76" s="123"/>
      <c r="IT76" s="123"/>
      <c r="IU76" s="123"/>
      <c r="IV76" s="123"/>
    </row>
    <row r="77" spans="1:256" s="121" customFormat="1" ht="15" customHeight="1">
      <c r="A77" s="459"/>
      <c r="B77" s="459"/>
      <c r="C77" s="459"/>
      <c r="D77" s="459"/>
      <c r="E77" s="459"/>
      <c r="F77" s="459"/>
      <c r="G77" s="459"/>
      <c r="H77" s="459"/>
      <c r="I77" s="459"/>
      <c r="J77" s="459"/>
      <c r="K77" s="459"/>
      <c r="L77" s="459"/>
      <c r="M77" s="459"/>
      <c r="N77" s="459"/>
      <c r="O77" s="154"/>
      <c r="P77" s="264"/>
      <c r="Q77" s="127"/>
      <c r="R77" s="127"/>
      <c r="S77" s="127"/>
      <c r="T77" s="127"/>
      <c r="U77" s="127"/>
      <c r="V77" s="127"/>
      <c r="W77" s="146"/>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6"/>
      <c r="AT77" s="147"/>
      <c r="AU77" s="147"/>
      <c r="AV77" s="147"/>
      <c r="AW77" s="147"/>
      <c r="AX77" s="147"/>
      <c r="AY77" s="147"/>
      <c r="AZ77" s="142"/>
      <c r="BA77" s="123"/>
      <c r="BB77" s="123"/>
      <c r="BC77" s="123"/>
      <c r="BD77" s="123"/>
      <c r="BE77" s="123"/>
      <c r="BF77" s="123"/>
      <c r="BG77" s="123"/>
      <c r="BH77" s="123"/>
      <c r="BI77" s="123"/>
      <c r="BJ77" s="123"/>
      <c r="BK77" s="123"/>
      <c r="BL77" s="123"/>
      <c r="BM77" s="123"/>
      <c r="BN77" s="123"/>
      <c r="BO77" s="122"/>
      <c r="BP77" s="123"/>
      <c r="BQ77" s="123"/>
      <c r="BR77" s="123"/>
      <c r="BS77" s="123"/>
      <c r="BT77" s="123"/>
      <c r="BU77" s="123"/>
      <c r="BV77" s="123"/>
      <c r="BW77" s="123"/>
      <c r="BX77" s="123"/>
      <c r="BY77" s="123"/>
      <c r="BZ77" s="123"/>
      <c r="CA77" s="123"/>
      <c r="CB77" s="123"/>
      <c r="CC77" s="123"/>
      <c r="CD77" s="123"/>
      <c r="CE77" s="123"/>
      <c r="CF77" s="123"/>
      <c r="CG77" s="123"/>
      <c r="CH77" s="123"/>
      <c r="CI77" s="123"/>
      <c r="CJ77" s="123"/>
      <c r="CK77" s="122"/>
      <c r="CL77" s="123"/>
      <c r="CM77" s="123"/>
      <c r="CN77" s="123"/>
      <c r="CO77" s="123"/>
      <c r="CP77" s="123"/>
      <c r="CQ77" s="123"/>
      <c r="CR77" s="123"/>
      <c r="CS77" s="123"/>
      <c r="CT77" s="123"/>
      <c r="CU77" s="123"/>
      <c r="CV77" s="123"/>
      <c r="CW77" s="123"/>
      <c r="CX77" s="123"/>
      <c r="CY77" s="123"/>
      <c r="CZ77" s="123"/>
      <c r="DA77" s="123"/>
      <c r="DB77" s="123"/>
      <c r="DC77" s="123"/>
      <c r="DD77" s="123"/>
      <c r="DE77" s="123"/>
      <c r="DF77" s="123"/>
      <c r="DG77" s="122"/>
      <c r="DH77" s="123"/>
      <c r="DI77" s="123"/>
      <c r="DJ77" s="123"/>
      <c r="DK77" s="123"/>
      <c r="DL77" s="123"/>
      <c r="DM77" s="123"/>
      <c r="DN77" s="123"/>
      <c r="DO77" s="123"/>
      <c r="DP77" s="123"/>
      <c r="DQ77" s="123"/>
      <c r="DR77" s="123"/>
      <c r="DS77" s="123"/>
      <c r="DT77" s="123"/>
      <c r="DU77" s="123"/>
      <c r="DV77" s="123"/>
      <c r="DW77" s="123"/>
      <c r="DX77" s="123"/>
      <c r="DY77" s="123"/>
      <c r="DZ77" s="123"/>
      <c r="EA77" s="123"/>
      <c r="EB77" s="123"/>
      <c r="EC77" s="122"/>
      <c r="ED77" s="123"/>
      <c r="EE77" s="123"/>
      <c r="EF77" s="123"/>
      <c r="EG77" s="123"/>
      <c r="EH77" s="123"/>
      <c r="EI77" s="123"/>
      <c r="EJ77" s="123"/>
      <c r="EK77" s="123"/>
      <c r="EL77" s="123"/>
      <c r="EM77" s="123"/>
      <c r="EN77" s="123"/>
      <c r="EO77" s="123"/>
      <c r="EP77" s="123"/>
      <c r="EQ77" s="123"/>
      <c r="ER77" s="123"/>
      <c r="ES77" s="123"/>
      <c r="ET77" s="123"/>
      <c r="EU77" s="123"/>
      <c r="EV77" s="123"/>
      <c r="EW77" s="123"/>
      <c r="EX77" s="123"/>
      <c r="EY77" s="122"/>
      <c r="EZ77" s="123"/>
      <c r="FA77" s="123"/>
      <c r="FB77" s="123"/>
      <c r="FC77" s="123"/>
      <c r="FD77" s="123"/>
      <c r="FE77" s="123"/>
      <c r="FF77" s="123"/>
      <c r="FG77" s="123"/>
      <c r="FH77" s="123"/>
      <c r="FI77" s="123"/>
      <c r="FJ77" s="123"/>
      <c r="FK77" s="123"/>
      <c r="FL77" s="123"/>
      <c r="FM77" s="123"/>
      <c r="FN77" s="123"/>
      <c r="FO77" s="123"/>
      <c r="FP77" s="123"/>
      <c r="FQ77" s="123"/>
      <c r="FR77" s="123"/>
      <c r="FS77" s="123"/>
      <c r="FT77" s="123"/>
      <c r="FU77" s="122"/>
      <c r="FV77" s="123"/>
      <c r="FW77" s="123"/>
      <c r="FX77" s="123"/>
      <c r="FY77" s="123"/>
      <c r="FZ77" s="123"/>
      <c r="GA77" s="123"/>
      <c r="GB77" s="123"/>
      <c r="GC77" s="123"/>
      <c r="GD77" s="123"/>
      <c r="GE77" s="123"/>
      <c r="GF77" s="123"/>
      <c r="GG77" s="123"/>
      <c r="GH77" s="123"/>
      <c r="GI77" s="123"/>
      <c r="GJ77" s="123"/>
      <c r="GK77" s="123"/>
      <c r="GL77" s="123"/>
      <c r="GM77" s="123"/>
      <c r="GN77" s="123"/>
      <c r="GO77" s="123"/>
      <c r="GP77" s="123"/>
      <c r="GQ77" s="122"/>
      <c r="GR77" s="123"/>
      <c r="GS77" s="123"/>
      <c r="GT77" s="123"/>
      <c r="GU77" s="123"/>
      <c r="GV77" s="123"/>
      <c r="GW77" s="123"/>
      <c r="GX77" s="123"/>
      <c r="GY77" s="123"/>
      <c r="GZ77" s="123"/>
      <c r="HA77" s="123"/>
      <c r="HB77" s="123"/>
      <c r="HC77" s="123"/>
      <c r="HD77" s="123"/>
      <c r="HE77" s="123"/>
      <c r="HF77" s="123"/>
      <c r="HG77" s="123"/>
      <c r="HH77" s="123"/>
      <c r="HI77" s="123"/>
      <c r="HJ77" s="123"/>
      <c r="HK77" s="123"/>
      <c r="HL77" s="123"/>
      <c r="HM77" s="122"/>
      <c r="HN77" s="123"/>
      <c r="HO77" s="123"/>
      <c r="HP77" s="123"/>
      <c r="HQ77" s="123"/>
      <c r="HR77" s="123"/>
      <c r="HS77" s="123"/>
      <c r="HT77" s="123"/>
      <c r="HU77" s="123"/>
      <c r="HV77" s="123"/>
      <c r="HW77" s="123"/>
      <c r="HX77" s="123"/>
      <c r="HY77" s="123"/>
      <c r="HZ77" s="123"/>
      <c r="IA77" s="123"/>
      <c r="IB77" s="123"/>
      <c r="IC77" s="123"/>
      <c r="ID77" s="123"/>
      <c r="IE77" s="123"/>
      <c r="IF77" s="123"/>
      <c r="IG77" s="123"/>
      <c r="IH77" s="123"/>
      <c r="II77" s="122"/>
      <c r="IJ77" s="123"/>
      <c r="IK77" s="123"/>
      <c r="IL77" s="123"/>
      <c r="IM77" s="123"/>
      <c r="IN77" s="123"/>
      <c r="IO77" s="123"/>
      <c r="IP77" s="123"/>
      <c r="IQ77" s="123"/>
      <c r="IR77" s="123"/>
      <c r="IS77" s="123"/>
      <c r="IT77" s="123"/>
      <c r="IU77" s="123"/>
      <c r="IV77" s="123"/>
    </row>
    <row r="78" spans="1:256" s="121" customFormat="1" ht="15" customHeight="1">
      <c r="A78" s="459"/>
      <c r="B78" s="459"/>
      <c r="C78" s="459"/>
      <c r="D78" s="459"/>
      <c r="E78" s="459"/>
      <c r="F78" s="459"/>
      <c r="G78" s="459"/>
      <c r="H78" s="459"/>
      <c r="I78" s="459"/>
      <c r="J78" s="459"/>
      <c r="K78" s="459"/>
      <c r="L78" s="459"/>
      <c r="M78" s="459"/>
      <c r="N78" s="459"/>
      <c r="O78" s="154"/>
      <c r="P78" s="264"/>
      <c r="Q78" s="127"/>
      <c r="R78" s="127"/>
      <c r="S78" s="127"/>
      <c r="T78" s="127"/>
      <c r="U78" s="127"/>
      <c r="V78" s="127"/>
      <c r="W78" s="146"/>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6"/>
      <c r="AT78" s="147"/>
      <c r="AU78" s="147"/>
      <c r="AV78" s="147"/>
      <c r="AW78" s="147"/>
      <c r="AX78" s="147"/>
      <c r="AY78" s="147"/>
      <c r="AZ78" s="142"/>
      <c r="BA78" s="123"/>
      <c r="BB78" s="123"/>
      <c r="BC78" s="123"/>
      <c r="BD78" s="123"/>
      <c r="BE78" s="123"/>
      <c r="BF78" s="123"/>
      <c r="BG78" s="123"/>
      <c r="BH78" s="123"/>
      <c r="BI78" s="123"/>
      <c r="BJ78" s="123"/>
      <c r="BK78" s="123"/>
      <c r="BL78" s="123"/>
      <c r="BM78" s="123"/>
      <c r="BN78" s="123"/>
      <c r="BO78" s="122"/>
      <c r="BP78" s="123"/>
      <c r="BQ78" s="123"/>
      <c r="BR78" s="123"/>
      <c r="BS78" s="123"/>
      <c r="BT78" s="123"/>
      <c r="BU78" s="123"/>
      <c r="BV78" s="123"/>
      <c r="BW78" s="123"/>
      <c r="BX78" s="123"/>
      <c r="BY78" s="123"/>
      <c r="BZ78" s="123"/>
      <c r="CA78" s="123"/>
      <c r="CB78" s="123"/>
      <c r="CC78" s="123"/>
      <c r="CD78" s="123"/>
      <c r="CE78" s="123"/>
      <c r="CF78" s="123"/>
      <c r="CG78" s="123"/>
      <c r="CH78" s="123"/>
      <c r="CI78" s="123"/>
      <c r="CJ78" s="123"/>
      <c r="CK78" s="122"/>
      <c r="CL78" s="123"/>
      <c r="CM78" s="123"/>
      <c r="CN78" s="123"/>
      <c r="CO78" s="123"/>
      <c r="CP78" s="123"/>
      <c r="CQ78" s="123"/>
      <c r="CR78" s="123"/>
      <c r="CS78" s="123"/>
      <c r="CT78" s="123"/>
      <c r="CU78" s="123"/>
      <c r="CV78" s="123"/>
      <c r="CW78" s="123"/>
      <c r="CX78" s="123"/>
      <c r="CY78" s="123"/>
      <c r="CZ78" s="123"/>
      <c r="DA78" s="123"/>
      <c r="DB78" s="123"/>
      <c r="DC78" s="123"/>
      <c r="DD78" s="123"/>
      <c r="DE78" s="123"/>
      <c r="DF78" s="123"/>
      <c r="DG78" s="122"/>
      <c r="DH78" s="123"/>
      <c r="DI78" s="123"/>
      <c r="DJ78" s="123"/>
      <c r="DK78" s="123"/>
      <c r="DL78" s="123"/>
      <c r="DM78" s="123"/>
      <c r="DN78" s="123"/>
      <c r="DO78" s="123"/>
      <c r="DP78" s="123"/>
      <c r="DQ78" s="123"/>
      <c r="DR78" s="123"/>
      <c r="DS78" s="123"/>
      <c r="DT78" s="123"/>
      <c r="DU78" s="123"/>
      <c r="DV78" s="123"/>
      <c r="DW78" s="123"/>
      <c r="DX78" s="123"/>
      <c r="DY78" s="123"/>
      <c r="DZ78" s="123"/>
      <c r="EA78" s="123"/>
      <c r="EB78" s="123"/>
      <c r="EC78" s="122"/>
      <c r="ED78" s="123"/>
      <c r="EE78" s="123"/>
      <c r="EF78" s="123"/>
      <c r="EG78" s="123"/>
      <c r="EH78" s="123"/>
      <c r="EI78" s="123"/>
      <c r="EJ78" s="123"/>
      <c r="EK78" s="123"/>
      <c r="EL78" s="123"/>
      <c r="EM78" s="123"/>
      <c r="EN78" s="123"/>
      <c r="EO78" s="123"/>
      <c r="EP78" s="123"/>
      <c r="EQ78" s="123"/>
      <c r="ER78" s="123"/>
      <c r="ES78" s="123"/>
      <c r="ET78" s="123"/>
      <c r="EU78" s="123"/>
      <c r="EV78" s="123"/>
      <c r="EW78" s="123"/>
      <c r="EX78" s="123"/>
      <c r="EY78" s="122"/>
      <c r="EZ78" s="123"/>
      <c r="FA78" s="123"/>
      <c r="FB78" s="123"/>
      <c r="FC78" s="123"/>
      <c r="FD78" s="123"/>
      <c r="FE78" s="123"/>
      <c r="FF78" s="123"/>
      <c r="FG78" s="123"/>
      <c r="FH78" s="123"/>
      <c r="FI78" s="123"/>
      <c r="FJ78" s="123"/>
      <c r="FK78" s="123"/>
      <c r="FL78" s="123"/>
      <c r="FM78" s="123"/>
      <c r="FN78" s="123"/>
      <c r="FO78" s="123"/>
      <c r="FP78" s="123"/>
      <c r="FQ78" s="123"/>
      <c r="FR78" s="123"/>
      <c r="FS78" s="123"/>
      <c r="FT78" s="123"/>
      <c r="FU78" s="122"/>
      <c r="FV78" s="123"/>
      <c r="FW78" s="123"/>
      <c r="FX78" s="123"/>
      <c r="FY78" s="123"/>
      <c r="FZ78" s="123"/>
      <c r="GA78" s="123"/>
      <c r="GB78" s="123"/>
      <c r="GC78" s="123"/>
      <c r="GD78" s="123"/>
      <c r="GE78" s="123"/>
      <c r="GF78" s="123"/>
      <c r="GG78" s="123"/>
      <c r="GH78" s="123"/>
      <c r="GI78" s="123"/>
      <c r="GJ78" s="123"/>
      <c r="GK78" s="123"/>
      <c r="GL78" s="123"/>
      <c r="GM78" s="123"/>
      <c r="GN78" s="123"/>
      <c r="GO78" s="123"/>
      <c r="GP78" s="123"/>
      <c r="GQ78" s="122"/>
      <c r="GR78" s="123"/>
      <c r="GS78" s="123"/>
      <c r="GT78" s="123"/>
      <c r="GU78" s="123"/>
      <c r="GV78" s="123"/>
      <c r="GW78" s="123"/>
      <c r="GX78" s="123"/>
      <c r="GY78" s="123"/>
      <c r="GZ78" s="123"/>
      <c r="HA78" s="123"/>
      <c r="HB78" s="123"/>
      <c r="HC78" s="123"/>
      <c r="HD78" s="123"/>
      <c r="HE78" s="123"/>
      <c r="HF78" s="123"/>
      <c r="HG78" s="123"/>
      <c r="HH78" s="123"/>
      <c r="HI78" s="123"/>
      <c r="HJ78" s="123"/>
      <c r="HK78" s="123"/>
      <c r="HL78" s="123"/>
      <c r="HM78" s="122"/>
      <c r="HN78" s="123"/>
      <c r="HO78" s="123"/>
      <c r="HP78" s="123"/>
      <c r="HQ78" s="123"/>
      <c r="HR78" s="123"/>
      <c r="HS78" s="123"/>
      <c r="HT78" s="123"/>
      <c r="HU78" s="123"/>
      <c r="HV78" s="123"/>
      <c r="HW78" s="123"/>
      <c r="HX78" s="123"/>
      <c r="HY78" s="123"/>
      <c r="HZ78" s="123"/>
      <c r="IA78" s="123"/>
      <c r="IB78" s="123"/>
      <c r="IC78" s="123"/>
      <c r="ID78" s="123"/>
      <c r="IE78" s="123"/>
      <c r="IF78" s="123"/>
      <c r="IG78" s="123"/>
      <c r="IH78" s="123"/>
      <c r="II78" s="122"/>
      <c r="IJ78" s="123"/>
      <c r="IK78" s="123"/>
      <c r="IL78" s="123"/>
      <c r="IM78" s="123"/>
      <c r="IN78" s="123"/>
      <c r="IO78" s="123"/>
      <c r="IP78" s="123"/>
      <c r="IQ78" s="123"/>
      <c r="IR78" s="123"/>
      <c r="IS78" s="123"/>
      <c r="IT78" s="123"/>
      <c r="IU78" s="123"/>
      <c r="IV78" s="123"/>
    </row>
    <row r="79" spans="1:52" s="124" customFormat="1" ht="15" customHeight="1">
      <c r="A79" s="459"/>
      <c r="B79" s="459"/>
      <c r="C79" s="459"/>
      <c r="D79" s="459"/>
      <c r="E79" s="459"/>
      <c r="F79" s="459"/>
      <c r="G79" s="459"/>
      <c r="H79" s="459"/>
      <c r="I79" s="459"/>
      <c r="J79" s="459"/>
      <c r="K79" s="459"/>
      <c r="L79" s="459"/>
      <c r="M79" s="459"/>
      <c r="N79" s="459"/>
      <c r="O79" s="154"/>
      <c r="P79" s="264"/>
      <c r="Q79" s="127"/>
      <c r="R79" s="127"/>
      <c r="S79" s="127"/>
      <c r="T79" s="127"/>
      <c r="U79" s="127"/>
      <c r="V79" s="127"/>
      <c r="W79" s="148"/>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3"/>
    </row>
    <row r="80" spans="2:15" ht="18">
      <c r="B80" s="33"/>
      <c r="C80" s="34"/>
      <c r="D80" s="35"/>
      <c r="E80" s="22"/>
      <c r="F80" s="22"/>
      <c r="G80" s="22"/>
      <c r="H80" s="36"/>
      <c r="I80" s="37"/>
      <c r="J80" s="38"/>
      <c r="K80" s="39"/>
      <c r="L80" s="40"/>
      <c r="M80" s="41"/>
      <c r="N80" s="39"/>
      <c r="O80" s="151"/>
    </row>
    <row r="81" spans="2:15" ht="18">
      <c r="B81" s="33"/>
      <c r="C81" s="34"/>
      <c r="D81" s="35"/>
      <c r="E81" s="22"/>
      <c r="F81" s="22"/>
      <c r="G81" s="22"/>
      <c r="H81" s="36"/>
      <c r="I81" s="37"/>
      <c r="J81" s="38"/>
      <c r="K81" s="39"/>
      <c r="L81" s="40"/>
      <c r="M81" s="41"/>
      <c r="N81" s="39"/>
      <c r="O81" s="151"/>
    </row>
    <row r="82" spans="6:15" ht="22.5">
      <c r="F82" s="22"/>
      <c r="G82" s="22"/>
      <c r="H82" s="36"/>
      <c r="I82" s="37"/>
      <c r="J82" s="38"/>
      <c r="K82" s="39"/>
      <c r="L82" s="40"/>
      <c r="M82" s="41"/>
      <c r="N82" s="39"/>
      <c r="O82" s="151"/>
    </row>
    <row r="83" spans="6:15" ht="22.5">
      <c r="F83" s="22"/>
      <c r="G83" s="22"/>
      <c r="H83" s="36"/>
      <c r="I83" s="37"/>
      <c r="J83" s="38"/>
      <c r="K83" s="39"/>
      <c r="L83" s="40"/>
      <c r="M83" s="41"/>
      <c r="N83" s="39"/>
      <c r="O83" s="151"/>
    </row>
    <row r="84" spans="6:15" ht="22.5">
      <c r="F84" s="22"/>
      <c r="G84" s="22"/>
      <c r="H84" s="36"/>
      <c r="I84" s="37"/>
      <c r="J84" s="38"/>
      <c r="K84" s="39"/>
      <c r="L84" s="40"/>
      <c r="M84" s="41"/>
      <c r="N84" s="39"/>
      <c r="O84" s="151"/>
    </row>
    <row r="85" spans="6:15" ht="22.5">
      <c r="F85" s="22"/>
      <c r="G85" s="22"/>
      <c r="H85" s="36"/>
      <c r="I85" s="37"/>
      <c r="J85" s="38"/>
      <c r="K85" s="39"/>
      <c r="L85" s="40"/>
      <c r="M85" s="41"/>
      <c r="N85" s="39"/>
      <c r="O85" s="151"/>
    </row>
    <row r="86" spans="6:15" ht="22.5">
      <c r="F86" s="22"/>
      <c r="G86" s="22"/>
      <c r="H86" s="36"/>
      <c r="I86" s="37"/>
      <c r="J86" s="38"/>
      <c r="K86" s="39"/>
      <c r="L86" s="40"/>
      <c r="M86" s="41"/>
      <c r="N86" s="39"/>
      <c r="O86" s="151"/>
    </row>
    <row r="87" spans="6:15" ht="22.5">
      <c r="F87" s="22"/>
      <c r="G87" s="22"/>
      <c r="H87" s="36"/>
      <c r="I87" s="37"/>
      <c r="J87" s="38"/>
      <c r="K87" s="39"/>
      <c r="L87" s="40"/>
      <c r="M87" s="41"/>
      <c r="N87" s="39"/>
      <c r="O87" s="151"/>
    </row>
    <row r="88" spans="14:15" ht="22.5">
      <c r="N88" s="30"/>
      <c r="O88" s="151"/>
    </row>
    <row r="89" spans="14:15" ht="22.5">
      <c r="N89" s="30"/>
      <c r="O89" s="140"/>
    </row>
    <row r="90" spans="14:15" ht="22.5">
      <c r="N90" s="30"/>
      <c r="O90" s="140"/>
    </row>
    <row r="91" spans="14:15" ht="22.5">
      <c r="N91" s="30"/>
      <c r="O91" s="140"/>
    </row>
    <row r="92" spans="14:15" ht="22.5">
      <c r="N92" s="30"/>
      <c r="O92" s="140"/>
    </row>
    <row r="93" spans="14:15" ht="22.5">
      <c r="N93" s="30"/>
      <c r="O93" s="140"/>
    </row>
    <row r="94" spans="14:15" ht="22.5">
      <c r="N94" s="30"/>
      <c r="O94" s="140"/>
    </row>
    <row r="95" spans="1:14" ht="22.5">
      <c r="A95" s="128"/>
      <c r="B95" s="129"/>
      <c r="C95" s="130"/>
      <c r="D95" s="131"/>
      <c r="E95" s="132"/>
      <c r="F95" s="132"/>
      <c r="G95" s="132"/>
      <c r="H95" s="133"/>
      <c r="I95" s="134"/>
      <c r="J95" s="135"/>
      <c r="K95" s="136"/>
      <c r="L95" s="137"/>
      <c r="M95" s="138"/>
      <c r="N95" s="139"/>
    </row>
  </sheetData>
  <sheetProtection insertRows="0" deleteRows="0" sort="0"/>
  <mergeCells count="13">
    <mergeCell ref="G3:G4"/>
    <mergeCell ref="H3:K3"/>
    <mergeCell ref="C3:C4"/>
    <mergeCell ref="A73:N75"/>
    <mergeCell ref="A76:N79"/>
    <mergeCell ref="A70:B70"/>
    <mergeCell ref="A72:N72"/>
    <mergeCell ref="A2:N2"/>
    <mergeCell ref="L3:N3"/>
    <mergeCell ref="F3:F4"/>
    <mergeCell ref="E3:E4"/>
    <mergeCell ref="B3:B4"/>
    <mergeCell ref="D3:D4"/>
  </mergeCells>
  <printOptions horizontalCentered="1" verticalCentered="1"/>
  <pageMargins left="0.53" right="0.19" top="0.5905511811023623" bottom="0.5" header="0.5118110236220472" footer="0.45"/>
  <pageSetup orientation="portrait" paperSize="9" scale="45" r:id="rId2"/>
  <ignoredErrors>
    <ignoredError sqref="K70:M71 J7:K41 N7:N41 L7:M12 K43:K66 K67:K69 J42:J66 N42:N66" formula="1"/>
    <ignoredError sqref="E39:H41" numberStoredAsText="1"/>
    <ignoredError sqref="L13:M41 L43:M50 L67:M69 L51:M66" formula="1" unlockedFormula="1"/>
    <ignoredError sqref="I15 L42:M42" unlockedFormula="1"/>
  </ignoredErrors>
  <drawing r:id="rId1"/>
</worksheet>
</file>

<file path=xl/worksheets/sheet2.xml><?xml version="1.0" encoding="utf-8"?>
<worksheet xmlns="http://schemas.openxmlformats.org/spreadsheetml/2006/main" xmlns:r="http://schemas.openxmlformats.org/officeDocument/2006/relationships">
  <dimension ref="A1:IV52"/>
  <sheetViews>
    <sheetView zoomScale="130" zoomScaleNormal="130" zoomScalePageLayoutView="0" workbookViewId="0" topLeftCell="A1">
      <selection activeCell="A2" sqref="A2:I2"/>
    </sheetView>
  </sheetViews>
  <sheetFormatPr defaultColWidth="17.421875" defaultRowHeight="12.75"/>
  <cols>
    <col min="1" max="1" width="4.421875" style="73" bestFit="1" customWidth="1"/>
    <col min="2" max="2" width="52.140625" style="69" bestFit="1" customWidth="1"/>
    <col min="3" max="3" width="9.7109375" style="159" customWidth="1"/>
    <col min="4" max="4" width="22.00390625" style="70" bestFit="1" customWidth="1"/>
    <col min="5" max="5" width="7.421875" style="85" customWidth="1"/>
    <col min="6" max="6" width="8.421875" style="85" customWidth="1"/>
    <col min="7" max="7" width="14.7109375" style="36" bestFit="1" customWidth="1"/>
    <col min="8" max="8" width="10.421875" style="71" bestFit="1" customWidth="1"/>
    <col min="9" max="9" width="7.00390625" style="72" customWidth="1"/>
    <col min="10" max="10" width="2.140625" style="77" bestFit="1" customWidth="1"/>
    <col min="11" max="11" width="17.421875" style="167" customWidth="1"/>
    <col min="12" max="12" width="17.421875" style="67" customWidth="1"/>
    <col min="13" max="13" width="17.421875" style="68" customWidth="1"/>
    <col min="14" max="15" width="17.421875" style="66" customWidth="1"/>
    <col min="16" max="16384" width="17.421875" style="69" customWidth="1"/>
  </cols>
  <sheetData>
    <row r="1" spans="1:15" s="1" customFormat="1" ht="72.75" customHeight="1">
      <c r="A1" s="96"/>
      <c r="B1" s="97"/>
      <c r="C1" s="98"/>
      <c r="D1" s="99"/>
      <c r="E1" s="100"/>
      <c r="F1" s="100"/>
      <c r="G1" s="100"/>
      <c r="H1" s="101"/>
      <c r="I1" s="102"/>
      <c r="J1" s="155"/>
      <c r="K1" s="162"/>
      <c r="L1" s="105"/>
      <c r="M1" s="106"/>
      <c r="N1" s="107"/>
      <c r="O1" s="62"/>
    </row>
    <row r="2" spans="1:15" s="5" customFormat="1" ht="22.5" customHeight="1">
      <c r="A2" s="480" t="s">
        <v>83</v>
      </c>
      <c r="B2" s="481"/>
      <c r="C2" s="481"/>
      <c r="D2" s="481"/>
      <c r="E2" s="481"/>
      <c r="F2" s="481"/>
      <c r="G2" s="481"/>
      <c r="H2" s="481"/>
      <c r="I2" s="481"/>
      <c r="J2" s="156"/>
      <c r="K2" s="163"/>
      <c r="L2" s="108"/>
      <c r="M2" s="108"/>
      <c r="N2" s="108"/>
      <c r="O2" s="63"/>
    </row>
    <row r="3" spans="1:13" s="114" customFormat="1" ht="12.75">
      <c r="A3" s="110"/>
      <c r="B3" s="475" t="s">
        <v>6</v>
      </c>
      <c r="C3" s="476" t="s">
        <v>39</v>
      </c>
      <c r="D3" s="477" t="s">
        <v>42</v>
      </c>
      <c r="E3" s="478" t="s">
        <v>44</v>
      </c>
      <c r="F3" s="478" t="s">
        <v>40</v>
      </c>
      <c r="G3" s="478" t="s">
        <v>46</v>
      </c>
      <c r="H3" s="478"/>
      <c r="I3" s="479" t="s">
        <v>41</v>
      </c>
      <c r="J3" s="111"/>
      <c r="K3" s="164"/>
      <c r="L3" s="112"/>
      <c r="M3" s="113"/>
    </row>
    <row r="4" spans="1:13" s="118" customFormat="1" ht="13.5" thickBot="1">
      <c r="A4" s="115"/>
      <c r="B4" s="475"/>
      <c r="C4" s="476"/>
      <c r="D4" s="477"/>
      <c r="E4" s="478"/>
      <c r="F4" s="478"/>
      <c r="G4" s="199" t="s">
        <v>7</v>
      </c>
      <c r="H4" s="200" t="s">
        <v>5</v>
      </c>
      <c r="I4" s="479"/>
      <c r="J4" s="111"/>
      <c r="K4" s="165"/>
      <c r="L4" s="116"/>
      <c r="M4" s="117"/>
    </row>
    <row r="5" spans="1:11" ht="13.5" customHeight="1">
      <c r="A5" s="109">
        <v>1</v>
      </c>
      <c r="B5" s="384" t="s">
        <v>183</v>
      </c>
      <c r="C5" s="229">
        <v>40550</v>
      </c>
      <c r="D5" s="386" t="s">
        <v>23</v>
      </c>
      <c r="E5" s="387">
        <v>356</v>
      </c>
      <c r="F5" s="387">
        <v>7</v>
      </c>
      <c r="G5" s="388">
        <v>35701725</v>
      </c>
      <c r="H5" s="444">
        <v>3816137</v>
      </c>
      <c r="I5" s="394">
        <f aca="true" t="shared" si="0" ref="I5:I11">+G5/H5</f>
        <v>9.35546208115694</v>
      </c>
      <c r="J5" s="443">
        <v>1</v>
      </c>
      <c r="K5" s="166"/>
    </row>
    <row r="6" spans="1:11" ht="13.5" customHeight="1">
      <c r="A6" s="109">
        <v>2</v>
      </c>
      <c r="B6" s="311" t="s">
        <v>184</v>
      </c>
      <c r="C6" s="173">
        <v>40571</v>
      </c>
      <c r="D6" s="283" t="s">
        <v>26</v>
      </c>
      <c r="E6" s="378">
        <v>364</v>
      </c>
      <c r="F6" s="378">
        <v>4</v>
      </c>
      <c r="G6" s="231">
        <f>9270289+4217769.25+1762200.5+76.25+863944.5</f>
        <v>16114279.5</v>
      </c>
      <c r="H6" s="194">
        <f>1060415+493112+207846+16+104665</f>
        <v>1866054</v>
      </c>
      <c r="I6" s="258">
        <f t="shared" si="0"/>
        <v>8.635484021362727</v>
      </c>
      <c r="J6" s="443">
        <v>1</v>
      </c>
      <c r="K6" s="166"/>
    </row>
    <row r="7" spans="1:11" ht="13.5" customHeight="1" thickBot="1">
      <c r="A7" s="335">
        <v>3</v>
      </c>
      <c r="B7" s="451" t="s">
        <v>185</v>
      </c>
      <c r="C7" s="454">
        <v>40578</v>
      </c>
      <c r="D7" s="419" t="s">
        <v>23</v>
      </c>
      <c r="E7" s="420">
        <v>224</v>
      </c>
      <c r="F7" s="420">
        <v>3</v>
      </c>
      <c r="G7" s="421">
        <v>15538873</v>
      </c>
      <c r="H7" s="452">
        <v>1657463</v>
      </c>
      <c r="I7" s="453">
        <f t="shared" si="0"/>
        <v>9.375094949329185</v>
      </c>
      <c r="J7" s="443">
        <v>1</v>
      </c>
      <c r="K7" s="166"/>
    </row>
    <row r="8" spans="1:11" ht="13.5" customHeight="1">
      <c r="A8" s="109">
        <v>4</v>
      </c>
      <c r="B8" s="409" t="s">
        <v>186</v>
      </c>
      <c r="C8" s="455">
        <v>40550</v>
      </c>
      <c r="D8" s="410" t="s">
        <v>26</v>
      </c>
      <c r="E8" s="411">
        <v>238</v>
      </c>
      <c r="F8" s="411">
        <v>7</v>
      </c>
      <c r="G8" s="412">
        <f>3050831.5+2178855.5+1196710.5+496983-200+210922.5+72277.5+4+43197.5</f>
        <v>7249582</v>
      </c>
      <c r="H8" s="413">
        <f>393137+282255+156413+64920+60+27548+10641+7089</f>
        <v>942063</v>
      </c>
      <c r="I8" s="351">
        <f t="shared" si="0"/>
        <v>7.695432258776749</v>
      </c>
      <c r="J8" s="443">
        <v>1</v>
      </c>
      <c r="K8" s="166"/>
    </row>
    <row r="9" spans="1:11" ht="13.5" customHeight="1">
      <c r="A9" s="109">
        <v>5</v>
      </c>
      <c r="B9" s="257" t="s">
        <v>129</v>
      </c>
      <c r="C9" s="169">
        <v>40564</v>
      </c>
      <c r="D9" s="286" t="s">
        <v>24</v>
      </c>
      <c r="E9" s="285">
        <v>109</v>
      </c>
      <c r="F9" s="285">
        <v>5</v>
      </c>
      <c r="G9" s="234">
        <v>3635662</v>
      </c>
      <c r="H9" s="192">
        <v>349200</v>
      </c>
      <c r="I9" s="254">
        <f t="shared" si="0"/>
        <v>10.411403207331043</v>
      </c>
      <c r="J9" s="443"/>
      <c r="K9" s="166"/>
    </row>
    <row r="10" spans="1:11" ht="13.5" customHeight="1">
      <c r="A10" s="109">
        <v>6</v>
      </c>
      <c r="B10" s="311" t="s">
        <v>153</v>
      </c>
      <c r="C10" s="173">
        <v>40571</v>
      </c>
      <c r="D10" s="283" t="s">
        <v>23</v>
      </c>
      <c r="E10" s="378">
        <v>200</v>
      </c>
      <c r="F10" s="378">
        <v>4</v>
      </c>
      <c r="G10" s="231">
        <v>2951030</v>
      </c>
      <c r="H10" s="379">
        <v>239438</v>
      </c>
      <c r="I10" s="252">
        <f t="shared" si="0"/>
        <v>12.324818951043694</v>
      </c>
      <c r="J10" s="443"/>
      <c r="K10" s="166"/>
    </row>
    <row r="11" spans="1:11" ht="13.5" customHeight="1">
      <c r="A11" s="109">
        <v>7</v>
      </c>
      <c r="B11" s="257" t="s">
        <v>117</v>
      </c>
      <c r="C11" s="169">
        <v>40557</v>
      </c>
      <c r="D11" s="286" t="s">
        <v>27</v>
      </c>
      <c r="E11" s="285">
        <v>66</v>
      </c>
      <c r="F11" s="285">
        <v>6</v>
      </c>
      <c r="G11" s="240">
        <v>2540045</v>
      </c>
      <c r="H11" s="196">
        <v>241973</v>
      </c>
      <c r="I11" s="258">
        <f t="shared" si="0"/>
        <v>10.49722489699264</v>
      </c>
      <c r="J11" s="443"/>
      <c r="K11" s="166"/>
    </row>
    <row r="12" spans="1:11" ht="13.5" customHeight="1">
      <c r="A12" s="109">
        <v>8</v>
      </c>
      <c r="B12" s="257" t="s">
        <v>144</v>
      </c>
      <c r="C12" s="169">
        <v>40578</v>
      </c>
      <c r="D12" s="286" t="s">
        <v>17</v>
      </c>
      <c r="E12" s="285">
        <v>79</v>
      </c>
      <c r="F12" s="285">
        <v>3</v>
      </c>
      <c r="G12" s="243">
        <f>1249630.5+757498.5+406869.5</f>
        <v>2413998.5</v>
      </c>
      <c r="H12" s="194">
        <f>100473+61059+33287</f>
        <v>194819</v>
      </c>
      <c r="I12" s="258">
        <f>IF(G12&lt;&gt;0,G12/H12,"")</f>
        <v>12.390980859156448</v>
      </c>
      <c r="J12" s="443"/>
      <c r="K12" s="166"/>
    </row>
    <row r="13" spans="1:11" ht="13.5" customHeight="1">
      <c r="A13" s="109">
        <v>9</v>
      </c>
      <c r="B13" s="311" t="s">
        <v>187</v>
      </c>
      <c r="C13" s="173">
        <v>40564</v>
      </c>
      <c r="D13" s="376" t="s">
        <v>120</v>
      </c>
      <c r="E13" s="284">
        <v>160</v>
      </c>
      <c r="F13" s="284">
        <v>5</v>
      </c>
      <c r="G13" s="237">
        <f>1102015+435620.5+74279.5+50432+22961.5</f>
        <v>1685308.5</v>
      </c>
      <c r="H13" s="193">
        <f>144071+60233+10598+7830+4045</f>
        <v>226777</v>
      </c>
      <c r="I13" s="256">
        <f>G13/H13</f>
        <v>7.431567134233189</v>
      </c>
      <c r="J13" s="443">
        <v>1</v>
      </c>
      <c r="K13" s="166"/>
    </row>
    <row r="14" spans="1:11" ht="13.5" customHeight="1">
      <c r="A14" s="109">
        <v>10</v>
      </c>
      <c r="B14" s="311" t="s">
        <v>60</v>
      </c>
      <c r="C14" s="173">
        <v>40543</v>
      </c>
      <c r="D14" s="376" t="s">
        <v>120</v>
      </c>
      <c r="E14" s="284">
        <v>99</v>
      </c>
      <c r="F14" s="284">
        <v>8</v>
      </c>
      <c r="G14" s="237">
        <f>74157.5+721285.5+410076+112730.5+28262.5+6646+19483.5+940+1245</f>
        <v>1374826.5</v>
      </c>
      <c r="H14" s="193">
        <f>7361+62279+35611+10987+4077+689+3901+125+178</f>
        <v>125208</v>
      </c>
      <c r="I14" s="256">
        <f>G14/H14</f>
        <v>10.98034071305348</v>
      </c>
      <c r="J14" s="443"/>
      <c r="K14" s="166"/>
    </row>
    <row r="15" spans="1:11" ht="13.5" customHeight="1">
      <c r="A15" s="109">
        <v>11</v>
      </c>
      <c r="B15" s="311" t="s">
        <v>118</v>
      </c>
      <c r="C15" s="173">
        <v>40557</v>
      </c>
      <c r="D15" s="283" t="s">
        <v>23</v>
      </c>
      <c r="E15" s="284">
        <v>129</v>
      </c>
      <c r="F15" s="284">
        <v>6</v>
      </c>
      <c r="G15" s="231">
        <v>1360173</v>
      </c>
      <c r="H15" s="194">
        <v>118835</v>
      </c>
      <c r="I15" s="252">
        <f>+G15/H15</f>
        <v>11.445895569487105</v>
      </c>
      <c r="J15" s="443"/>
      <c r="K15" s="166"/>
    </row>
    <row r="16" spans="1:11" ht="13.5" customHeight="1">
      <c r="A16" s="109">
        <v>12</v>
      </c>
      <c r="B16" s="311" t="s">
        <v>119</v>
      </c>
      <c r="C16" s="173">
        <v>40557</v>
      </c>
      <c r="D16" s="376" t="s">
        <v>120</v>
      </c>
      <c r="E16" s="284">
        <v>50</v>
      </c>
      <c r="F16" s="284">
        <v>6</v>
      </c>
      <c r="G16" s="237">
        <f>462199.75+464711.5+220315+61757.25+29707.5+19286.5</f>
        <v>1257977.5</v>
      </c>
      <c r="H16" s="193">
        <f>36851+37511+17353+5020+3902+3186</f>
        <v>103823</v>
      </c>
      <c r="I16" s="256">
        <f>G16/H16</f>
        <v>12.116558951292102</v>
      </c>
      <c r="J16" s="443"/>
      <c r="K16" s="166"/>
    </row>
    <row r="17" spans="1:11" ht="13.5" customHeight="1">
      <c r="A17" s="109">
        <v>13</v>
      </c>
      <c r="B17" s="257" t="s">
        <v>154</v>
      </c>
      <c r="C17" s="169">
        <v>40585</v>
      </c>
      <c r="D17" s="286" t="s">
        <v>24</v>
      </c>
      <c r="E17" s="285">
        <v>89</v>
      </c>
      <c r="F17" s="285">
        <v>2</v>
      </c>
      <c r="G17" s="234">
        <v>1145311</v>
      </c>
      <c r="H17" s="192">
        <v>110188</v>
      </c>
      <c r="I17" s="254">
        <f>+G17/H17</f>
        <v>10.394153628344284</v>
      </c>
      <c r="J17" s="443"/>
      <c r="K17" s="166"/>
    </row>
    <row r="18" spans="1:11" ht="13.5" customHeight="1">
      <c r="A18" s="109">
        <v>14</v>
      </c>
      <c r="B18" s="311" t="s">
        <v>140</v>
      </c>
      <c r="C18" s="173">
        <v>40571</v>
      </c>
      <c r="D18" s="283" t="s">
        <v>104</v>
      </c>
      <c r="E18" s="284">
        <v>20</v>
      </c>
      <c r="F18" s="284">
        <v>4</v>
      </c>
      <c r="G18" s="300">
        <v>717442</v>
      </c>
      <c r="H18" s="301">
        <v>56602</v>
      </c>
      <c r="I18" s="395">
        <v>12.67520582311579</v>
      </c>
      <c r="J18" s="443"/>
      <c r="K18" s="166"/>
    </row>
    <row r="19" spans="1:11" ht="13.5" customHeight="1">
      <c r="A19" s="109">
        <v>15</v>
      </c>
      <c r="B19" s="311" t="s">
        <v>193</v>
      </c>
      <c r="C19" s="173">
        <v>40592</v>
      </c>
      <c r="D19" s="283" t="s">
        <v>23</v>
      </c>
      <c r="E19" s="284">
        <v>27</v>
      </c>
      <c r="F19" s="284">
        <v>1</v>
      </c>
      <c r="G19" s="231">
        <v>626361</v>
      </c>
      <c r="H19" s="194">
        <v>46803</v>
      </c>
      <c r="I19" s="252">
        <f>+G19/H19</f>
        <v>13.382924171527467</v>
      </c>
      <c r="J19" s="443"/>
      <c r="K19" s="166"/>
    </row>
    <row r="20" spans="1:11" ht="13.5" customHeight="1">
      <c r="A20" s="109">
        <v>16</v>
      </c>
      <c r="B20" s="257" t="s">
        <v>188</v>
      </c>
      <c r="C20" s="169">
        <v>40564</v>
      </c>
      <c r="D20" s="286" t="s">
        <v>17</v>
      </c>
      <c r="E20" s="285">
        <v>100</v>
      </c>
      <c r="F20" s="285">
        <v>5</v>
      </c>
      <c r="G20" s="243">
        <f>351928.5+109593.5+20592.5+6351+8236</f>
        <v>496701.5</v>
      </c>
      <c r="H20" s="194">
        <f>40887+13714+2624+866+1497</f>
        <v>59588</v>
      </c>
      <c r="I20" s="258">
        <f>IF(G20&lt;&gt;0,G20/H20,"")</f>
        <v>8.335596093173121</v>
      </c>
      <c r="J20" s="443">
        <v>1</v>
      </c>
      <c r="K20" s="166"/>
    </row>
    <row r="21" spans="1:11" ht="13.5" customHeight="1">
      <c r="A21" s="109">
        <v>17</v>
      </c>
      <c r="B21" s="311" t="s">
        <v>189</v>
      </c>
      <c r="C21" s="173">
        <v>40585</v>
      </c>
      <c r="D21" s="376" t="s">
        <v>120</v>
      </c>
      <c r="E21" s="284">
        <v>58</v>
      </c>
      <c r="F21" s="284">
        <v>2</v>
      </c>
      <c r="G21" s="237">
        <f>236018+209847.25</f>
        <v>445865.25</v>
      </c>
      <c r="H21" s="193">
        <f>25731+24506</f>
        <v>50237</v>
      </c>
      <c r="I21" s="256">
        <f>G21/H21</f>
        <v>8.875236379560882</v>
      </c>
      <c r="J21" s="443">
        <v>1</v>
      </c>
      <c r="K21" s="166"/>
    </row>
    <row r="22" spans="1:11" ht="13.5" customHeight="1">
      <c r="A22" s="109">
        <v>18</v>
      </c>
      <c r="B22" s="257" t="s">
        <v>194</v>
      </c>
      <c r="C22" s="169">
        <v>40592</v>
      </c>
      <c r="D22" s="286" t="s">
        <v>24</v>
      </c>
      <c r="E22" s="285">
        <v>168</v>
      </c>
      <c r="F22" s="285">
        <v>1</v>
      </c>
      <c r="G22" s="234">
        <v>365764</v>
      </c>
      <c r="H22" s="192">
        <v>32285</v>
      </c>
      <c r="I22" s="254">
        <f>+G22/H22</f>
        <v>11.32922409787827</v>
      </c>
      <c r="J22" s="443"/>
      <c r="K22" s="166"/>
    </row>
    <row r="23" spans="1:11" ht="13.5" customHeight="1">
      <c r="A23" s="109">
        <v>19</v>
      </c>
      <c r="B23" s="257" t="s">
        <v>155</v>
      </c>
      <c r="C23" s="169">
        <v>40585</v>
      </c>
      <c r="D23" s="286" t="s">
        <v>27</v>
      </c>
      <c r="E23" s="285">
        <v>41</v>
      </c>
      <c r="F23" s="285">
        <v>2</v>
      </c>
      <c r="G23" s="240">
        <v>317438</v>
      </c>
      <c r="H23" s="196">
        <v>25904</v>
      </c>
      <c r="I23" s="258">
        <f>+G23/H23</f>
        <v>12.254400864731316</v>
      </c>
      <c r="J23" s="443"/>
      <c r="K23" s="166"/>
    </row>
    <row r="24" spans="1:11" ht="13.5" customHeight="1">
      <c r="A24" s="109">
        <v>20</v>
      </c>
      <c r="B24" s="311" t="s">
        <v>195</v>
      </c>
      <c r="C24" s="173">
        <v>40592</v>
      </c>
      <c r="D24" s="283" t="s">
        <v>23</v>
      </c>
      <c r="E24" s="284">
        <v>80</v>
      </c>
      <c r="F24" s="284">
        <v>1</v>
      </c>
      <c r="G24" s="231">
        <v>281000</v>
      </c>
      <c r="H24" s="194">
        <v>31553</v>
      </c>
      <c r="I24" s="252">
        <f>+G24/H24</f>
        <v>8.905650809748677</v>
      </c>
      <c r="J24" s="443">
        <v>1</v>
      </c>
      <c r="K24" s="166"/>
    </row>
    <row r="25" spans="1:11" ht="13.5" customHeight="1">
      <c r="A25" s="109">
        <v>21</v>
      </c>
      <c r="B25" s="311" t="s">
        <v>197</v>
      </c>
      <c r="C25" s="173">
        <v>40592</v>
      </c>
      <c r="D25" s="376" t="s">
        <v>120</v>
      </c>
      <c r="E25" s="284">
        <v>26</v>
      </c>
      <c r="F25" s="284">
        <v>1</v>
      </c>
      <c r="G25" s="237">
        <f>237198</f>
        <v>237198</v>
      </c>
      <c r="H25" s="193">
        <f>20106</f>
        <v>20106</v>
      </c>
      <c r="I25" s="256">
        <f>G25/H25</f>
        <v>11.797373918233363</v>
      </c>
      <c r="J25" s="443"/>
      <c r="K25" s="166"/>
    </row>
    <row r="26" spans="1:11" ht="13.5" customHeight="1">
      <c r="A26" s="109">
        <v>22</v>
      </c>
      <c r="B26" s="257" t="s">
        <v>85</v>
      </c>
      <c r="C26" s="169">
        <v>40543</v>
      </c>
      <c r="D26" s="286" t="s">
        <v>105</v>
      </c>
      <c r="E26" s="285" t="s">
        <v>74</v>
      </c>
      <c r="F26" s="285" t="s">
        <v>170</v>
      </c>
      <c r="G26" s="240">
        <v>230716</v>
      </c>
      <c r="H26" s="196">
        <v>18729</v>
      </c>
      <c r="I26" s="252">
        <f>G26/H26</f>
        <v>12.318650221581505</v>
      </c>
      <c r="J26" s="443"/>
      <c r="K26" s="166"/>
    </row>
    <row r="27" spans="1:11" ht="13.5" customHeight="1">
      <c r="A27" s="109">
        <v>23</v>
      </c>
      <c r="B27" s="311" t="s">
        <v>190</v>
      </c>
      <c r="C27" s="173">
        <v>40543</v>
      </c>
      <c r="D27" s="376" t="s">
        <v>120</v>
      </c>
      <c r="E27" s="284">
        <v>77</v>
      </c>
      <c r="F27" s="284">
        <v>8</v>
      </c>
      <c r="G27" s="237">
        <f>163528+30551+13366.5+447+2034+736+438+615.5</f>
        <v>211716</v>
      </c>
      <c r="H27" s="193">
        <f>16190+3500+1888+71+488+168+61+118</f>
        <v>22484</v>
      </c>
      <c r="I27" s="256">
        <f>G27/H27</f>
        <v>9.416296032734389</v>
      </c>
      <c r="J27" s="443">
        <v>1</v>
      </c>
      <c r="K27" s="166"/>
    </row>
    <row r="28" spans="1:11" ht="13.5" customHeight="1">
      <c r="A28" s="109">
        <v>24</v>
      </c>
      <c r="B28" s="257" t="s">
        <v>191</v>
      </c>
      <c r="C28" s="169">
        <v>40557</v>
      </c>
      <c r="D28" s="286" t="s">
        <v>27</v>
      </c>
      <c r="E28" s="285">
        <v>66</v>
      </c>
      <c r="F28" s="285">
        <v>6</v>
      </c>
      <c r="G28" s="240">
        <v>205149</v>
      </c>
      <c r="H28" s="196">
        <v>24159</v>
      </c>
      <c r="I28" s="258">
        <f>+G28/H28</f>
        <v>8.491618030547622</v>
      </c>
      <c r="J28" s="443">
        <v>1</v>
      </c>
      <c r="K28" s="166"/>
    </row>
    <row r="29" spans="1:11" ht="13.5" customHeight="1">
      <c r="A29" s="109">
        <v>25</v>
      </c>
      <c r="B29" s="311" t="s">
        <v>145</v>
      </c>
      <c r="C29" s="173">
        <v>40543</v>
      </c>
      <c r="D29" s="283" t="s">
        <v>23</v>
      </c>
      <c r="E29" s="284">
        <v>118</v>
      </c>
      <c r="F29" s="284">
        <v>6</v>
      </c>
      <c r="G29" s="231">
        <v>200539</v>
      </c>
      <c r="H29" s="194">
        <v>22144</v>
      </c>
      <c r="I29" s="252">
        <f>+G29/H29</f>
        <v>9.056132586705202</v>
      </c>
      <c r="J29" s="443">
        <v>1</v>
      </c>
      <c r="K29" s="166"/>
    </row>
    <row r="30" spans="1:11" ht="13.5" customHeight="1">
      <c r="A30" s="109">
        <v>26</v>
      </c>
      <c r="B30" s="257" t="s">
        <v>196</v>
      </c>
      <c r="C30" s="169">
        <v>40592</v>
      </c>
      <c r="D30" s="286" t="s">
        <v>27</v>
      </c>
      <c r="E30" s="285">
        <v>68</v>
      </c>
      <c r="F30" s="285">
        <v>1</v>
      </c>
      <c r="G30" s="240">
        <v>127679</v>
      </c>
      <c r="H30" s="196">
        <v>12805</v>
      </c>
      <c r="I30" s="258">
        <f>+G30/H30</f>
        <v>9.971026942600547</v>
      </c>
      <c r="J30" s="443">
        <v>1</v>
      </c>
      <c r="K30" s="166"/>
    </row>
    <row r="31" spans="1:11" ht="13.5" customHeight="1">
      <c r="A31" s="109">
        <v>27</v>
      </c>
      <c r="B31" s="311" t="s">
        <v>121</v>
      </c>
      <c r="C31" s="186">
        <v>40557</v>
      </c>
      <c r="D31" s="295" t="s">
        <v>90</v>
      </c>
      <c r="E31" s="296">
        <v>7</v>
      </c>
      <c r="F31" s="296">
        <v>6</v>
      </c>
      <c r="G31" s="245">
        <v>94116</v>
      </c>
      <c r="H31" s="194">
        <v>6870</v>
      </c>
      <c r="I31" s="260">
        <f>G31/H31</f>
        <v>13.699563318777292</v>
      </c>
      <c r="J31" s="443"/>
      <c r="K31" s="166"/>
    </row>
    <row r="32" spans="1:11" ht="13.5" customHeight="1">
      <c r="A32" s="109">
        <v>28</v>
      </c>
      <c r="B32" s="257" t="s">
        <v>89</v>
      </c>
      <c r="C32" s="169">
        <v>40543</v>
      </c>
      <c r="D32" s="286" t="s">
        <v>17</v>
      </c>
      <c r="E32" s="285">
        <v>20</v>
      </c>
      <c r="F32" s="285">
        <v>6</v>
      </c>
      <c r="G32" s="243">
        <f>66843.5+17122+2473.5+3354+459+3105</f>
        <v>93357</v>
      </c>
      <c r="H32" s="194">
        <f>6779+1684+271+528+66+413</f>
        <v>9741</v>
      </c>
      <c r="I32" s="258">
        <f>IF(G32&lt;&gt;0,G32/H32,"")</f>
        <v>9.583923621804743</v>
      </c>
      <c r="J32" s="443"/>
      <c r="K32" s="166"/>
    </row>
    <row r="33" spans="1:11" ht="13.5" customHeight="1">
      <c r="A33" s="109">
        <v>29</v>
      </c>
      <c r="B33" s="311" t="s">
        <v>130</v>
      </c>
      <c r="C33" s="173">
        <v>40564</v>
      </c>
      <c r="D33" s="376" t="s">
        <v>120</v>
      </c>
      <c r="E33" s="284">
        <v>13</v>
      </c>
      <c r="F33" s="284">
        <v>5</v>
      </c>
      <c r="G33" s="237">
        <f>64028+21223+629+205+489</f>
        <v>86574</v>
      </c>
      <c r="H33" s="193">
        <f>5321+1577+38+24+63</f>
        <v>7023</v>
      </c>
      <c r="I33" s="256">
        <f>G33/H33</f>
        <v>12.327210593763349</v>
      </c>
      <c r="J33" s="443"/>
      <c r="K33" s="166"/>
    </row>
    <row r="34" spans="1:11" ht="13.5" customHeight="1">
      <c r="A34" s="109">
        <v>30</v>
      </c>
      <c r="B34" s="311" t="s">
        <v>192</v>
      </c>
      <c r="C34" s="173">
        <v>40543</v>
      </c>
      <c r="D34" s="283" t="s">
        <v>31</v>
      </c>
      <c r="E34" s="284">
        <v>37</v>
      </c>
      <c r="F34" s="284">
        <v>8</v>
      </c>
      <c r="G34" s="231">
        <v>66290.5</v>
      </c>
      <c r="H34" s="194">
        <v>9245</v>
      </c>
      <c r="I34" s="252">
        <f>G34/H34</f>
        <v>7.170416441319632</v>
      </c>
      <c r="J34" s="443">
        <v>1</v>
      </c>
      <c r="K34" s="166"/>
    </row>
    <row r="35" spans="1:11" ht="13.5" customHeight="1">
      <c r="A35" s="109">
        <v>31</v>
      </c>
      <c r="B35" s="311" t="s">
        <v>86</v>
      </c>
      <c r="C35" s="186">
        <v>40543</v>
      </c>
      <c r="D35" s="295" t="s">
        <v>90</v>
      </c>
      <c r="E35" s="296">
        <v>2</v>
      </c>
      <c r="F35" s="296">
        <v>8</v>
      </c>
      <c r="G35" s="245">
        <v>65502.5</v>
      </c>
      <c r="H35" s="194">
        <v>4837</v>
      </c>
      <c r="I35" s="260">
        <f>G35/H35</f>
        <v>13.541968162083936</v>
      </c>
      <c r="J35" s="443"/>
      <c r="K35" s="166"/>
    </row>
    <row r="36" spans="1:11" ht="13.5" customHeight="1">
      <c r="A36" s="109">
        <v>32</v>
      </c>
      <c r="B36" s="311" t="s">
        <v>156</v>
      </c>
      <c r="C36" s="173">
        <v>40585</v>
      </c>
      <c r="D36" s="283" t="s">
        <v>23</v>
      </c>
      <c r="E36" s="284">
        <v>13</v>
      </c>
      <c r="F36" s="284">
        <v>2</v>
      </c>
      <c r="G36" s="231">
        <v>60408</v>
      </c>
      <c r="H36" s="194">
        <v>4591</v>
      </c>
      <c r="I36" s="252">
        <f>+G36/H36</f>
        <v>13.157917664996733</v>
      </c>
      <c r="J36" s="443"/>
      <c r="K36" s="166"/>
    </row>
    <row r="37" spans="1:11" ht="13.5" customHeight="1">
      <c r="A37" s="109">
        <v>33</v>
      </c>
      <c r="B37" s="334" t="s">
        <v>122</v>
      </c>
      <c r="C37" s="298">
        <v>40557</v>
      </c>
      <c r="D37" s="297" t="s">
        <v>104</v>
      </c>
      <c r="E37" s="299">
        <v>12</v>
      </c>
      <c r="F37" s="299">
        <v>2</v>
      </c>
      <c r="G37" s="300">
        <v>19891</v>
      </c>
      <c r="H37" s="301">
        <v>1841</v>
      </c>
      <c r="I37" s="256">
        <f>G37/H37</f>
        <v>10.804454101032048</v>
      </c>
      <c r="J37" s="443"/>
      <c r="K37" s="166"/>
    </row>
    <row r="38" spans="1:11" ht="13.5" customHeight="1">
      <c r="A38" s="109">
        <v>34</v>
      </c>
      <c r="B38" s="311" t="s">
        <v>103</v>
      </c>
      <c r="C38" s="173">
        <v>40550</v>
      </c>
      <c r="D38" s="376" t="s">
        <v>120</v>
      </c>
      <c r="E38" s="284">
        <v>2</v>
      </c>
      <c r="F38" s="284">
        <v>6</v>
      </c>
      <c r="G38" s="237">
        <f>8356+3109+3208+1189+694+1140</f>
        <v>17696</v>
      </c>
      <c r="H38" s="193">
        <f>789+330+327+132+146+315</f>
        <v>2039</v>
      </c>
      <c r="I38" s="256">
        <f>G38/H38</f>
        <v>8.678764100049044</v>
      </c>
      <c r="J38" s="443"/>
      <c r="K38" s="166"/>
    </row>
    <row r="39" spans="1:11" ht="13.5" customHeight="1">
      <c r="A39" s="109">
        <v>35</v>
      </c>
      <c r="B39" s="311" t="s">
        <v>133</v>
      </c>
      <c r="C39" s="186">
        <v>40564</v>
      </c>
      <c r="D39" s="295" t="s">
        <v>90</v>
      </c>
      <c r="E39" s="296">
        <v>3</v>
      </c>
      <c r="F39" s="296">
        <v>4</v>
      </c>
      <c r="G39" s="245">
        <v>11909.5</v>
      </c>
      <c r="H39" s="194">
        <v>822</v>
      </c>
      <c r="I39" s="260">
        <f>G39/H39</f>
        <v>14.488442822384428</v>
      </c>
      <c r="J39" s="443"/>
      <c r="K39" s="166"/>
    </row>
    <row r="40" spans="1:11" ht="13.5" customHeight="1">
      <c r="A40" s="109">
        <v>36</v>
      </c>
      <c r="B40" s="311" t="s">
        <v>139</v>
      </c>
      <c r="C40" s="186">
        <v>40564</v>
      </c>
      <c r="D40" s="295" t="s">
        <v>90</v>
      </c>
      <c r="E40" s="296">
        <v>1</v>
      </c>
      <c r="F40" s="296">
        <v>4</v>
      </c>
      <c r="G40" s="245">
        <v>8377</v>
      </c>
      <c r="H40" s="194">
        <v>729</v>
      </c>
      <c r="I40" s="260">
        <f>G40/H40</f>
        <v>11.491083676268861</v>
      </c>
      <c r="J40" s="443"/>
      <c r="K40" s="166"/>
    </row>
    <row r="41" spans="1:11" ht="13.5" customHeight="1" thickBot="1">
      <c r="A41" s="109">
        <v>37</v>
      </c>
      <c r="B41" s="445" t="s">
        <v>198</v>
      </c>
      <c r="C41" s="456">
        <v>40592</v>
      </c>
      <c r="D41" s="446" t="s">
        <v>31</v>
      </c>
      <c r="E41" s="447">
        <v>3</v>
      </c>
      <c r="F41" s="447">
        <v>1</v>
      </c>
      <c r="G41" s="448">
        <v>3730</v>
      </c>
      <c r="H41" s="449">
        <v>519</v>
      </c>
      <c r="I41" s="450">
        <f>G41/H41</f>
        <v>7.186897880539499</v>
      </c>
      <c r="J41" s="443">
        <v>1</v>
      </c>
      <c r="K41" s="166"/>
    </row>
    <row r="42" spans="2:9" ht="12.75">
      <c r="B42" s="78"/>
      <c r="C42" s="158"/>
      <c r="D42" s="79"/>
      <c r="E42" s="84"/>
      <c r="F42" s="84"/>
      <c r="G42" s="80"/>
      <c r="H42" s="81"/>
      <c r="I42" s="82"/>
    </row>
    <row r="43" spans="1:52" s="121" customFormat="1" ht="21.75" customHeight="1">
      <c r="A43" s="457" t="s">
        <v>55</v>
      </c>
      <c r="B43" s="458"/>
      <c r="C43" s="458"/>
      <c r="D43" s="458"/>
      <c r="E43" s="458"/>
      <c r="F43" s="458"/>
      <c r="G43" s="458"/>
      <c r="H43" s="458"/>
      <c r="I43" s="458"/>
      <c r="J43" s="458"/>
      <c r="K43" s="458"/>
      <c r="L43" s="458"/>
      <c r="M43" s="458"/>
      <c r="N43" s="458"/>
      <c r="O43" s="125"/>
      <c r="P43" s="126"/>
      <c r="Q43" s="126"/>
      <c r="R43" s="126"/>
      <c r="S43" s="126"/>
      <c r="T43" s="126"/>
      <c r="U43" s="126"/>
      <c r="V43" s="126"/>
      <c r="W43" s="144"/>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1"/>
    </row>
    <row r="44" spans="1:256" s="121" customFormat="1" ht="18" customHeight="1">
      <c r="A44" s="457" t="s">
        <v>28</v>
      </c>
      <c r="B44" s="458"/>
      <c r="C44" s="458"/>
      <c r="D44" s="458"/>
      <c r="E44" s="458"/>
      <c r="F44" s="458"/>
      <c r="G44" s="458"/>
      <c r="H44" s="458"/>
      <c r="I44" s="458"/>
      <c r="J44" s="458"/>
      <c r="K44" s="458"/>
      <c r="L44" s="458"/>
      <c r="M44" s="458"/>
      <c r="N44" s="458"/>
      <c r="O44" s="125"/>
      <c r="P44" s="126"/>
      <c r="Q44" s="126"/>
      <c r="R44" s="126"/>
      <c r="S44" s="126"/>
      <c r="T44" s="126"/>
      <c r="U44" s="126"/>
      <c r="V44" s="126"/>
      <c r="W44" s="146"/>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6"/>
      <c r="AT44" s="147"/>
      <c r="AU44" s="147"/>
      <c r="AV44" s="147"/>
      <c r="AW44" s="147"/>
      <c r="AX44" s="147"/>
      <c r="AY44" s="147"/>
      <c r="AZ44" s="142"/>
      <c r="BA44" s="123"/>
      <c r="BB44" s="123"/>
      <c r="BC44" s="123"/>
      <c r="BD44" s="123"/>
      <c r="BE44" s="123"/>
      <c r="BF44" s="123"/>
      <c r="BG44" s="123"/>
      <c r="BH44" s="123"/>
      <c r="BI44" s="123"/>
      <c r="BJ44" s="123"/>
      <c r="BK44" s="123"/>
      <c r="BL44" s="123"/>
      <c r="BM44" s="123"/>
      <c r="BN44" s="123"/>
      <c r="BO44" s="122"/>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2"/>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2"/>
      <c r="DH44" s="123"/>
      <c r="DI44" s="123"/>
      <c r="DJ44" s="123"/>
      <c r="DK44" s="123"/>
      <c r="DL44" s="123"/>
      <c r="DM44" s="123"/>
      <c r="DN44" s="123"/>
      <c r="DO44" s="123"/>
      <c r="DP44" s="123"/>
      <c r="DQ44" s="123"/>
      <c r="DR44" s="123"/>
      <c r="DS44" s="123"/>
      <c r="DT44" s="123"/>
      <c r="DU44" s="123"/>
      <c r="DV44" s="123"/>
      <c r="DW44" s="123"/>
      <c r="DX44" s="123"/>
      <c r="DY44" s="123"/>
      <c r="DZ44" s="123"/>
      <c r="EA44" s="123"/>
      <c r="EB44" s="123"/>
      <c r="EC44" s="122"/>
      <c r="ED44" s="123"/>
      <c r="EE44" s="123"/>
      <c r="EF44" s="123"/>
      <c r="EG44" s="123"/>
      <c r="EH44" s="123"/>
      <c r="EI44" s="123"/>
      <c r="EJ44" s="123"/>
      <c r="EK44" s="123"/>
      <c r="EL44" s="123"/>
      <c r="EM44" s="123"/>
      <c r="EN44" s="123"/>
      <c r="EO44" s="123"/>
      <c r="EP44" s="123"/>
      <c r="EQ44" s="123"/>
      <c r="ER44" s="123"/>
      <c r="ES44" s="123"/>
      <c r="ET44" s="123"/>
      <c r="EU44" s="123"/>
      <c r="EV44" s="123"/>
      <c r="EW44" s="123"/>
      <c r="EX44" s="123"/>
      <c r="EY44" s="122"/>
      <c r="EZ44" s="123"/>
      <c r="FA44" s="123"/>
      <c r="FB44" s="123"/>
      <c r="FC44" s="123"/>
      <c r="FD44" s="123"/>
      <c r="FE44" s="123"/>
      <c r="FF44" s="123"/>
      <c r="FG44" s="123"/>
      <c r="FH44" s="123"/>
      <c r="FI44" s="123"/>
      <c r="FJ44" s="123"/>
      <c r="FK44" s="123"/>
      <c r="FL44" s="123"/>
      <c r="FM44" s="123"/>
      <c r="FN44" s="123"/>
      <c r="FO44" s="123"/>
      <c r="FP44" s="123"/>
      <c r="FQ44" s="123"/>
      <c r="FR44" s="123"/>
      <c r="FS44" s="123"/>
      <c r="FT44" s="123"/>
      <c r="FU44" s="122"/>
      <c r="FV44" s="123"/>
      <c r="FW44" s="123"/>
      <c r="FX44" s="123"/>
      <c r="FY44" s="123"/>
      <c r="FZ44" s="123"/>
      <c r="GA44" s="123"/>
      <c r="GB44" s="123"/>
      <c r="GC44" s="123"/>
      <c r="GD44" s="123"/>
      <c r="GE44" s="123"/>
      <c r="GF44" s="123"/>
      <c r="GG44" s="123"/>
      <c r="GH44" s="123"/>
      <c r="GI44" s="123"/>
      <c r="GJ44" s="123"/>
      <c r="GK44" s="123"/>
      <c r="GL44" s="123"/>
      <c r="GM44" s="123"/>
      <c r="GN44" s="123"/>
      <c r="GO44" s="123"/>
      <c r="GP44" s="123"/>
      <c r="GQ44" s="122"/>
      <c r="GR44" s="123"/>
      <c r="GS44" s="123"/>
      <c r="GT44" s="123"/>
      <c r="GU44" s="123"/>
      <c r="GV44" s="123"/>
      <c r="GW44" s="123"/>
      <c r="GX44" s="123"/>
      <c r="GY44" s="123"/>
      <c r="GZ44" s="123"/>
      <c r="HA44" s="123"/>
      <c r="HB44" s="123"/>
      <c r="HC44" s="123"/>
      <c r="HD44" s="123"/>
      <c r="HE44" s="123"/>
      <c r="HF44" s="123"/>
      <c r="HG44" s="123"/>
      <c r="HH44" s="123"/>
      <c r="HI44" s="123"/>
      <c r="HJ44" s="123"/>
      <c r="HK44" s="123"/>
      <c r="HL44" s="123"/>
      <c r="HM44" s="122"/>
      <c r="HN44" s="123"/>
      <c r="HO44" s="123"/>
      <c r="HP44" s="123"/>
      <c r="HQ44" s="123"/>
      <c r="HR44" s="123"/>
      <c r="HS44" s="123"/>
      <c r="HT44" s="123"/>
      <c r="HU44" s="123"/>
      <c r="HV44" s="123"/>
      <c r="HW44" s="123"/>
      <c r="HX44" s="123"/>
      <c r="HY44" s="123"/>
      <c r="HZ44" s="123"/>
      <c r="IA44" s="123"/>
      <c r="IB44" s="123"/>
      <c r="IC44" s="123"/>
      <c r="ID44" s="123"/>
      <c r="IE44" s="123"/>
      <c r="IF44" s="123"/>
      <c r="IG44" s="123"/>
      <c r="IH44" s="123"/>
      <c r="II44" s="122"/>
      <c r="IJ44" s="123"/>
      <c r="IK44" s="123"/>
      <c r="IL44" s="123"/>
      <c r="IM44" s="123"/>
      <c r="IN44" s="123"/>
      <c r="IO44" s="123"/>
      <c r="IP44" s="123"/>
      <c r="IQ44" s="123"/>
      <c r="IR44" s="123"/>
      <c r="IS44" s="123"/>
      <c r="IT44" s="123"/>
      <c r="IU44" s="123"/>
      <c r="IV44" s="123"/>
    </row>
    <row r="45" spans="1:256" s="121" customFormat="1" ht="18" customHeight="1">
      <c r="A45" s="458"/>
      <c r="B45" s="458"/>
      <c r="C45" s="458"/>
      <c r="D45" s="458"/>
      <c r="E45" s="458"/>
      <c r="F45" s="458"/>
      <c r="G45" s="458"/>
      <c r="H45" s="458"/>
      <c r="I45" s="458"/>
      <c r="J45" s="458"/>
      <c r="K45" s="458"/>
      <c r="L45" s="458"/>
      <c r="M45" s="458"/>
      <c r="N45" s="458"/>
      <c r="O45" s="125"/>
      <c r="P45" s="126"/>
      <c r="Q45" s="126"/>
      <c r="R45" s="126"/>
      <c r="S45" s="126"/>
      <c r="T45" s="126"/>
      <c r="U45" s="126"/>
      <c r="V45" s="126"/>
      <c r="W45" s="146"/>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6"/>
      <c r="AT45" s="147"/>
      <c r="AU45" s="147"/>
      <c r="AV45" s="147"/>
      <c r="AW45" s="147"/>
      <c r="AX45" s="147"/>
      <c r="AY45" s="147"/>
      <c r="AZ45" s="142"/>
      <c r="BA45" s="123"/>
      <c r="BB45" s="123"/>
      <c r="BC45" s="123"/>
      <c r="BD45" s="123"/>
      <c r="BE45" s="123"/>
      <c r="BF45" s="123"/>
      <c r="BG45" s="123"/>
      <c r="BH45" s="123"/>
      <c r="BI45" s="123"/>
      <c r="BJ45" s="123"/>
      <c r="BK45" s="123"/>
      <c r="BL45" s="123"/>
      <c r="BM45" s="123"/>
      <c r="BN45" s="123"/>
      <c r="BO45" s="122"/>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2"/>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2"/>
      <c r="DH45" s="123"/>
      <c r="DI45" s="123"/>
      <c r="DJ45" s="123"/>
      <c r="DK45" s="123"/>
      <c r="DL45" s="123"/>
      <c r="DM45" s="123"/>
      <c r="DN45" s="123"/>
      <c r="DO45" s="123"/>
      <c r="DP45" s="123"/>
      <c r="DQ45" s="123"/>
      <c r="DR45" s="123"/>
      <c r="DS45" s="123"/>
      <c r="DT45" s="123"/>
      <c r="DU45" s="123"/>
      <c r="DV45" s="123"/>
      <c r="DW45" s="123"/>
      <c r="DX45" s="123"/>
      <c r="DY45" s="123"/>
      <c r="DZ45" s="123"/>
      <c r="EA45" s="123"/>
      <c r="EB45" s="123"/>
      <c r="EC45" s="122"/>
      <c r="ED45" s="123"/>
      <c r="EE45" s="123"/>
      <c r="EF45" s="123"/>
      <c r="EG45" s="123"/>
      <c r="EH45" s="123"/>
      <c r="EI45" s="123"/>
      <c r="EJ45" s="123"/>
      <c r="EK45" s="123"/>
      <c r="EL45" s="123"/>
      <c r="EM45" s="123"/>
      <c r="EN45" s="123"/>
      <c r="EO45" s="123"/>
      <c r="EP45" s="123"/>
      <c r="EQ45" s="123"/>
      <c r="ER45" s="123"/>
      <c r="ES45" s="123"/>
      <c r="ET45" s="123"/>
      <c r="EU45" s="123"/>
      <c r="EV45" s="123"/>
      <c r="EW45" s="123"/>
      <c r="EX45" s="123"/>
      <c r="EY45" s="122"/>
      <c r="EZ45" s="123"/>
      <c r="FA45" s="123"/>
      <c r="FB45" s="123"/>
      <c r="FC45" s="123"/>
      <c r="FD45" s="123"/>
      <c r="FE45" s="123"/>
      <c r="FF45" s="123"/>
      <c r="FG45" s="123"/>
      <c r="FH45" s="123"/>
      <c r="FI45" s="123"/>
      <c r="FJ45" s="123"/>
      <c r="FK45" s="123"/>
      <c r="FL45" s="123"/>
      <c r="FM45" s="123"/>
      <c r="FN45" s="123"/>
      <c r="FO45" s="123"/>
      <c r="FP45" s="123"/>
      <c r="FQ45" s="123"/>
      <c r="FR45" s="123"/>
      <c r="FS45" s="123"/>
      <c r="FT45" s="123"/>
      <c r="FU45" s="122"/>
      <c r="FV45" s="123"/>
      <c r="FW45" s="123"/>
      <c r="FX45" s="123"/>
      <c r="FY45" s="123"/>
      <c r="FZ45" s="123"/>
      <c r="GA45" s="123"/>
      <c r="GB45" s="123"/>
      <c r="GC45" s="123"/>
      <c r="GD45" s="123"/>
      <c r="GE45" s="123"/>
      <c r="GF45" s="123"/>
      <c r="GG45" s="123"/>
      <c r="GH45" s="123"/>
      <c r="GI45" s="123"/>
      <c r="GJ45" s="123"/>
      <c r="GK45" s="123"/>
      <c r="GL45" s="123"/>
      <c r="GM45" s="123"/>
      <c r="GN45" s="123"/>
      <c r="GO45" s="123"/>
      <c r="GP45" s="123"/>
      <c r="GQ45" s="122"/>
      <c r="GR45" s="123"/>
      <c r="GS45" s="123"/>
      <c r="GT45" s="123"/>
      <c r="GU45" s="123"/>
      <c r="GV45" s="123"/>
      <c r="GW45" s="123"/>
      <c r="GX45" s="123"/>
      <c r="GY45" s="123"/>
      <c r="GZ45" s="123"/>
      <c r="HA45" s="123"/>
      <c r="HB45" s="123"/>
      <c r="HC45" s="123"/>
      <c r="HD45" s="123"/>
      <c r="HE45" s="123"/>
      <c r="HF45" s="123"/>
      <c r="HG45" s="123"/>
      <c r="HH45" s="123"/>
      <c r="HI45" s="123"/>
      <c r="HJ45" s="123"/>
      <c r="HK45" s="123"/>
      <c r="HL45" s="123"/>
      <c r="HM45" s="122"/>
      <c r="HN45" s="123"/>
      <c r="HO45" s="123"/>
      <c r="HP45" s="123"/>
      <c r="HQ45" s="123"/>
      <c r="HR45" s="123"/>
      <c r="HS45" s="123"/>
      <c r="HT45" s="123"/>
      <c r="HU45" s="123"/>
      <c r="HV45" s="123"/>
      <c r="HW45" s="123"/>
      <c r="HX45" s="123"/>
      <c r="HY45" s="123"/>
      <c r="HZ45" s="123"/>
      <c r="IA45" s="123"/>
      <c r="IB45" s="123"/>
      <c r="IC45" s="123"/>
      <c r="ID45" s="123"/>
      <c r="IE45" s="123"/>
      <c r="IF45" s="123"/>
      <c r="IG45" s="123"/>
      <c r="IH45" s="123"/>
      <c r="II45" s="122"/>
      <c r="IJ45" s="123"/>
      <c r="IK45" s="123"/>
      <c r="IL45" s="123"/>
      <c r="IM45" s="123"/>
      <c r="IN45" s="123"/>
      <c r="IO45" s="123"/>
      <c r="IP45" s="123"/>
      <c r="IQ45" s="123"/>
      <c r="IR45" s="123"/>
      <c r="IS45" s="123"/>
      <c r="IT45" s="123"/>
      <c r="IU45" s="123"/>
      <c r="IV45" s="123"/>
    </row>
    <row r="46" spans="1:256" s="121" customFormat="1" ht="18" customHeight="1">
      <c r="A46" s="458"/>
      <c r="B46" s="458"/>
      <c r="C46" s="458"/>
      <c r="D46" s="458"/>
      <c r="E46" s="458"/>
      <c r="F46" s="458"/>
      <c r="G46" s="458"/>
      <c r="H46" s="458"/>
      <c r="I46" s="458"/>
      <c r="J46" s="458"/>
      <c r="K46" s="458"/>
      <c r="L46" s="458"/>
      <c r="M46" s="458"/>
      <c r="N46" s="458"/>
      <c r="O46" s="125"/>
      <c r="P46" s="126"/>
      <c r="Q46" s="126"/>
      <c r="R46" s="126"/>
      <c r="S46" s="126"/>
      <c r="T46" s="126"/>
      <c r="U46" s="126"/>
      <c r="V46" s="126"/>
      <c r="W46" s="146"/>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6"/>
      <c r="AT46" s="147"/>
      <c r="AU46" s="147"/>
      <c r="AV46" s="147"/>
      <c r="AW46" s="147"/>
      <c r="AX46" s="147"/>
      <c r="AY46" s="147"/>
      <c r="AZ46" s="142"/>
      <c r="BA46" s="123"/>
      <c r="BB46" s="123"/>
      <c r="BC46" s="123"/>
      <c r="BD46" s="123"/>
      <c r="BE46" s="123"/>
      <c r="BF46" s="123"/>
      <c r="BG46" s="123"/>
      <c r="BH46" s="123"/>
      <c r="BI46" s="123"/>
      <c r="BJ46" s="123"/>
      <c r="BK46" s="123"/>
      <c r="BL46" s="123"/>
      <c r="BM46" s="123"/>
      <c r="BN46" s="123"/>
      <c r="BO46" s="122"/>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2"/>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2"/>
      <c r="DH46" s="123"/>
      <c r="DI46" s="123"/>
      <c r="DJ46" s="123"/>
      <c r="DK46" s="123"/>
      <c r="DL46" s="123"/>
      <c r="DM46" s="123"/>
      <c r="DN46" s="123"/>
      <c r="DO46" s="123"/>
      <c r="DP46" s="123"/>
      <c r="DQ46" s="123"/>
      <c r="DR46" s="123"/>
      <c r="DS46" s="123"/>
      <c r="DT46" s="123"/>
      <c r="DU46" s="123"/>
      <c r="DV46" s="123"/>
      <c r="DW46" s="123"/>
      <c r="DX46" s="123"/>
      <c r="DY46" s="123"/>
      <c r="DZ46" s="123"/>
      <c r="EA46" s="123"/>
      <c r="EB46" s="123"/>
      <c r="EC46" s="122"/>
      <c r="ED46" s="123"/>
      <c r="EE46" s="123"/>
      <c r="EF46" s="123"/>
      <c r="EG46" s="123"/>
      <c r="EH46" s="123"/>
      <c r="EI46" s="123"/>
      <c r="EJ46" s="123"/>
      <c r="EK46" s="123"/>
      <c r="EL46" s="123"/>
      <c r="EM46" s="123"/>
      <c r="EN46" s="123"/>
      <c r="EO46" s="123"/>
      <c r="EP46" s="123"/>
      <c r="EQ46" s="123"/>
      <c r="ER46" s="123"/>
      <c r="ES46" s="123"/>
      <c r="ET46" s="123"/>
      <c r="EU46" s="123"/>
      <c r="EV46" s="123"/>
      <c r="EW46" s="123"/>
      <c r="EX46" s="123"/>
      <c r="EY46" s="122"/>
      <c r="EZ46" s="123"/>
      <c r="FA46" s="123"/>
      <c r="FB46" s="123"/>
      <c r="FC46" s="123"/>
      <c r="FD46" s="123"/>
      <c r="FE46" s="123"/>
      <c r="FF46" s="123"/>
      <c r="FG46" s="123"/>
      <c r="FH46" s="123"/>
      <c r="FI46" s="123"/>
      <c r="FJ46" s="123"/>
      <c r="FK46" s="123"/>
      <c r="FL46" s="123"/>
      <c r="FM46" s="123"/>
      <c r="FN46" s="123"/>
      <c r="FO46" s="123"/>
      <c r="FP46" s="123"/>
      <c r="FQ46" s="123"/>
      <c r="FR46" s="123"/>
      <c r="FS46" s="123"/>
      <c r="FT46" s="123"/>
      <c r="FU46" s="122"/>
      <c r="FV46" s="123"/>
      <c r="FW46" s="123"/>
      <c r="FX46" s="123"/>
      <c r="FY46" s="123"/>
      <c r="FZ46" s="123"/>
      <c r="GA46" s="123"/>
      <c r="GB46" s="123"/>
      <c r="GC46" s="123"/>
      <c r="GD46" s="123"/>
      <c r="GE46" s="123"/>
      <c r="GF46" s="123"/>
      <c r="GG46" s="123"/>
      <c r="GH46" s="123"/>
      <c r="GI46" s="123"/>
      <c r="GJ46" s="123"/>
      <c r="GK46" s="123"/>
      <c r="GL46" s="123"/>
      <c r="GM46" s="123"/>
      <c r="GN46" s="123"/>
      <c r="GO46" s="123"/>
      <c r="GP46" s="123"/>
      <c r="GQ46" s="122"/>
      <c r="GR46" s="123"/>
      <c r="GS46" s="123"/>
      <c r="GT46" s="123"/>
      <c r="GU46" s="123"/>
      <c r="GV46" s="123"/>
      <c r="GW46" s="123"/>
      <c r="GX46" s="123"/>
      <c r="GY46" s="123"/>
      <c r="GZ46" s="123"/>
      <c r="HA46" s="123"/>
      <c r="HB46" s="123"/>
      <c r="HC46" s="123"/>
      <c r="HD46" s="123"/>
      <c r="HE46" s="123"/>
      <c r="HF46" s="123"/>
      <c r="HG46" s="123"/>
      <c r="HH46" s="123"/>
      <c r="HI46" s="123"/>
      <c r="HJ46" s="123"/>
      <c r="HK46" s="123"/>
      <c r="HL46" s="123"/>
      <c r="HM46" s="122"/>
      <c r="HN46" s="123"/>
      <c r="HO46" s="123"/>
      <c r="HP46" s="123"/>
      <c r="HQ46" s="123"/>
      <c r="HR46" s="123"/>
      <c r="HS46" s="123"/>
      <c r="HT46" s="123"/>
      <c r="HU46" s="123"/>
      <c r="HV46" s="123"/>
      <c r="HW46" s="123"/>
      <c r="HX46" s="123"/>
      <c r="HY46" s="123"/>
      <c r="HZ46" s="123"/>
      <c r="IA46" s="123"/>
      <c r="IB46" s="123"/>
      <c r="IC46" s="123"/>
      <c r="ID46" s="123"/>
      <c r="IE46" s="123"/>
      <c r="IF46" s="123"/>
      <c r="IG46" s="123"/>
      <c r="IH46" s="123"/>
      <c r="II46" s="122"/>
      <c r="IJ46" s="123"/>
      <c r="IK46" s="123"/>
      <c r="IL46" s="123"/>
      <c r="IM46" s="123"/>
      <c r="IN46" s="123"/>
      <c r="IO46" s="123"/>
      <c r="IP46" s="123"/>
      <c r="IQ46" s="123"/>
      <c r="IR46" s="123"/>
      <c r="IS46" s="123"/>
      <c r="IT46" s="123"/>
      <c r="IU46" s="123"/>
      <c r="IV46" s="123"/>
    </row>
    <row r="47" spans="1:256" s="121" customFormat="1" ht="15" customHeight="1">
      <c r="A47" s="457" t="s">
        <v>54</v>
      </c>
      <c r="B47" s="459"/>
      <c r="C47" s="459"/>
      <c r="D47" s="459"/>
      <c r="E47" s="459"/>
      <c r="F47" s="459"/>
      <c r="G47" s="459"/>
      <c r="H47" s="459"/>
      <c r="I47" s="459"/>
      <c r="J47" s="459"/>
      <c r="K47" s="459"/>
      <c r="L47" s="459"/>
      <c r="M47" s="459"/>
      <c r="N47" s="459"/>
      <c r="O47" s="150"/>
      <c r="P47" s="127"/>
      <c r="Q47" s="127"/>
      <c r="R47" s="127"/>
      <c r="S47" s="127"/>
      <c r="T47" s="127"/>
      <c r="U47" s="127"/>
      <c r="V47" s="127"/>
      <c r="W47" s="146"/>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6"/>
      <c r="AT47" s="147"/>
      <c r="AU47" s="147"/>
      <c r="AV47" s="147"/>
      <c r="AW47" s="147"/>
      <c r="AX47" s="147"/>
      <c r="AY47" s="147"/>
      <c r="AZ47" s="142"/>
      <c r="BA47" s="123"/>
      <c r="BB47" s="123"/>
      <c r="BC47" s="123"/>
      <c r="BD47" s="123"/>
      <c r="BE47" s="123"/>
      <c r="BF47" s="123"/>
      <c r="BG47" s="123"/>
      <c r="BH47" s="123"/>
      <c r="BI47" s="123"/>
      <c r="BJ47" s="123"/>
      <c r="BK47" s="123"/>
      <c r="BL47" s="123"/>
      <c r="BM47" s="123"/>
      <c r="BN47" s="123"/>
      <c r="BO47" s="122"/>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2"/>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2"/>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2"/>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2"/>
      <c r="EZ47" s="123"/>
      <c r="FA47" s="123"/>
      <c r="FB47" s="123"/>
      <c r="FC47" s="123"/>
      <c r="FD47" s="123"/>
      <c r="FE47" s="123"/>
      <c r="FF47" s="123"/>
      <c r="FG47" s="123"/>
      <c r="FH47" s="123"/>
      <c r="FI47" s="123"/>
      <c r="FJ47" s="123"/>
      <c r="FK47" s="123"/>
      <c r="FL47" s="123"/>
      <c r="FM47" s="123"/>
      <c r="FN47" s="123"/>
      <c r="FO47" s="123"/>
      <c r="FP47" s="123"/>
      <c r="FQ47" s="123"/>
      <c r="FR47" s="123"/>
      <c r="FS47" s="123"/>
      <c r="FT47" s="123"/>
      <c r="FU47" s="122"/>
      <c r="FV47" s="123"/>
      <c r="FW47" s="123"/>
      <c r="FX47" s="123"/>
      <c r="FY47" s="123"/>
      <c r="FZ47" s="123"/>
      <c r="GA47" s="123"/>
      <c r="GB47" s="123"/>
      <c r="GC47" s="123"/>
      <c r="GD47" s="123"/>
      <c r="GE47" s="123"/>
      <c r="GF47" s="123"/>
      <c r="GG47" s="123"/>
      <c r="GH47" s="123"/>
      <c r="GI47" s="123"/>
      <c r="GJ47" s="123"/>
      <c r="GK47" s="123"/>
      <c r="GL47" s="123"/>
      <c r="GM47" s="123"/>
      <c r="GN47" s="123"/>
      <c r="GO47" s="123"/>
      <c r="GP47" s="123"/>
      <c r="GQ47" s="122"/>
      <c r="GR47" s="123"/>
      <c r="GS47" s="123"/>
      <c r="GT47" s="123"/>
      <c r="GU47" s="123"/>
      <c r="GV47" s="123"/>
      <c r="GW47" s="123"/>
      <c r="GX47" s="123"/>
      <c r="GY47" s="123"/>
      <c r="GZ47" s="123"/>
      <c r="HA47" s="123"/>
      <c r="HB47" s="123"/>
      <c r="HC47" s="123"/>
      <c r="HD47" s="123"/>
      <c r="HE47" s="123"/>
      <c r="HF47" s="123"/>
      <c r="HG47" s="123"/>
      <c r="HH47" s="123"/>
      <c r="HI47" s="123"/>
      <c r="HJ47" s="123"/>
      <c r="HK47" s="123"/>
      <c r="HL47" s="123"/>
      <c r="HM47" s="122"/>
      <c r="HN47" s="123"/>
      <c r="HO47" s="123"/>
      <c r="HP47" s="123"/>
      <c r="HQ47" s="123"/>
      <c r="HR47" s="123"/>
      <c r="HS47" s="123"/>
      <c r="HT47" s="123"/>
      <c r="HU47" s="123"/>
      <c r="HV47" s="123"/>
      <c r="HW47" s="123"/>
      <c r="HX47" s="123"/>
      <c r="HY47" s="123"/>
      <c r="HZ47" s="123"/>
      <c r="IA47" s="123"/>
      <c r="IB47" s="123"/>
      <c r="IC47" s="123"/>
      <c r="ID47" s="123"/>
      <c r="IE47" s="123"/>
      <c r="IF47" s="123"/>
      <c r="IG47" s="123"/>
      <c r="IH47" s="123"/>
      <c r="II47" s="122"/>
      <c r="IJ47" s="123"/>
      <c r="IK47" s="123"/>
      <c r="IL47" s="123"/>
      <c r="IM47" s="123"/>
      <c r="IN47" s="123"/>
      <c r="IO47" s="123"/>
      <c r="IP47" s="123"/>
      <c r="IQ47" s="123"/>
      <c r="IR47" s="123"/>
      <c r="IS47" s="123"/>
      <c r="IT47" s="123"/>
      <c r="IU47" s="123"/>
      <c r="IV47" s="123"/>
    </row>
    <row r="48" spans="1:256" s="121" customFormat="1" ht="15" customHeight="1">
      <c r="A48" s="459"/>
      <c r="B48" s="459"/>
      <c r="C48" s="459"/>
      <c r="D48" s="459"/>
      <c r="E48" s="459"/>
      <c r="F48" s="459"/>
      <c r="G48" s="459"/>
      <c r="H48" s="459"/>
      <c r="I48" s="459"/>
      <c r="J48" s="459"/>
      <c r="K48" s="459"/>
      <c r="L48" s="459"/>
      <c r="M48" s="459"/>
      <c r="N48" s="459"/>
      <c r="O48" s="150"/>
      <c r="P48" s="127"/>
      <c r="Q48" s="127"/>
      <c r="R48" s="127"/>
      <c r="S48" s="127"/>
      <c r="T48" s="127"/>
      <c r="U48" s="127"/>
      <c r="V48" s="127"/>
      <c r="W48" s="146"/>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6"/>
      <c r="AT48" s="147"/>
      <c r="AU48" s="147"/>
      <c r="AV48" s="147"/>
      <c r="AW48" s="147"/>
      <c r="AX48" s="147"/>
      <c r="AY48" s="147"/>
      <c r="AZ48" s="142"/>
      <c r="BA48" s="123"/>
      <c r="BB48" s="123"/>
      <c r="BC48" s="123"/>
      <c r="BD48" s="123"/>
      <c r="BE48" s="123"/>
      <c r="BF48" s="123"/>
      <c r="BG48" s="123"/>
      <c r="BH48" s="123"/>
      <c r="BI48" s="123"/>
      <c r="BJ48" s="123"/>
      <c r="BK48" s="123"/>
      <c r="BL48" s="123"/>
      <c r="BM48" s="123"/>
      <c r="BN48" s="123"/>
      <c r="BO48" s="122"/>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2"/>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2"/>
      <c r="DH48" s="123"/>
      <c r="DI48" s="123"/>
      <c r="DJ48" s="123"/>
      <c r="DK48" s="123"/>
      <c r="DL48" s="123"/>
      <c r="DM48" s="123"/>
      <c r="DN48" s="123"/>
      <c r="DO48" s="123"/>
      <c r="DP48" s="123"/>
      <c r="DQ48" s="123"/>
      <c r="DR48" s="123"/>
      <c r="DS48" s="123"/>
      <c r="DT48" s="123"/>
      <c r="DU48" s="123"/>
      <c r="DV48" s="123"/>
      <c r="DW48" s="123"/>
      <c r="DX48" s="123"/>
      <c r="DY48" s="123"/>
      <c r="DZ48" s="123"/>
      <c r="EA48" s="123"/>
      <c r="EB48" s="123"/>
      <c r="EC48" s="122"/>
      <c r="ED48" s="123"/>
      <c r="EE48" s="123"/>
      <c r="EF48" s="123"/>
      <c r="EG48" s="123"/>
      <c r="EH48" s="123"/>
      <c r="EI48" s="123"/>
      <c r="EJ48" s="123"/>
      <c r="EK48" s="123"/>
      <c r="EL48" s="123"/>
      <c r="EM48" s="123"/>
      <c r="EN48" s="123"/>
      <c r="EO48" s="123"/>
      <c r="EP48" s="123"/>
      <c r="EQ48" s="123"/>
      <c r="ER48" s="123"/>
      <c r="ES48" s="123"/>
      <c r="ET48" s="123"/>
      <c r="EU48" s="123"/>
      <c r="EV48" s="123"/>
      <c r="EW48" s="123"/>
      <c r="EX48" s="123"/>
      <c r="EY48" s="122"/>
      <c r="EZ48" s="123"/>
      <c r="FA48" s="123"/>
      <c r="FB48" s="123"/>
      <c r="FC48" s="123"/>
      <c r="FD48" s="123"/>
      <c r="FE48" s="123"/>
      <c r="FF48" s="123"/>
      <c r="FG48" s="123"/>
      <c r="FH48" s="123"/>
      <c r="FI48" s="123"/>
      <c r="FJ48" s="123"/>
      <c r="FK48" s="123"/>
      <c r="FL48" s="123"/>
      <c r="FM48" s="123"/>
      <c r="FN48" s="123"/>
      <c r="FO48" s="123"/>
      <c r="FP48" s="123"/>
      <c r="FQ48" s="123"/>
      <c r="FR48" s="123"/>
      <c r="FS48" s="123"/>
      <c r="FT48" s="123"/>
      <c r="FU48" s="122"/>
      <c r="FV48" s="123"/>
      <c r="FW48" s="123"/>
      <c r="FX48" s="123"/>
      <c r="FY48" s="123"/>
      <c r="FZ48" s="123"/>
      <c r="GA48" s="123"/>
      <c r="GB48" s="123"/>
      <c r="GC48" s="123"/>
      <c r="GD48" s="123"/>
      <c r="GE48" s="123"/>
      <c r="GF48" s="123"/>
      <c r="GG48" s="123"/>
      <c r="GH48" s="123"/>
      <c r="GI48" s="123"/>
      <c r="GJ48" s="123"/>
      <c r="GK48" s="123"/>
      <c r="GL48" s="123"/>
      <c r="GM48" s="123"/>
      <c r="GN48" s="123"/>
      <c r="GO48" s="123"/>
      <c r="GP48" s="123"/>
      <c r="GQ48" s="122"/>
      <c r="GR48" s="123"/>
      <c r="GS48" s="123"/>
      <c r="GT48" s="123"/>
      <c r="GU48" s="123"/>
      <c r="GV48" s="123"/>
      <c r="GW48" s="123"/>
      <c r="GX48" s="123"/>
      <c r="GY48" s="123"/>
      <c r="GZ48" s="123"/>
      <c r="HA48" s="123"/>
      <c r="HB48" s="123"/>
      <c r="HC48" s="123"/>
      <c r="HD48" s="123"/>
      <c r="HE48" s="123"/>
      <c r="HF48" s="123"/>
      <c r="HG48" s="123"/>
      <c r="HH48" s="123"/>
      <c r="HI48" s="123"/>
      <c r="HJ48" s="123"/>
      <c r="HK48" s="123"/>
      <c r="HL48" s="123"/>
      <c r="HM48" s="122"/>
      <c r="HN48" s="123"/>
      <c r="HO48" s="123"/>
      <c r="HP48" s="123"/>
      <c r="HQ48" s="123"/>
      <c r="HR48" s="123"/>
      <c r="HS48" s="123"/>
      <c r="HT48" s="123"/>
      <c r="HU48" s="123"/>
      <c r="HV48" s="123"/>
      <c r="HW48" s="123"/>
      <c r="HX48" s="123"/>
      <c r="HY48" s="123"/>
      <c r="HZ48" s="123"/>
      <c r="IA48" s="123"/>
      <c r="IB48" s="123"/>
      <c r="IC48" s="123"/>
      <c r="ID48" s="123"/>
      <c r="IE48" s="123"/>
      <c r="IF48" s="123"/>
      <c r="IG48" s="123"/>
      <c r="IH48" s="123"/>
      <c r="II48" s="122"/>
      <c r="IJ48" s="123"/>
      <c r="IK48" s="123"/>
      <c r="IL48" s="123"/>
      <c r="IM48" s="123"/>
      <c r="IN48" s="123"/>
      <c r="IO48" s="123"/>
      <c r="IP48" s="123"/>
      <c r="IQ48" s="123"/>
      <c r="IR48" s="123"/>
      <c r="IS48" s="123"/>
      <c r="IT48" s="123"/>
      <c r="IU48" s="123"/>
      <c r="IV48" s="123"/>
    </row>
    <row r="49" spans="1:256" s="121" customFormat="1" ht="15" customHeight="1">
      <c r="A49" s="459"/>
      <c r="B49" s="459"/>
      <c r="C49" s="459"/>
      <c r="D49" s="459"/>
      <c r="E49" s="459"/>
      <c r="F49" s="459"/>
      <c r="G49" s="459"/>
      <c r="H49" s="459"/>
      <c r="I49" s="459"/>
      <c r="J49" s="459"/>
      <c r="K49" s="459"/>
      <c r="L49" s="459"/>
      <c r="M49" s="459"/>
      <c r="N49" s="459"/>
      <c r="O49" s="150"/>
      <c r="P49" s="127"/>
      <c r="Q49" s="127"/>
      <c r="R49" s="127"/>
      <c r="S49" s="127"/>
      <c r="T49" s="127"/>
      <c r="U49" s="127"/>
      <c r="V49" s="127"/>
      <c r="W49" s="146"/>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6"/>
      <c r="AT49" s="147"/>
      <c r="AU49" s="147"/>
      <c r="AV49" s="147"/>
      <c r="AW49" s="147"/>
      <c r="AX49" s="147"/>
      <c r="AY49" s="147"/>
      <c r="AZ49" s="142"/>
      <c r="BA49" s="123"/>
      <c r="BB49" s="123"/>
      <c r="BC49" s="123"/>
      <c r="BD49" s="123"/>
      <c r="BE49" s="123"/>
      <c r="BF49" s="123"/>
      <c r="BG49" s="123"/>
      <c r="BH49" s="123"/>
      <c r="BI49" s="123"/>
      <c r="BJ49" s="123"/>
      <c r="BK49" s="123"/>
      <c r="BL49" s="123"/>
      <c r="BM49" s="123"/>
      <c r="BN49" s="123"/>
      <c r="BO49" s="122"/>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2"/>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2"/>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2"/>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2"/>
      <c r="EZ49" s="123"/>
      <c r="FA49" s="123"/>
      <c r="FB49" s="123"/>
      <c r="FC49" s="123"/>
      <c r="FD49" s="123"/>
      <c r="FE49" s="123"/>
      <c r="FF49" s="123"/>
      <c r="FG49" s="123"/>
      <c r="FH49" s="123"/>
      <c r="FI49" s="123"/>
      <c r="FJ49" s="123"/>
      <c r="FK49" s="123"/>
      <c r="FL49" s="123"/>
      <c r="FM49" s="123"/>
      <c r="FN49" s="123"/>
      <c r="FO49" s="123"/>
      <c r="FP49" s="123"/>
      <c r="FQ49" s="123"/>
      <c r="FR49" s="123"/>
      <c r="FS49" s="123"/>
      <c r="FT49" s="123"/>
      <c r="FU49" s="122"/>
      <c r="FV49" s="123"/>
      <c r="FW49" s="123"/>
      <c r="FX49" s="123"/>
      <c r="FY49" s="123"/>
      <c r="FZ49" s="123"/>
      <c r="GA49" s="123"/>
      <c r="GB49" s="123"/>
      <c r="GC49" s="123"/>
      <c r="GD49" s="123"/>
      <c r="GE49" s="123"/>
      <c r="GF49" s="123"/>
      <c r="GG49" s="123"/>
      <c r="GH49" s="123"/>
      <c r="GI49" s="123"/>
      <c r="GJ49" s="123"/>
      <c r="GK49" s="123"/>
      <c r="GL49" s="123"/>
      <c r="GM49" s="123"/>
      <c r="GN49" s="123"/>
      <c r="GO49" s="123"/>
      <c r="GP49" s="123"/>
      <c r="GQ49" s="122"/>
      <c r="GR49" s="123"/>
      <c r="GS49" s="123"/>
      <c r="GT49" s="123"/>
      <c r="GU49" s="123"/>
      <c r="GV49" s="123"/>
      <c r="GW49" s="123"/>
      <c r="GX49" s="123"/>
      <c r="GY49" s="123"/>
      <c r="GZ49" s="123"/>
      <c r="HA49" s="123"/>
      <c r="HB49" s="123"/>
      <c r="HC49" s="123"/>
      <c r="HD49" s="123"/>
      <c r="HE49" s="123"/>
      <c r="HF49" s="123"/>
      <c r="HG49" s="123"/>
      <c r="HH49" s="123"/>
      <c r="HI49" s="123"/>
      <c r="HJ49" s="123"/>
      <c r="HK49" s="123"/>
      <c r="HL49" s="123"/>
      <c r="HM49" s="122"/>
      <c r="HN49" s="123"/>
      <c r="HO49" s="123"/>
      <c r="HP49" s="123"/>
      <c r="HQ49" s="123"/>
      <c r="HR49" s="123"/>
      <c r="HS49" s="123"/>
      <c r="HT49" s="123"/>
      <c r="HU49" s="123"/>
      <c r="HV49" s="123"/>
      <c r="HW49" s="123"/>
      <c r="HX49" s="123"/>
      <c r="HY49" s="123"/>
      <c r="HZ49" s="123"/>
      <c r="IA49" s="123"/>
      <c r="IB49" s="123"/>
      <c r="IC49" s="123"/>
      <c r="ID49" s="123"/>
      <c r="IE49" s="123"/>
      <c r="IF49" s="123"/>
      <c r="IG49" s="123"/>
      <c r="IH49" s="123"/>
      <c r="II49" s="122"/>
      <c r="IJ49" s="123"/>
      <c r="IK49" s="123"/>
      <c r="IL49" s="123"/>
      <c r="IM49" s="123"/>
      <c r="IN49" s="123"/>
      <c r="IO49" s="123"/>
      <c r="IP49" s="123"/>
      <c r="IQ49" s="123"/>
      <c r="IR49" s="123"/>
      <c r="IS49" s="123"/>
      <c r="IT49" s="123"/>
      <c r="IU49" s="123"/>
      <c r="IV49" s="123"/>
    </row>
    <row r="50" spans="1:52" s="124" customFormat="1" ht="15" customHeight="1">
      <c r="A50" s="459"/>
      <c r="B50" s="459"/>
      <c r="C50" s="459"/>
      <c r="D50" s="459"/>
      <c r="E50" s="459"/>
      <c r="F50" s="459"/>
      <c r="G50" s="459"/>
      <c r="H50" s="459"/>
      <c r="I50" s="459"/>
      <c r="J50" s="459"/>
      <c r="K50" s="459"/>
      <c r="L50" s="459"/>
      <c r="M50" s="459"/>
      <c r="N50" s="459"/>
      <c r="O50" s="150"/>
      <c r="P50" s="127"/>
      <c r="Q50" s="127"/>
      <c r="R50" s="127"/>
      <c r="S50" s="127"/>
      <c r="T50" s="127"/>
      <c r="U50" s="127"/>
      <c r="V50" s="127"/>
      <c r="W50" s="148"/>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3"/>
    </row>
    <row r="51" spans="1:15" s="3" customFormat="1" ht="18">
      <c r="A51" s="75"/>
      <c r="B51" s="33"/>
      <c r="C51" s="34"/>
      <c r="D51" s="35"/>
      <c r="E51" s="22"/>
      <c r="F51" s="22"/>
      <c r="G51" s="22"/>
      <c r="H51" s="36"/>
      <c r="I51" s="37"/>
      <c r="J51" s="157"/>
      <c r="K51" s="168"/>
      <c r="L51" s="40"/>
      <c r="M51" s="41"/>
      <c r="N51" s="39"/>
      <c r="O51" s="151"/>
    </row>
    <row r="52" spans="1:15" s="3" customFormat="1" ht="18">
      <c r="A52" s="75"/>
      <c r="B52" s="33"/>
      <c r="C52" s="34"/>
      <c r="D52" s="35"/>
      <c r="E52" s="22"/>
      <c r="F52" s="22"/>
      <c r="G52" s="22"/>
      <c r="H52" s="36"/>
      <c r="I52" s="37"/>
      <c r="J52" s="157"/>
      <c r="K52" s="168"/>
      <c r="L52" s="40"/>
      <c r="M52" s="41"/>
      <c r="N52" s="39"/>
      <c r="O52" s="151"/>
    </row>
  </sheetData>
  <sheetProtection/>
  <mergeCells count="11">
    <mergeCell ref="A2:I2"/>
    <mergeCell ref="A43:N43"/>
    <mergeCell ref="A44:N46"/>
    <mergeCell ref="A47:N50"/>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H13:H29 G13:G25 G29 G33:H41 J33:J41 I40:I41" unlockedFormula="1"/>
    <ignoredError sqref="E26:F28" numberStoredAsText="1"/>
    <ignoredError sqref="I15 I32" formula="1"/>
    <ignoredError sqref="G26:G28 I33:I39" numberStoredAsText="1" unlockedFormula="1"/>
    <ignoredError sqref="I33:I39" formula="1" unlockedFormula="1"/>
  </ignoredErrors>
  <drawing r:id="rId1"/>
</worksheet>
</file>

<file path=xl/worksheets/sheet3.xml><?xml version="1.0" encoding="utf-8"?>
<worksheet xmlns="http://schemas.openxmlformats.org/spreadsheetml/2006/main" xmlns:r="http://schemas.openxmlformats.org/officeDocument/2006/relationships">
  <dimension ref="A1:T263"/>
  <sheetViews>
    <sheetView zoomScalePageLayoutView="0" workbookViewId="0" topLeftCell="A1">
      <selection activeCell="A2" sqref="A2:N2"/>
    </sheetView>
  </sheetViews>
  <sheetFormatPr defaultColWidth="8.8515625" defaultRowHeight="12.75"/>
  <cols>
    <col min="1" max="1" width="3.7109375" style="83" bestFit="1" customWidth="1"/>
    <col min="2" max="2" width="59.7109375" style="11" bestFit="1" customWidth="1"/>
    <col min="3" max="3" width="8.421875" style="16" bestFit="1" customWidth="1"/>
    <col min="4" max="4" width="22.00390625" style="10" bestFit="1" customWidth="1"/>
    <col min="5" max="5" width="6.8515625" style="331" customWidth="1"/>
    <col min="6" max="6" width="7.28125" style="332" customWidth="1"/>
    <col min="7" max="7" width="8.421875" style="333" customWidth="1"/>
    <col min="8" max="8" width="13.57421875" style="160" bestFit="1" customWidth="1"/>
    <col min="9" max="9" width="8.57421875" style="161" bestFit="1" customWidth="1"/>
    <col min="10" max="10" width="7.7109375" style="17" customWidth="1"/>
    <col min="11" max="11" width="7.00390625" style="18" customWidth="1"/>
    <col min="12" max="12" width="13.28125" style="19" bestFit="1" customWidth="1"/>
    <col min="13" max="13" width="9.421875" style="17" bestFit="1" customWidth="1"/>
    <col min="14" max="14" width="6.140625" style="61" customWidth="1"/>
    <col min="15" max="15" width="2.00390625" style="76" bestFit="1" customWidth="1"/>
    <col min="16" max="16" width="2.140625" style="442" bestFit="1" customWidth="1"/>
    <col min="17" max="18" width="4.00390625" style="0" customWidth="1"/>
    <col min="19" max="19" width="9.7109375" style="0" bestFit="1" customWidth="1"/>
    <col min="20" max="20" width="6.00390625" style="0" bestFit="1" customWidth="1"/>
  </cols>
  <sheetData>
    <row r="1" spans="1:16" s="1" customFormat="1" ht="72.75" customHeight="1">
      <c r="A1" s="96"/>
      <c r="B1" s="97"/>
      <c r="C1" s="98"/>
      <c r="D1" s="99"/>
      <c r="E1" s="100"/>
      <c r="F1" s="100"/>
      <c r="G1" s="100"/>
      <c r="H1" s="101"/>
      <c r="I1" s="102"/>
      <c r="J1" s="103"/>
      <c r="K1" s="104"/>
      <c r="L1" s="105"/>
      <c r="M1" s="106"/>
      <c r="N1" s="107"/>
      <c r="O1" s="434"/>
      <c r="P1" s="434"/>
    </row>
    <row r="2" spans="1:16" s="5" customFormat="1" ht="22.5" customHeight="1" thickBot="1">
      <c r="A2" s="484" t="s">
        <v>84</v>
      </c>
      <c r="B2" s="485"/>
      <c r="C2" s="485"/>
      <c r="D2" s="485"/>
      <c r="E2" s="485"/>
      <c r="F2" s="485"/>
      <c r="G2" s="485"/>
      <c r="H2" s="485"/>
      <c r="I2" s="485"/>
      <c r="J2" s="485"/>
      <c r="K2" s="485"/>
      <c r="L2" s="485"/>
      <c r="M2" s="485"/>
      <c r="N2" s="485"/>
      <c r="O2" s="435"/>
      <c r="P2" s="435"/>
    </row>
    <row r="3" spans="1:20" s="88" customFormat="1" ht="12.75">
      <c r="A3" s="119"/>
      <c r="B3" s="470" t="s">
        <v>6</v>
      </c>
      <c r="C3" s="474" t="s">
        <v>43</v>
      </c>
      <c r="D3" s="472" t="s">
        <v>33</v>
      </c>
      <c r="E3" s="468" t="s">
        <v>44</v>
      </c>
      <c r="F3" s="468" t="s">
        <v>51</v>
      </c>
      <c r="G3" s="468" t="s">
        <v>32</v>
      </c>
      <c r="H3" s="482" t="s">
        <v>45</v>
      </c>
      <c r="I3" s="482"/>
      <c r="J3" s="482"/>
      <c r="K3" s="482"/>
      <c r="L3" s="482" t="s">
        <v>46</v>
      </c>
      <c r="M3" s="482"/>
      <c r="N3" s="483"/>
      <c r="O3" s="436"/>
      <c r="P3" s="437"/>
      <c r="Q3" s="152"/>
      <c r="R3" s="152"/>
      <c r="S3" s="152"/>
      <c r="T3" s="152"/>
    </row>
    <row r="4" spans="1:20" s="88" customFormat="1" ht="39" thickBot="1">
      <c r="A4" s="120"/>
      <c r="B4" s="487"/>
      <c r="C4" s="488"/>
      <c r="D4" s="486"/>
      <c r="E4" s="486"/>
      <c r="F4" s="486"/>
      <c r="G4" s="489"/>
      <c r="H4" s="269" t="s">
        <v>47</v>
      </c>
      <c r="I4" s="270" t="s">
        <v>48</v>
      </c>
      <c r="J4" s="270" t="s">
        <v>38</v>
      </c>
      <c r="K4" s="271" t="s">
        <v>49</v>
      </c>
      <c r="L4" s="269" t="s">
        <v>47</v>
      </c>
      <c r="M4" s="270" t="s">
        <v>48</v>
      </c>
      <c r="N4" s="272" t="s">
        <v>50</v>
      </c>
      <c r="O4" s="438"/>
      <c r="P4" s="439"/>
      <c r="Q4" s="152"/>
      <c r="R4" s="152"/>
      <c r="S4" s="152"/>
      <c r="T4" s="152"/>
    </row>
    <row r="5" spans="1:20" ht="13.5" customHeight="1">
      <c r="A5" s="273">
        <v>1</v>
      </c>
      <c r="B5" s="384" t="s">
        <v>173</v>
      </c>
      <c r="C5" s="385">
        <v>40095</v>
      </c>
      <c r="D5" s="429" t="s">
        <v>120</v>
      </c>
      <c r="E5" s="387">
        <v>22</v>
      </c>
      <c r="F5" s="387">
        <v>1</v>
      </c>
      <c r="G5" s="387">
        <v>20</v>
      </c>
      <c r="H5" s="430">
        <v>952</v>
      </c>
      <c r="I5" s="267">
        <v>238</v>
      </c>
      <c r="J5" s="268">
        <f aca="true" t="shared" si="0" ref="J5:J13">(I5/F5)</f>
        <v>238</v>
      </c>
      <c r="K5" s="431">
        <f aca="true" t="shared" si="1" ref="K5:K21">H5/I5</f>
        <v>4</v>
      </c>
      <c r="L5" s="432">
        <f>158809.5+140713.25+103696.25+38523+19360+17458+1188+196+2484+3158+1780+2933+1780+2461+6600.5+2668.5+440+441+476+952</f>
        <v>506118</v>
      </c>
      <c r="M5" s="230">
        <f>14214+13110+10683+4685+3074+2645+297+16+571+596+445+584+445+466+837+295+44+65+72+238</f>
        <v>53382</v>
      </c>
      <c r="N5" s="433">
        <f aca="true" t="shared" si="2" ref="N5:N13">L5/M5</f>
        <v>9.481061031808474</v>
      </c>
      <c r="O5" s="316"/>
      <c r="P5" s="440"/>
      <c r="Q5" s="66"/>
      <c r="R5" s="66"/>
      <c r="S5" s="66"/>
      <c r="T5" s="66"/>
    </row>
    <row r="6" spans="1:20" ht="13.5" customHeight="1">
      <c r="A6" s="273">
        <v>2</v>
      </c>
      <c r="B6" s="218" t="s">
        <v>16</v>
      </c>
      <c r="C6" s="173">
        <v>40417</v>
      </c>
      <c r="D6" s="283" t="s">
        <v>120</v>
      </c>
      <c r="E6" s="320">
        <v>25</v>
      </c>
      <c r="F6" s="320">
        <v>1</v>
      </c>
      <c r="G6" s="320">
        <v>15</v>
      </c>
      <c r="H6" s="204">
        <v>807</v>
      </c>
      <c r="I6" s="193">
        <v>102</v>
      </c>
      <c r="J6" s="182">
        <f t="shared" si="0"/>
        <v>102</v>
      </c>
      <c r="K6" s="205">
        <f t="shared" si="1"/>
        <v>7.911764705882353</v>
      </c>
      <c r="L6" s="206">
        <f>87475.5+57473+42134+23624+14854.5+21662+13363.5+5246+6057+2099+300.5+763+292.5+496.5+807</f>
        <v>276648</v>
      </c>
      <c r="M6" s="181">
        <f>7817+5228+5394+3109+2109+2845+2026+770+762+416+44+111+45+73+102</f>
        <v>30851</v>
      </c>
      <c r="N6" s="219">
        <f t="shared" si="2"/>
        <v>8.96722958737156</v>
      </c>
      <c r="O6" s="189"/>
      <c r="P6" s="441"/>
      <c r="Q6" s="66"/>
      <c r="R6" s="66"/>
      <c r="S6" s="66"/>
      <c r="T6" s="66"/>
    </row>
    <row r="7" spans="1:20" ht="13.5" customHeight="1">
      <c r="A7" s="273">
        <v>3</v>
      </c>
      <c r="B7" s="251" t="s">
        <v>131</v>
      </c>
      <c r="C7" s="173">
        <v>40172</v>
      </c>
      <c r="D7" s="321" t="s">
        <v>120</v>
      </c>
      <c r="E7" s="320">
        <v>60</v>
      </c>
      <c r="F7" s="320">
        <v>3</v>
      </c>
      <c r="G7" s="320">
        <v>32</v>
      </c>
      <c r="H7" s="237">
        <v>5074</v>
      </c>
      <c r="I7" s="193">
        <v>1267</v>
      </c>
      <c r="J7" s="182">
        <f t="shared" si="0"/>
        <v>422.3333333333333</v>
      </c>
      <c r="K7" s="238">
        <f t="shared" si="1"/>
        <v>4.004735595895817</v>
      </c>
      <c r="L7" s="239">
        <f>421775.5+397095.5+287050+215248.5+189819.5+180729.5+86816.5+23840+19148+14942.5+8798.5+9599+13618.5+4298+4028+3310+8547+6712.5+1803+1172+973+2291+380.5+3015+1103.5+65+2061.5+1262+1020+2232+2970+5074</f>
        <v>1920799.5</v>
      </c>
      <c r="M7" s="181">
        <f>43739+40732+31780+27356+25902+24895+12153+4496+3179+3069+1650+2236+3335+954+829+540+1945+1297+429+261+173+594+53+613+200+10+480+240+102+533+743+1267</f>
        <v>235785</v>
      </c>
      <c r="N7" s="256">
        <f t="shared" si="2"/>
        <v>8.146402442903492</v>
      </c>
      <c r="O7" s="189"/>
      <c r="P7" s="441"/>
      <c r="Q7" s="66"/>
      <c r="R7" s="66"/>
      <c r="S7" s="66"/>
      <c r="T7" s="66"/>
    </row>
    <row r="8" spans="1:20" ht="13.5" customHeight="1">
      <c r="A8" s="273">
        <v>4</v>
      </c>
      <c r="B8" s="251" t="s">
        <v>131</v>
      </c>
      <c r="C8" s="173">
        <v>40172</v>
      </c>
      <c r="D8" s="283" t="s">
        <v>120</v>
      </c>
      <c r="E8" s="284">
        <v>60</v>
      </c>
      <c r="F8" s="284">
        <v>2</v>
      </c>
      <c r="G8" s="284">
        <v>33</v>
      </c>
      <c r="H8" s="237">
        <v>2970</v>
      </c>
      <c r="I8" s="193">
        <v>742</v>
      </c>
      <c r="J8" s="182">
        <f t="shared" si="0"/>
        <v>371</v>
      </c>
      <c r="K8" s="238">
        <f t="shared" si="1"/>
        <v>4.002695417789758</v>
      </c>
      <c r="L8" s="239">
        <f>421775.5+397095.5+287050+215248.5+189819.5+180729.5+86816.5+23840+19148+14942.5+8798.5+9599+13618.5+4298+4028+3310+8547+6712.5+1803+1172+973+2291+380.5+3015+1103.5+65+2061.5+1262+1020+2232+2970+5074+2970</f>
        <v>1923769.5</v>
      </c>
      <c r="M8" s="181">
        <f>43739+40732+31780+27356+25902+24895+12153+4496+3179+3069+1650+2236+3335+954+829+540+1945+1297+429+261+173+594+53+613+200+10+480+240+102+533+743+1267+742</f>
        <v>236527</v>
      </c>
      <c r="N8" s="256">
        <f t="shared" si="2"/>
        <v>8.133403374667585</v>
      </c>
      <c r="O8" s="356"/>
      <c r="P8" s="440"/>
      <c r="Q8" s="66"/>
      <c r="R8" s="66"/>
      <c r="S8" s="66"/>
      <c r="T8" s="66"/>
    </row>
    <row r="9" spans="1:20" ht="13.5" customHeight="1">
      <c r="A9" s="273">
        <v>5</v>
      </c>
      <c r="B9" s="309" t="s">
        <v>114</v>
      </c>
      <c r="C9" s="287">
        <v>40228</v>
      </c>
      <c r="D9" s="283" t="s">
        <v>120</v>
      </c>
      <c r="E9" s="288">
        <v>17</v>
      </c>
      <c r="F9" s="288">
        <v>1</v>
      </c>
      <c r="G9" s="288">
        <v>33</v>
      </c>
      <c r="H9" s="289">
        <v>1188</v>
      </c>
      <c r="I9" s="290">
        <v>297</v>
      </c>
      <c r="J9" s="291">
        <f t="shared" si="0"/>
        <v>297</v>
      </c>
      <c r="K9" s="292">
        <f t="shared" si="1"/>
        <v>4</v>
      </c>
      <c r="L9" s="293">
        <f>289107+1009.5+669+336+323+699+1238+121+1782+1782+1188</f>
        <v>298254.5</v>
      </c>
      <c r="M9" s="294">
        <f>30560+127+85+56+54+123+217+22+445+445+297</f>
        <v>32431</v>
      </c>
      <c r="N9" s="310">
        <f t="shared" si="2"/>
        <v>9.196586599241467</v>
      </c>
      <c r="O9" s="317"/>
      <c r="P9" s="441"/>
      <c r="Q9" s="66"/>
      <c r="R9" s="66"/>
      <c r="S9" s="66"/>
      <c r="T9" s="66"/>
    </row>
    <row r="10" spans="1:20" ht="13.5" customHeight="1">
      <c r="A10" s="273">
        <v>6</v>
      </c>
      <c r="B10" s="251" t="s">
        <v>79</v>
      </c>
      <c r="C10" s="173">
        <v>40459</v>
      </c>
      <c r="D10" s="283" t="s">
        <v>120</v>
      </c>
      <c r="E10" s="320">
        <v>142</v>
      </c>
      <c r="F10" s="320">
        <v>1</v>
      </c>
      <c r="G10" s="320">
        <v>15</v>
      </c>
      <c r="H10" s="237">
        <v>1782</v>
      </c>
      <c r="I10" s="193">
        <v>446</v>
      </c>
      <c r="J10" s="182">
        <f t="shared" si="0"/>
        <v>446</v>
      </c>
      <c r="K10" s="238">
        <f t="shared" si="1"/>
        <v>3.995515695067265</v>
      </c>
      <c r="L10" s="239">
        <f>569713+434829.5+295345.5+223420+26108+12415.5+5998+1904+1368+799+648+306+1782+594+1782</f>
        <v>1577012.5</v>
      </c>
      <c r="M10" s="181">
        <f>61050+47827+36467+29781+4601+2405+1000+284+287+123+103+51+445+113+446</f>
        <v>184983</v>
      </c>
      <c r="N10" s="256">
        <f t="shared" si="2"/>
        <v>8.525175286377667</v>
      </c>
      <c r="O10" s="189">
        <v>1</v>
      </c>
      <c r="P10" s="440"/>
      <c r="Q10" s="66"/>
      <c r="R10" s="66"/>
      <c r="S10" s="66"/>
      <c r="T10" s="66"/>
    </row>
    <row r="11" spans="1:20" ht="13.5" customHeight="1">
      <c r="A11" s="273">
        <v>7</v>
      </c>
      <c r="B11" s="218" t="s">
        <v>79</v>
      </c>
      <c r="C11" s="173">
        <v>40459</v>
      </c>
      <c r="D11" s="283" t="s">
        <v>120</v>
      </c>
      <c r="E11" s="320">
        <v>142</v>
      </c>
      <c r="F11" s="320">
        <v>1</v>
      </c>
      <c r="G11" s="320">
        <v>13</v>
      </c>
      <c r="H11" s="204">
        <v>1782</v>
      </c>
      <c r="I11" s="193">
        <v>445</v>
      </c>
      <c r="J11" s="182">
        <f t="shared" si="0"/>
        <v>445</v>
      </c>
      <c r="K11" s="205">
        <f t="shared" si="1"/>
        <v>4.004494382022472</v>
      </c>
      <c r="L11" s="206">
        <f>569713+434829.5+295345.5+223420+26108+12415.5+5998+1904+1368+799+648+306+1782</f>
        <v>1574636.5</v>
      </c>
      <c r="M11" s="181">
        <f>61050+47827+36467+29781+4601+2405+1000+284+287+123+103+51+445</f>
        <v>184424</v>
      </c>
      <c r="N11" s="219">
        <f t="shared" si="2"/>
        <v>8.538132238754175</v>
      </c>
      <c r="O11" s="189"/>
      <c r="P11" s="440"/>
      <c r="Q11" s="66"/>
      <c r="R11" s="66"/>
      <c r="S11" s="66"/>
      <c r="T11" s="66"/>
    </row>
    <row r="12" spans="1:20" ht="13.5" customHeight="1">
      <c r="A12" s="273">
        <v>8</v>
      </c>
      <c r="B12" s="311" t="s">
        <v>79</v>
      </c>
      <c r="C12" s="374">
        <v>40459</v>
      </c>
      <c r="D12" s="283" t="s">
        <v>120</v>
      </c>
      <c r="E12" s="284">
        <v>142</v>
      </c>
      <c r="F12" s="284">
        <v>1</v>
      </c>
      <c r="G12" s="284">
        <v>16</v>
      </c>
      <c r="H12" s="237">
        <v>1425.5</v>
      </c>
      <c r="I12" s="193">
        <v>267</v>
      </c>
      <c r="J12" s="182">
        <f t="shared" si="0"/>
        <v>267</v>
      </c>
      <c r="K12" s="238">
        <f t="shared" si="1"/>
        <v>5.3389513108614235</v>
      </c>
      <c r="L12" s="239">
        <f>569713+434829.5+295345.5+223420+26108+12415.5+5998+1904+1368+799+648+306+1782+594+1782+1425.5</f>
        <v>1578438</v>
      </c>
      <c r="M12" s="181">
        <f>61050+47827+36467+29781+4601+2405+1000+284+287+123+103+51+445+113+446+267</f>
        <v>185250</v>
      </c>
      <c r="N12" s="256">
        <f t="shared" si="2"/>
        <v>8.520582995951417</v>
      </c>
      <c r="O12" s="316">
        <v>1</v>
      </c>
      <c r="P12" s="440"/>
      <c r="Q12" s="66"/>
      <c r="R12" s="66"/>
      <c r="S12" s="66"/>
      <c r="T12" s="66"/>
    </row>
    <row r="13" spans="1:20" ht="13.5" customHeight="1">
      <c r="A13" s="273">
        <v>9</v>
      </c>
      <c r="B13" s="309" t="s">
        <v>79</v>
      </c>
      <c r="C13" s="287">
        <v>40459</v>
      </c>
      <c r="D13" s="283" t="s">
        <v>120</v>
      </c>
      <c r="E13" s="288">
        <v>142</v>
      </c>
      <c r="F13" s="288">
        <v>1</v>
      </c>
      <c r="G13" s="288">
        <v>14</v>
      </c>
      <c r="H13" s="289">
        <v>594</v>
      </c>
      <c r="I13" s="290">
        <v>113</v>
      </c>
      <c r="J13" s="291">
        <f t="shared" si="0"/>
        <v>113</v>
      </c>
      <c r="K13" s="292">
        <f t="shared" si="1"/>
        <v>5.256637168141593</v>
      </c>
      <c r="L13" s="293">
        <f>569713+434829.5+295345.5+223420+26108+12415.5+5998+1904+1368+799+648+306+1782+594</f>
        <v>1575230.5</v>
      </c>
      <c r="M13" s="294">
        <f>61050+47827+36467+29781+4601+2405+1000+284+287+123+103+51+445+113</f>
        <v>184537</v>
      </c>
      <c r="N13" s="310">
        <f t="shared" si="2"/>
        <v>8.53612283715461</v>
      </c>
      <c r="O13" s="317">
        <v>1</v>
      </c>
      <c r="P13" s="440"/>
      <c r="Q13" s="66"/>
      <c r="R13" s="66"/>
      <c r="S13" s="66"/>
      <c r="T13" s="66"/>
    </row>
    <row r="14" spans="1:20" ht="13.5" customHeight="1">
      <c r="A14" s="273">
        <v>10</v>
      </c>
      <c r="B14" s="224" t="s">
        <v>70</v>
      </c>
      <c r="C14" s="169">
        <v>40515</v>
      </c>
      <c r="D14" s="170" t="s">
        <v>24</v>
      </c>
      <c r="E14" s="322">
        <v>337</v>
      </c>
      <c r="F14" s="322">
        <v>349</v>
      </c>
      <c r="G14" s="322">
        <v>5</v>
      </c>
      <c r="H14" s="201">
        <v>1719523</v>
      </c>
      <c r="I14" s="192">
        <v>182375</v>
      </c>
      <c r="J14" s="172">
        <f aca="true" t="shared" si="3" ref="J14:J21">I14/F14</f>
        <v>522.5644699140402</v>
      </c>
      <c r="K14" s="202">
        <f t="shared" si="1"/>
        <v>9.4285017135024</v>
      </c>
      <c r="L14" s="203">
        <v>18655018</v>
      </c>
      <c r="M14" s="171">
        <v>1982618</v>
      </c>
      <c r="N14" s="225">
        <f aca="true" t="shared" si="4" ref="N14:N21">+L14/M14</f>
        <v>9.409285096776081</v>
      </c>
      <c r="O14" s="190">
        <v>1</v>
      </c>
      <c r="P14" s="440"/>
      <c r="Q14" s="66"/>
      <c r="R14" s="66"/>
      <c r="S14" s="66"/>
      <c r="T14" s="66"/>
    </row>
    <row r="15" spans="1:20" ht="13.5" customHeight="1">
      <c r="A15" s="273">
        <v>11</v>
      </c>
      <c r="B15" s="253" t="s">
        <v>87</v>
      </c>
      <c r="C15" s="169">
        <v>40515</v>
      </c>
      <c r="D15" s="170" t="s">
        <v>24</v>
      </c>
      <c r="E15" s="322">
        <v>337</v>
      </c>
      <c r="F15" s="322">
        <v>292</v>
      </c>
      <c r="G15" s="322">
        <v>6</v>
      </c>
      <c r="H15" s="234">
        <v>638062</v>
      </c>
      <c r="I15" s="192">
        <v>72167</v>
      </c>
      <c r="J15" s="172">
        <f t="shared" si="3"/>
        <v>247.1472602739726</v>
      </c>
      <c r="K15" s="235">
        <f t="shared" si="1"/>
        <v>8.841464935496834</v>
      </c>
      <c r="L15" s="236">
        <v>19293080</v>
      </c>
      <c r="M15" s="171">
        <v>2054938</v>
      </c>
      <c r="N15" s="254">
        <f t="shared" si="4"/>
        <v>9.388643355663286</v>
      </c>
      <c r="O15" s="190">
        <v>1</v>
      </c>
      <c r="P15" s="440"/>
      <c r="Q15" s="66"/>
      <c r="R15" s="66"/>
      <c r="S15" s="66"/>
      <c r="T15" s="66"/>
    </row>
    <row r="16" spans="1:20" ht="13.5" customHeight="1">
      <c r="A16" s="273">
        <v>12</v>
      </c>
      <c r="B16" s="257" t="s">
        <v>70</v>
      </c>
      <c r="C16" s="169">
        <v>40515</v>
      </c>
      <c r="D16" s="286" t="s">
        <v>24</v>
      </c>
      <c r="E16" s="285">
        <v>337</v>
      </c>
      <c r="F16" s="285">
        <v>128</v>
      </c>
      <c r="G16" s="285">
        <v>7</v>
      </c>
      <c r="H16" s="234">
        <v>271404</v>
      </c>
      <c r="I16" s="192">
        <v>30669</v>
      </c>
      <c r="J16" s="172">
        <f t="shared" si="3"/>
        <v>239.6015625</v>
      </c>
      <c r="K16" s="235">
        <f t="shared" si="1"/>
        <v>8.849457106524504</v>
      </c>
      <c r="L16" s="236">
        <v>19564484</v>
      </c>
      <c r="M16" s="171">
        <v>2085607</v>
      </c>
      <c r="N16" s="254">
        <f t="shared" si="4"/>
        <v>9.380714583332335</v>
      </c>
      <c r="O16" s="316">
        <v>1</v>
      </c>
      <c r="P16" s="441"/>
      <c r="Q16" s="66"/>
      <c r="R16" s="66"/>
      <c r="S16" s="66"/>
      <c r="T16" s="66"/>
    </row>
    <row r="17" spans="1:20" ht="13.5" customHeight="1">
      <c r="A17" s="273">
        <v>13</v>
      </c>
      <c r="B17" s="224" t="s">
        <v>87</v>
      </c>
      <c r="C17" s="169">
        <v>40515</v>
      </c>
      <c r="D17" s="323" t="s">
        <v>24</v>
      </c>
      <c r="E17" s="322">
        <v>337</v>
      </c>
      <c r="F17" s="322">
        <v>32</v>
      </c>
      <c r="G17" s="322">
        <v>8</v>
      </c>
      <c r="H17" s="234">
        <v>59187</v>
      </c>
      <c r="I17" s="192">
        <v>7792</v>
      </c>
      <c r="J17" s="172">
        <f t="shared" si="3"/>
        <v>243.5</v>
      </c>
      <c r="K17" s="235">
        <f t="shared" si="1"/>
        <v>7.595867556468172</v>
      </c>
      <c r="L17" s="236">
        <v>19623671</v>
      </c>
      <c r="M17" s="171">
        <v>2093399</v>
      </c>
      <c r="N17" s="254">
        <f t="shared" si="4"/>
        <v>9.374071068152798</v>
      </c>
      <c r="O17" s="189">
        <v>1</v>
      </c>
      <c r="P17" s="441"/>
      <c r="Q17" s="66"/>
      <c r="R17" s="66"/>
      <c r="S17" s="66"/>
      <c r="T17" s="66"/>
    </row>
    <row r="18" spans="1:20" ht="13.5" customHeight="1">
      <c r="A18" s="273">
        <v>14</v>
      </c>
      <c r="B18" s="257" t="s">
        <v>87</v>
      </c>
      <c r="C18" s="375">
        <v>40515</v>
      </c>
      <c r="D18" s="286" t="s">
        <v>24</v>
      </c>
      <c r="E18" s="285">
        <v>337</v>
      </c>
      <c r="F18" s="285">
        <v>3</v>
      </c>
      <c r="G18" s="285">
        <v>12</v>
      </c>
      <c r="H18" s="234">
        <v>7416</v>
      </c>
      <c r="I18" s="192">
        <v>1461</v>
      </c>
      <c r="J18" s="172">
        <f t="shared" si="3"/>
        <v>487</v>
      </c>
      <c r="K18" s="235">
        <f t="shared" si="1"/>
        <v>5.075975359342916</v>
      </c>
      <c r="L18" s="236">
        <v>19636508</v>
      </c>
      <c r="M18" s="171">
        <v>2095488</v>
      </c>
      <c r="N18" s="254">
        <f t="shared" si="4"/>
        <v>9.370852040193025</v>
      </c>
      <c r="O18" s="316">
        <v>1</v>
      </c>
      <c r="P18" s="440"/>
      <c r="Q18" s="66"/>
      <c r="R18" s="66"/>
      <c r="S18" s="66"/>
      <c r="T18" s="66"/>
    </row>
    <row r="19" spans="1:20" ht="13.5" customHeight="1">
      <c r="A19" s="273">
        <v>15</v>
      </c>
      <c r="B19" s="253" t="s">
        <v>87</v>
      </c>
      <c r="C19" s="169">
        <v>40515</v>
      </c>
      <c r="D19" s="323" t="s">
        <v>24</v>
      </c>
      <c r="E19" s="322">
        <v>337</v>
      </c>
      <c r="F19" s="322">
        <v>6</v>
      </c>
      <c r="G19" s="322">
        <v>9</v>
      </c>
      <c r="H19" s="234">
        <v>3519</v>
      </c>
      <c r="I19" s="192">
        <v>429</v>
      </c>
      <c r="J19" s="172">
        <f t="shared" si="3"/>
        <v>71.5</v>
      </c>
      <c r="K19" s="235">
        <f t="shared" si="1"/>
        <v>8.202797202797203</v>
      </c>
      <c r="L19" s="236">
        <v>19627190</v>
      </c>
      <c r="M19" s="171">
        <v>2093828</v>
      </c>
      <c r="N19" s="254">
        <f t="shared" si="4"/>
        <v>9.373831088322442</v>
      </c>
      <c r="O19" s="189">
        <v>1</v>
      </c>
      <c r="P19" s="440"/>
      <c r="Q19" s="66"/>
      <c r="R19" s="66"/>
      <c r="S19" s="66"/>
      <c r="T19" s="66"/>
    </row>
    <row r="20" spans="1:20" ht="13.5" customHeight="1">
      <c r="A20" s="273">
        <v>16</v>
      </c>
      <c r="B20" s="257" t="s">
        <v>87</v>
      </c>
      <c r="C20" s="169">
        <v>40515</v>
      </c>
      <c r="D20" s="286" t="s">
        <v>24</v>
      </c>
      <c r="E20" s="285">
        <v>337</v>
      </c>
      <c r="F20" s="285">
        <v>3</v>
      </c>
      <c r="G20" s="285">
        <v>10</v>
      </c>
      <c r="H20" s="234">
        <v>1124</v>
      </c>
      <c r="I20" s="192">
        <v>121</v>
      </c>
      <c r="J20" s="172">
        <f t="shared" si="3"/>
        <v>40.333333333333336</v>
      </c>
      <c r="K20" s="235">
        <f t="shared" si="1"/>
        <v>9.289256198347108</v>
      </c>
      <c r="L20" s="236">
        <v>19628314</v>
      </c>
      <c r="M20" s="171">
        <v>2093949</v>
      </c>
      <c r="N20" s="254">
        <f t="shared" si="4"/>
        <v>9.37382620111569</v>
      </c>
      <c r="O20" s="356"/>
      <c r="P20" s="440"/>
      <c r="Q20" s="66"/>
      <c r="R20" s="66"/>
      <c r="S20" s="66"/>
      <c r="T20" s="66"/>
    </row>
    <row r="21" spans="1:20" ht="13.5" customHeight="1">
      <c r="A21" s="273">
        <v>17</v>
      </c>
      <c r="B21" s="253" t="s">
        <v>87</v>
      </c>
      <c r="C21" s="169">
        <v>40515</v>
      </c>
      <c r="D21" s="323" t="s">
        <v>24</v>
      </c>
      <c r="E21" s="322">
        <v>337</v>
      </c>
      <c r="F21" s="322">
        <v>2</v>
      </c>
      <c r="G21" s="322">
        <v>11</v>
      </c>
      <c r="H21" s="234">
        <v>778</v>
      </c>
      <c r="I21" s="192">
        <v>78</v>
      </c>
      <c r="J21" s="172">
        <f t="shared" si="3"/>
        <v>39</v>
      </c>
      <c r="K21" s="235">
        <f t="shared" si="1"/>
        <v>9.974358974358974</v>
      </c>
      <c r="L21" s="236">
        <v>19629092</v>
      </c>
      <c r="M21" s="171">
        <v>2094027</v>
      </c>
      <c r="N21" s="254">
        <f t="shared" si="4"/>
        <v>9.373848570242886</v>
      </c>
      <c r="O21" s="315">
        <v>1</v>
      </c>
      <c r="P21" s="440"/>
      <c r="Q21" s="66"/>
      <c r="R21" s="66"/>
      <c r="S21" s="66"/>
      <c r="T21" s="66"/>
    </row>
    <row r="22" spans="1:20" ht="13.5" customHeight="1">
      <c r="A22" s="273">
        <v>18</v>
      </c>
      <c r="B22" s="257" t="s">
        <v>107</v>
      </c>
      <c r="C22" s="169">
        <v>40249</v>
      </c>
      <c r="D22" s="286" t="s">
        <v>17</v>
      </c>
      <c r="E22" s="285">
        <v>116</v>
      </c>
      <c r="F22" s="285">
        <v>1</v>
      </c>
      <c r="G22" s="285">
        <v>30</v>
      </c>
      <c r="H22" s="243">
        <v>3020</v>
      </c>
      <c r="I22" s="197">
        <v>604</v>
      </c>
      <c r="J22" s="179">
        <f>+I22/F22</f>
        <v>604</v>
      </c>
      <c r="K22" s="241">
        <f>+H22/I22</f>
        <v>5</v>
      </c>
      <c r="L22" s="244">
        <f>1547543.25+3020+3020</f>
        <v>1553583.25</v>
      </c>
      <c r="M22" s="175">
        <f>209803+604+604</f>
        <v>211011</v>
      </c>
      <c r="N22" s="258">
        <f>IF(L22&lt;&gt;0,L22/M22,"")</f>
        <v>7.36256996080773</v>
      </c>
      <c r="O22" s="316">
        <v>1</v>
      </c>
      <c r="P22" s="440"/>
      <c r="Q22" s="66"/>
      <c r="R22" s="66"/>
      <c r="S22" s="66"/>
      <c r="T22" s="66"/>
    </row>
    <row r="23" spans="1:20" ht="13.5" customHeight="1">
      <c r="A23" s="273">
        <v>19</v>
      </c>
      <c r="B23" s="224" t="s">
        <v>12</v>
      </c>
      <c r="C23" s="169">
        <v>40466</v>
      </c>
      <c r="D23" s="170" t="s">
        <v>17</v>
      </c>
      <c r="E23" s="322">
        <v>10</v>
      </c>
      <c r="F23" s="322">
        <v>2</v>
      </c>
      <c r="G23" s="322">
        <v>7</v>
      </c>
      <c r="H23" s="216">
        <v>325</v>
      </c>
      <c r="I23" s="197">
        <v>44</v>
      </c>
      <c r="J23" s="179">
        <f>IF(H23&lt;&gt;0,I23/F23,"")</f>
        <v>22</v>
      </c>
      <c r="K23" s="211">
        <f>IF(H23&lt;&gt;0,H23/I23,"")</f>
        <v>7.386363636363637</v>
      </c>
      <c r="L23" s="217">
        <f>7088+2486+815+33+201+698+H23</f>
        <v>11646</v>
      </c>
      <c r="M23" s="175">
        <f>735+318+126+5+29+108+I23</f>
        <v>1365</v>
      </c>
      <c r="N23" s="223">
        <f>IF(L23&lt;&gt;0,L23/M23,"")</f>
        <v>8.531868131868132</v>
      </c>
      <c r="O23" s="189"/>
      <c r="P23" s="440"/>
      <c r="Q23" s="66"/>
      <c r="R23" s="66"/>
      <c r="S23" s="66"/>
      <c r="T23" s="66"/>
    </row>
    <row r="24" spans="1:20" ht="13.5" customHeight="1">
      <c r="A24" s="273">
        <v>20</v>
      </c>
      <c r="B24" s="257" t="s">
        <v>12</v>
      </c>
      <c r="C24" s="169">
        <v>40466</v>
      </c>
      <c r="D24" s="286" t="s">
        <v>17</v>
      </c>
      <c r="E24" s="285">
        <v>10</v>
      </c>
      <c r="F24" s="285">
        <v>1</v>
      </c>
      <c r="G24" s="285">
        <v>8</v>
      </c>
      <c r="H24" s="243">
        <v>251</v>
      </c>
      <c r="I24" s="197">
        <v>68</v>
      </c>
      <c r="J24" s="179">
        <f>IF(H24&lt;&gt;0,I24/F24,"")</f>
        <v>68</v>
      </c>
      <c r="K24" s="241">
        <f>IF(H24&lt;&gt;0,H24/I24,"")</f>
        <v>3.6911764705882355</v>
      </c>
      <c r="L24" s="244">
        <f>7088+2486+815+33+201+698+325+251</f>
        <v>11897</v>
      </c>
      <c r="M24" s="175">
        <f>735+318+126+5+29+108+44+68</f>
        <v>1433</v>
      </c>
      <c r="N24" s="258">
        <f>IF(L24&lt;&gt;0,L24/M24,"")</f>
        <v>8.302163293789253</v>
      </c>
      <c r="O24" s="316"/>
      <c r="P24" s="441"/>
      <c r="Q24" s="66"/>
      <c r="R24" s="66"/>
      <c r="S24" s="66"/>
      <c r="T24" s="66"/>
    </row>
    <row r="25" spans="1:20" ht="13.5" customHeight="1">
      <c r="A25" s="273">
        <v>21</v>
      </c>
      <c r="B25" s="311" t="s">
        <v>4</v>
      </c>
      <c r="C25" s="186">
        <v>40529</v>
      </c>
      <c r="D25" s="295" t="s">
        <v>90</v>
      </c>
      <c r="E25" s="296">
        <v>5</v>
      </c>
      <c r="F25" s="296">
        <v>5</v>
      </c>
      <c r="G25" s="296">
        <v>4</v>
      </c>
      <c r="H25" s="245">
        <v>4388</v>
      </c>
      <c r="I25" s="194">
        <v>375</v>
      </c>
      <c r="J25" s="176">
        <f>I25/F25</f>
        <v>75</v>
      </c>
      <c r="K25" s="246">
        <f aca="true" t="shared" si="5" ref="K25:K31">H25/I25</f>
        <v>11.701333333333332</v>
      </c>
      <c r="L25" s="247">
        <v>19557</v>
      </c>
      <c r="M25" s="176">
        <v>1795</v>
      </c>
      <c r="N25" s="260">
        <f aca="true" t="shared" si="6" ref="N25:N31">L25/M25</f>
        <v>10.895264623955432</v>
      </c>
      <c r="O25" s="316"/>
      <c r="P25" s="440"/>
      <c r="Q25" s="66"/>
      <c r="R25" s="66"/>
      <c r="S25" s="66"/>
      <c r="T25" s="66"/>
    </row>
    <row r="26" spans="1:20" ht="13.5" customHeight="1">
      <c r="A26" s="273">
        <v>22</v>
      </c>
      <c r="B26" s="220" t="s">
        <v>4</v>
      </c>
      <c r="C26" s="186">
        <v>40529</v>
      </c>
      <c r="D26" s="325" t="s">
        <v>90</v>
      </c>
      <c r="E26" s="320">
        <v>5</v>
      </c>
      <c r="F26" s="320">
        <v>3</v>
      </c>
      <c r="G26" s="320">
        <v>5</v>
      </c>
      <c r="H26" s="245">
        <v>3391</v>
      </c>
      <c r="I26" s="194">
        <v>400</v>
      </c>
      <c r="J26" s="176">
        <f>I26/F26</f>
        <v>133.33333333333334</v>
      </c>
      <c r="K26" s="246">
        <f t="shared" si="5"/>
        <v>8.4775</v>
      </c>
      <c r="L26" s="247">
        <v>22948</v>
      </c>
      <c r="M26" s="176">
        <v>2195</v>
      </c>
      <c r="N26" s="260">
        <f t="shared" si="6"/>
        <v>10.454669703872437</v>
      </c>
      <c r="O26" s="189"/>
      <c r="P26" s="440"/>
      <c r="Q26" s="66"/>
      <c r="R26" s="66"/>
      <c r="S26" s="66"/>
      <c r="T26" s="66"/>
    </row>
    <row r="27" spans="1:20" ht="13.5" customHeight="1">
      <c r="A27" s="273">
        <v>23</v>
      </c>
      <c r="B27" s="307" t="s">
        <v>4</v>
      </c>
      <c r="C27" s="362">
        <v>40529</v>
      </c>
      <c r="D27" s="295" t="s">
        <v>90</v>
      </c>
      <c r="E27" s="363">
        <v>5</v>
      </c>
      <c r="F27" s="363">
        <v>5</v>
      </c>
      <c r="G27" s="363">
        <v>6</v>
      </c>
      <c r="H27" s="364">
        <v>2708</v>
      </c>
      <c r="I27" s="365">
        <v>400</v>
      </c>
      <c r="J27" s="282">
        <f>I27/F27</f>
        <v>80</v>
      </c>
      <c r="K27" s="360">
        <f t="shared" si="5"/>
        <v>6.77</v>
      </c>
      <c r="L27" s="366">
        <v>25656</v>
      </c>
      <c r="M27" s="282">
        <v>2595</v>
      </c>
      <c r="N27" s="370">
        <f t="shared" si="6"/>
        <v>9.88670520231214</v>
      </c>
      <c r="O27" s="315"/>
      <c r="P27" s="440"/>
      <c r="Q27" s="66"/>
      <c r="R27" s="66"/>
      <c r="S27" s="66"/>
      <c r="T27" s="66"/>
    </row>
    <row r="28" spans="1:20" ht="13.5" customHeight="1">
      <c r="A28" s="273">
        <v>24</v>
      </c>
      <c r="B28" s="220" t="s">
        <v>4</v>
      </c>
      <c r="C28" s="186">
        <v>40529</v>
      </c>
      <c r="D28" s="295" t="s">
        <v>90</v>
      </c>
      <c r="E28" s="320">
        <v>5</v>
      </c>
      <c r="F28" s="320">
        <v>4</v>
      </c>
      <c r="G28" s="320">
        <v>3</v>
      </c>
      <c r="H28" s="352">
        <v>2473</v>
      </c>
      <c r="I28" s="194">
        <v>284</v>
      </c>
      <c r="J28" s="176">
        <f>I28/F28</f>
        <v>71</v>
      </c>
      <c r="K28" s="353">
        <f t="shared" si="5"/>
        <v>8.70774647887324</v>
      </c>
      <c r="L28" s="354">
        <v>15169</v>
      </c>
      <c r="M28" s="176">
        <v>1420</v>
      </c>
      <c r="N28" s="355">
        <f t="shared" si="6"/>
        <v>10.682394366197183</v>
      </c>
      <c r="O28" s="189"/>
      <c r="P28" s="440"/>
      <c r="Q28" s="66"/>
      <c r="R28" s="66"/>
      <c r="S28" s="66"/>
      <c r="T28" s="66"/>
    </row>
    <row r="29" spans="1:20" ht="13.5" customHeight="1">
      <c r="A29" s="273">
        <v>25</v>
      </c>
      <c r="B29" s="311" t="s">
        <v>4</v>
      </c>
      <c r="C29" s="377">
        <v>40529</v>
      </c>
      <c r="D29" s="295" t="s">
        <v>90</v>
      </c>
      <c r="E29" s="296">
        <v>5</v>
      </c>
      <c r="F29" s="296">
        <v>4</v>
      </c>
      <c r="G29" s="296">
        <v>7</v>
      </c>
      <c r="H29" s="245">
        <v>1031</v>
      </c>
      <c r="I29" s="194">
        <v>163</v>
      </c>
      <c r="J29" s="176">
        <f>I29/F29</f>
        <v>40.75</v>
      </c>
      <c r="K29" s="246">
        <f t="shared" si="5"/>
        <v>6.325153374233129</v>
      </c>
      <c r="L29" s="247">
        <v>26687</v>
      </c>
      <c r="M29" s="176">
        <v>2758</v>
      </c>
      <c r="N29" s="260">
        <f t="shared" si="6"/>
        <v>9.676214648295867</v>
      </c>
      <c r="O29" s="316"/>
      <c r="P29" s="440"/>
      <c r="Q29" s="66"/>
      <c r="R29" s="66"/>
      <c r="S29" s="66"/>
      <c r="T29" s="66"/>
    </row>
    <row r="30" spans="1:20" ht="13.5" customHeight="1">
      <c r="A30" s="273">
        <v>26</v>
      </c>
      <c r="B30" s="311" t="s">
        <v>143</v>
      </c>
      <c r="C30" s="173">
        <v>40298</v>
      </c>
      <c r="D30" s="283" t="s">
        <v>120</v>
      </c>
      <c r="E30" s="284">
        <v>10</v>
      </c>
      <c r="F30" s="284">
        <v>1</v>
      </c>
      <c r="G30" s="284">
        <v>21</v>
      </c>
      <c r="H30" s="237">
        <v>1307</v>
      </c>
      <c r="I30" s="193">
        <v>327</v>
      </c>
      <c r="J30" s="182">
        <f>(I30/F30)</f>
        <v>327</v>
      </c>
      <c r="K30" s="238">
        <f t="shared" si="5"/>
        <v>3.996941896024465</v>
      </c>
      <c r="L30" s="239">
        <f>83892.5+865+192+477+220.5+1901+2138.5+1307</f>
        <v>90993.5</v>
      </c>
      <c r="M30" s="181">
        <f>10300+144+24+59+48+475+534+327</f>
        <v>11911</v>
      </c>
      <c r="N30" s="256">
        <f t="shared" si="6"/>
        <v>7.639450927713878</v>
      </c>
      <c r="O30" s="356"/>
      <c r="P30" s="440"/>
      <c r="Q30" s="66"/>
      <c r="R30" s="66"/>
      <c r="S30" s="66"/>
      <c r="T30" s="66"/>
    </row>
    <row r="31" spans="1:20" ht="13.5" customHeight="1">
      <c r="A31" s="273">
        <v>27</v>
      </c>
      <c r="B31" s="311" t="s">
        <v>143</v>
      </c>
      <c r="C31" s="374">
        <v>40298</v>
      </c>
      <c r="D31" s="283" t="s">
        <v>120</v>
      </c>
      <c r="E31" s="284">
        <v>10</v>
      </c>
      <c r="F31" s="284">
        <v>1</v>
      </c>
      <c r="G31" s="284">
        <v>22</v>
      </c>
      <c r="H31" s="237">
        <v>952</v>
      </c>
      <c r="I31" s="193">
        <v>238</v>
      </c>
      <c r="J31" s="182">
        <f>(I31/F31)</f>
        <v>238</v>
      </c>
      <c r="K31" s="238">
        <f t="shared" si="5"/>
        <v>4</v>
      </c>
      <c r="L31" s="239">
        <f>83892.5+865+192+477+220.5+1901+2138.5+1307+952</f>
        <v>91945.5</v>
      </c>
      <c r="M31" s="181">
        <f>10300+144+24+59+48+475+534+327+238</f>
        <v>12149</v>
      </c>
      <c r="N31" s="256">
        <f t="shared" si="6"/>
        <v>7.568153757510906</v>
      </c>
      <c r="O31" s="316"/>
      <c r="P31" s="441"/>
      <c r="Q31" s="66"/>
      <c r="R31" s="66"/>
      <c r="S31" s="66"/>
      <c r="T31" s="66"/>
    </row>
    <row r="32" spans="1:20" ht="13.5" customHeight="1">
      <c r="A32" s="273">
        <v>28</v>
      </c>
      <c r="B32" s="224" t="s">
        <v>64</v>
      </c>
      <c r="C32" s="169">
        <v>40452</v>
      </c>
      <c r="D32" s="170" t="s">
        <v>17</v>
      </c>
      <c r="E32" s="322">
        <v>148</v>
      </c>
      <c r="F32" s="322">
        <v>3</v>
      </c>
      <c r="G32" s="322">
        <v>14</v>
      </c>
      <c r="H32" s="216">
        <v>4104.5</v>
      </c>
      <c r="I32" s="197">
        <v>531</v>
      </c>
      <c r="J32" s="179">
        <f>IF(H32&lt;&gt;0,I32/F32,"")</f>
        <v>177</v>
      </c>
      <c r="K32" s="211">
        <f>IF(H32&lt;&gt;0,H32/I32,"")</f>
        <v>7.7297551789077215</v>
      </c>
      <c r="L32" s="217">
        <f>699440.5+93480+55329+21058.5+2054+5186.5+3036+2522+4090+1329+2064+2423+H32</f>
        <v>896117</v>
      </c>
      <c r="M32" s="175">
        <f>74937+13125+8283+3296+346+1058+497+365+749+203+322+349+531</f>
        <v>104061</v>
      </c>
      <c r="N32" s="223">
        <f>IF(L32&lt;&gt;0,L32/M32,"")</f>
        <v>8.611458663668426</v>
      </c>
      <c r="O32" s="189">
        <v>1</v>
      </c>
      <c r="P32" s="441"/>
      <c r="Q32" s="66"/>
      <c r="R32" s="66"/>
      <c r="S32" s="66"/>
      <c r="T32" s="66"/>
    </row>
    <row r="33" spans="1:20" ht="13.5" customHeight="1">
      <c r="A33" s="273">
        <v>29</v>
      </c>
      <c r="B33" s="253" t="s">
        <v>64</v>
      </c>
      <c r="C33" s="169">
        <v>40452</v>
      </c>
      <c r="D33" s="170" t="s">
        <v>17</v>
      </c>
      <c r="E33" s="322">
        <v>148</v>
      </c>
      <c r="F33" s="322">
        <v>1</v>
      </c>
      <c r="G33" s="322">
        <v>15</v>
      </c>
      <c r="H33" s="243">
        <v>528</v>
      </c>
      <c r="I33" s="197">
        <v>88</v>
      </c>
      <c r="J33" s="179">
        <f>IF(H33&lt;&gt;0,I33/F33,"")</f>
        <v>88</v>
      </c>
      <c r="K33" s="241">
        <f>IF(H33&lt;&gt;0,H33/I33,"")</f>
        <v>6</v>
      </c>
      <c r="L33" s="244">
        <f>896117+528</f>
        <v>896645</v>
      </c>
      <c r="M33" s="175">
        <f>104061+88</f>
        <v>104149</v>
      </c>
      <c r="N33" s="258">
        <f>IF(L33&lt;&gt;0,L33/M33,"")</f>
        <v>8.609252129161106</v>
      </c>
      <c r="O33" s="190">
        <v>1</v>
      </c>
      <c r="P33" s="440"/>
      <c r="Q33" s="66"/>
      <c r="R33" s="66"/>
      <c r="S33" s="66"/>
      <c r="T33" s="66"/>
    </row>
    <row r="34" spans="1:20" ht="13.5" customHeight="1">
      <c r="A34" s="273">
        <v>30</v>
      </c>
      <c r="B34" s="224" t="s">
        <v>64</v>
      </c>
      <c r="C34" s="169">
        <v>40452</v>
      </c>
      <c r="D34" s="323" t="s">
        <v>17</v>
      </c>
      <c r="E34" s="322">
        <v>148</v>
      </c>
      <c r="F34" s="322">
        <v>1</v>
      </c>
      <c r="G34" s="322">
        <v>17</v>
      </c>
      <c r="H34" s="243">
        <v>468</v>
      </c>
      <c r="I34" s="197">
        <v>78</v>
      </c>
      <c r="J34" s="179">
        <f>IF(H34&lt;&gt;0,I34/F34,"")</f>
        <v>78</v>
      </c>
      <c r="K34" s="241">
        <f>IF(H34&lt;&gt;0,H34/I34,"")</f>
        <v>6</v>
      </c>
      <c r="L34" s="244">
        <f>896117+528+390+468</f>
        <v>897503</v>
      </c>
      <c r="M34" s="175">
        <f>104061+88+65+78</f>
        <v>104292</v>
      </c>
      <c r="N34" s="258">
        <f>IF(L34&lt;&gt;0,L34/M34,"")</f>
        <v>8.605674452498754</v>
      </c>
      <c r="O34" s="190">
        <v>1</v>
      </c>
      <c r="P34" s="440"/>
      <c r="Q34" s="66"/>
      <c r="R34" s="66"/>
      <c r="S34" s="66"/>
      <c r="T34" s="66"/>
    </row>
    <row r="35" spans="1:20" ht="13.5" customHeight="1">
      <c r="A35" s="273">
        <v>31</v>
      </c>
      <c r="B35" s="257" t="s">
        <v>64</v>
      </c>
      <c r="C35" s="169">
        <v>40452</v>
      </c>
      <c r="D35" s="286" t="s">
        <v>17</v>
      </c>
      <c r="E35" s="285">
        <v>148</v>
      </c>
      <c r="F35" s="285">
        <v>1</v>
      </c>
      <c r="G35" s="285">
        <v>16</v>
      </c>
      <c r="H35" s="243">
        <v>390</v>
      </c>
      <c r="I35" s="197">
        <v>65</v>
      </c>
      <c r="J35" s="179">
        <f>+I35/F35</f>
        <v>65</v>
      </c>
      <c r="K35" s="241">
        <f>+H35/I35</f>
        <v>6</v>
      </c>
      <c r="L35" s="244">
        <f>896117+528+390</f>
        <v>897035</v>
      </c>
      <c r="M35" s="175">
        <f>104061+88+65</f>
        <v>104214</v>
      </c>
      <c r="N35" s="258">
        <f>IF(L35&lt;&gt;0,L35/M35,"")</f>
        <v>8.607624695338439</v>
      </c>
      <c r="O35" s="316">
        <v>1</v>
      </c>
      <c r="P35" s="440"/>
      <c r="Q35" s="66"/>
      <c r="R35" s="66"/>
      <c r="S35" s="66"/>
      <c r="T35" s="66"/>
    </row>
    <row r="36" spans="1:20" ht="13.5" customHeight="1">
      <c r="A36" s="273">
        <v>32</v>
      </c>
      <c r="B36" s="218" t="s">
        <v>14</v>
      </c>
      <c r="C36" s="173">
        <v>40473</v>
      </c>
      <c r="D36" s="283" t="s">
        <v>120</v>
      </c>
      <c r="E36" s="320">
        <v>28</v>
      </c>
      <c r="F36" s="320">
        <v>1</v>
      </c>
      <c r="G36" s="320">
        <v>12</v>
      </c>
      <c r="H36" s="237">
        <v>2675</v>
      </c>
      <c r="I36" s="193">
        <v>301</v>
      </c>
      <c r="J36" s="182">
        <f>(I36/F36)</f>
        <v>301</v>
      </c>
      <c r="K36" s="238">
        <f aca="true" t="shared" si="7" ref="K36:K55">H36/I36</f>
        <v>8.887043189368772</v>
      </c>
      <c r="L36" s="239">
        <f>152569.5+122205.5+10562+6863.5+9619+5655+1726.5+3593+4508+310+2166+2675</f>
        <v>322453</v>
      </c>
      <c r="M36" s="181">
        <f>12992+10278+1201+886+1535+877+246+644+1351+56+302+301</f>
        <v>30669</v>
      </c>
      <c r="N36" s="256">
        <f>L36/M36</f>
        <v>10.51397176301803</v>
      </c>
      <c r="O36" s="189"/>
      <c r="P36" s="441"/>
      <c r="Q36" s="66"/>
      <c r="R36" s="66"/>
      <c r="S36" s="66"/>
      <c r="T36" s="66"/>
    </row>
    <row r="37" spans="1:20" ht="13.5" customHeight="1">
      <c r="A37" s="273">
        <v>33</v>
      </c>
      <c r="B37" s="218" t="s">
        <v>14</v>
      </c>
      <c r="C37" s="173">
        <v>40473</v>
      </c>
      <c r="D37" s="283" t="s">
        <v>120</v>
      </c>
      <c r="E37" s="320">
        <v>28</v>
      </c>
      <c r="F37" s="320">
        <v>3</v>
      </c>
      <c r="G37" s="320">
        <v>11</v>
      </c>
      <c r="H37" s="204">
        <v>2166</v>
      </c>
      <c r="I37" s="193">
        <v>302</v>
      </c>
      <c r="J37" s="182">
        <f>(I37/F37)</f>
        <v>100.66666666666667</v>
      </c>
      <c r="K37" s="205">
        <f t="shared" si="7"/>
        <v>7.172185430463577</v>
      </c>
      <c r="L37" s="206">
        <f>152569.5+122205.5+10562+6863.5+9619+5655+1726.5+3593+4508+310+2166</f>
        <v>319778</v>
      </c>
      <c r="M37" s="181">
        <f>12992+10278+1201+886+1535+877+246+644+1351+56+302</f>
        <v>30368</v>
      </c>
      <c r="N37" s="219">
        <f>L37/M37</f>
        <v>10.53009747102213</v>
      </c>
      <c r="O37" s="189">
        <v>1</v>
      </c>
      <c r="P37" s="441"/>
      <c r="Q37" s="66"/>
      <c r="R37" s="66"/>
      <c r="S37" s="66"/>
      <c r="T37" s="66"/>
    </row>
    <row r="38" spans="1:20" ht="13.5" customHeight="1">
      <c r="A38" s="273">
        <v>34</v>
      </c>
      <c r="B38" s="251" t="s">
        <v>14</v>
      </c>
      <c r="C38" s="173">
        <v>40473</v>
      </c>
      <c r="D38" s="283" t="s">
        <v>120</v>
      </c>
      <c r="E38" s="320">
        <v>28</v>
      </c>
      <c r="F38" s="320">
        <v>1</v>
      </c>
      <c r="G38" s="320">
        <v>13</v>
      </c>
      <c r="H38" s="237">
        <v>594</v>
      </c>
      <c r="I38" s="193">
        <v>115</v>
      </c>
      <c r="J38" s="182">
        <f>(I38/F38)</f>
        <v>115</v>
      </c>
      <c r="K38" s="238">
        <f t="shared" si="7"/>
        <v>5.165217391304348</v>
      </c>
      <c r="L38" s="239">
        <f>152569.5+122205.5+10562+6863.5+9619+5655+1726.5+3593+4508+310+2166+2675+594</f>
        <v>323047</v>
      </c>
      <c r="M38" s="181">
        <f>12992+10278+1201+886+1535+877+246+644+1351+56+302+301+115</f>
        <v>30784</v>
      </c>
      <c r="N38" s="256">
        <f>L38/M38</f>
        <v>10.493990384615385</v>
      </c>
      <c r="O38" s="189"/>
      <c r="P38" s="440"/>
      <c r="Q38" s="66"/>
      <c r="R38" s="66"/>
      <c r="S38" s="66"/>
      <c r="T38" s="66"/>
    </row>
    <row r="39" spans="1:20" ht="13.5" customHeight="1">
      <c r="A39" s="273">
        <v>35</v>
      </c>
      <c r="B39" s="251" t="s">
        <v>138</v>
      </c>
      <c r="C39" s="173">
        <v>40333</v>
      </c>
      <c r="D39" s="283" t="s">
        <v>120</v>
      </c>
      <c r="E39" s="320">
        <v>5</v>
      </c>
      <c r="F39" s="320">
        <v>1</v>
      </c>
      <c r="G39" s="320">
        <v>17</v>
      </c>
      <c r="H39" s="237">
        <v>950.5</v>
      </c>
      <c r="I39" s="193">
        <v>238</v>
      </c>
      <c r="J39" s="182">
        <f>(I39/F39)</f>
        <v>238</v>
      </c>
      <c r="K39" s="238">
        <f t="shared" si="7"/>
        <v>3.9936974789915967</v>
      </c>
      <c r="L39" s="239">
        <f>36730.5+564+1413+1445+1680+605+2036+437+950.5</f>
        <v>45861</v>
      </c>
      <c r="M39" s="181">
        <f>3877+97+237+234+280+110+317+78+238</f>
        <v>5468</v>
      </c>
      <c r="N39" s="256">
        <f>L39/M39</f>
        <v>8.38716166788588</v>
      </c>
      <c r="O39" s="189"/>
      <c r="P39" s="440"/>
      <c r="Q39" s="66"/>
      <c r="R39" s="66"/>
      <c r="S39" s="66"/>
      <c r="T39" s="66"/>
    </row>
    <row r="40" spans="1:20" ht="13.5" customHeight="1">
      <c r="A40" s="273">
        <v>36</v>
      </c>
      <c r="B40" s="311" t="s">
        <v>174</v>
      </c>
      <c r="C40" s="374">
        <v>40102</v>
      </c>
      <c r="D40" s="283" t="s">
        <v>120</v>
      </c>
      <c r="E40" s="378">
        <v>22</v>
      </c>
      <c r="F40" s="284">
        <v>1</v>
      </c>
      <c r="G40" s="378">
        <v>13</v>
      </c>
      <c r="H40" s="237">
        <v>952</v>
      </c>
      <c r="I40" s="193">
        <v>238</v>
      </c>
      <c r="J40" s="182">
        <f>(I40/F40)</f>
        <v>238</v>
      </c>
      <c r="K40" s="238">
        <f t="shared" si="7"/>
        <v>4</v>
      </c>
      <c r="L40" s="239">
        <f>129717.5+110957+18478+6527+6853.5+1081.5+738.5+250+165+404+829.5+186+952</f>
        <v>277139.5</v>
      </c>
      <c r="M40" s="181">
        <f>10402+8975+1885+691+1109+369+262+48+23+69+109+24+238</f>
        <v>24204</v>
      </c>
      <c r="N40" s="256">
        <f>L40/M40</f>
        <v>11.450152867294662</v>
      </c>
      <c r="O40" s="316"/>
      <c r="P40" s="440"/>
      <c r="Q40" s="66"/>
      <c r="R40" s="66"/>
      <c r="S40" s="66"/>
      <c r="T40" s="66"/>
    </row>
    <row r="41" spans="1:20" ht="13.5" customHeight="1">
      <c r="A41" s="273">
        <v>37</v>
      </c>
      <c r="B41" s="222" t="s">
        <v>67</v>
      </c>
      <c r="C41" s="169">
        <v>40529</v>
      </c>
      <c r="D41" s="183" t="s">
        <v>25</v>
      </c>
      <c r="E41" s="285">
        <v>81</v>
      </c>
      <c r="F41" s="285">
        <v>69</v>
      </c>
      <c r="G41" s="285">
        <v>3</v>
      </c>
      <c r="H41" s="213">
        <v>90040</v>
      </c>
      <c r="I41" s="195">
        <v>10688</v>
      </c>
      <c r="J41" s="185">
        <f>I41/F41</f>
        <v>154.8985507246377</v>
      </c>
      <c r="K41" s="214">
        <f t="shared" si="7"/>
        <v>8.42440119760479</v>
      </c>
      <c r="L41" s="215">
        <v>472298</v>
      </c>
      <c r="M41" s="184">
        <v>55934</v>
      </c>
      <c r="N41" s="227">
        <f>+L41/M41</f>
        <v>8.443844531054458</v>
      </c>
      <c r="O41" s="189"/>
      <c r="P41" s="440"/>
      <c r="Q41" s="66"/>
      <c r="R41" s="66"/>
      <c r="S41" s="66"/>
      <c r="T41" s="66"/>
    </row>
    <row r="42" spans="1:20" ht="13.5" customHeight="1">
      <c r="A42" s="273">
        <v>38</v>
      </c>
      <c r="B42" s="257" t="s">
        <v>67</v>
      </c>
      <c r="C42" s="169">
        <v>40529</v>
      </c>
      <c r="D42" s="286" t="s">
        <v>25</v>
      </c>
      <c r="E42" s="285">
        <v>81</v>
      </c>
      <c r="F42" s="285">
        <v>5</v>
      </c>
      <c r="G42" s="285">
        <v>5</v>
      </c>
      <c r="H42" s="248">
        <v>5631</v>
      </c>
      <c r="I42" s="195">
        <v>879</v>
      </c>
      <c r="J42" s="185">
        <f>I42/F42</f>
        <v>175.8</v>
      </c>
      <c r="K42" s="249">
        <f t="shared" si="7"/>
        <v>6.406143344709897</v>
      </c>
      <c r="L42" s="250">
        <v>478360</v>
      </c>
      <c r="M42" s="184">
        <v>56856</v>
      </c>
      <c r="N42" s="261">
        <f>+L42/M42</f>
        <v>8.413535950471367</v>
      </c>
      <c r="O42" s="315">
        <v>1</v>
      </c>
      <c r="P42" s="440"/>
      <c r="Q42" s="66"/>
      <c r="R42" s="66"/>
      <c r="S42" s="66"/>
      <c r="T42" s="66"/>
    </row>
    <row r="43" spans="1:20" ht="13.5" customHeight="1">
      <c r="A43" s="273">
        <v>39</v>
      </c>
      <c r="B43" s="222" t="s">
        <v>67</v>
      </c>
      <c r="C43" s="169">
        <v>40529</v>
      </c>
      <c r="D43" s="286" t="s">
        <v>25</v>
      </c>
      <c r="E43" s="285">
        <v>81</v>
      </c>
      <c r="F43" s="285">
        <v>4</v>
      </c>
      <c r="G43" s="285">
        <v>6</v>
      </c>
      <c r="H43" s="248">
        <v>2875</v>
      </c>
      <c r="I43" s="195">
        <v>650</v>
      </c>
      <c r="J43" s="182">
        <f>(I43/F43)</f>
        <v>162.5</v>
      </c>
      <c r="K43" s="238">
        <f t="shared" si="7"/>
        <v>4.423076923076923</v>
      </c>
      <c r="L43" s="250">
        <v>481235</v>
      </c>
      <c r="M43" s="184">
        <v>57506</v>
      </c>
      <c r="N43" s="256">
        <f>L43/M43</f>
        <v>8.368431120230932</v>
      </c>
      <c r="O43" s="189">
        <v>1</v>
      </c>
      <c r="P43" s="441"/>
      <c r="Q43" s="66"/>
      <c r="R43" s="66"/>
      <c r="S43" s="66"/>
      <c r="T43" s="66"/>
    </row>
    <row r="44" spans="1:20" ht="13.5" customHeight="1">
      <c r="A44" s="273">
        <v>40</v>
      </c>
      <c r="B44" s="257" t="s">
        <v>67</v>
      </c>
      <c r="C44" s="169">
        <v>40529</v>
      </c>
      <c r="D44" s="286" t="s">
        <v>25</v>
      </c>
      <c r="E44" s="285">
        <v>81</v>
      </c>
      <c r="F44" s="285">
        <v>2</v>
      </c>
      <c r="G44" s="285">
        <v>7</v>
      </c>
      <c r="H44" s="248">
        <v>2351</v>
      </c>
      <c r="I44" s="195">
        <v>769</v>
      </c>
      <c r="J44" s="185">
        <f>I44/F44</f>
        <v>384.5</v>
      </c>
      <c r="K44" s="249">
        <f t="shared" si="7"/>
        <v>3.057217165149545</v>
      </c>
      <c r="L44" s="250">
        <v>483585</v>
      </c>
      <c r="M44" s="184">
        <v>58275</v>
      </c>
      <c r="N44" s="254">
        <f>+L44/M44</f>
        <v>8.298326898326899</v>
      </c>
      <c r="O44" s="189">
        <v>1</v>
      </c>
      <c r="P44" s="441"/>
      <c r="Q44" s="66"/>
      <c r="R44" s="66"/>
      <c r="S44" s="66"/>
      <c r="T44" s="66"/>
    </row>
    <row r="45" spans="1:20" ht="13.5" customHeight="1">
      <c r="A45" s="273">
        <v>41</v>
      </c>
      <c r="B45" s="257" t="s">
        <v>67</v>
      </c>
      <c r="C45" s="169">
        <v>40529</v>
      </c>
      <c r="D45" s="286" t="s">
        <v>25</v>
      </c>
      <c r="E45" s="285">
        <v>81</v>
      </c>
      <c r="F45" s="285">
        <v>1</v>
      </c>
      <c r="G45" s="285">
        <v>8</v>
      </c>
      <c r="H45" s="248">
        <v>997</v>
      </c>
      <c r="I45" s="195">
        <v>367</v>
      </c>
      <c r="J45" s="185">
        <f>I45/F45</f>
        <v>367</v>
      </c>
      <c r="K45" s="249">
        <f t="shared" si="7"/>
        <v>2.7166212534059944</v>
      </c>
      <c r="L45" s="250">
        <v>485472</v>
      </c>
      <c r="M45" s="184">
        <v>58973</v>
      </c>
      <c r="N45" s="261">
        <f>+L45/M45</f>
        <v>8.232106218099808</v>
      </c>
      <c r="O45" s="356"/>
      <c r="P45" s="440"/>
      <c r="Q45" s="66"/>
      <c r="R45" s="66"/>
      <c r="S45" s="66"/>
      <c r="T45" s="66"/>
    </row>
    <row r="46" spans="1:20" ht="13.5" customHeight="1">
      <c r="A46" s="273">
        <v>42</v>
      </c>
      <c r="B46" s="257" t="s">
        <v>67</v>
      </c>
      <c r="C46" s="169">
        <v>40529</v>
      </c>
      <c r="D46" s="183" t="s">
        <v>25</v>
      </c>
      <c r="E46" s="285">
        <v>81</v>
      </c>
      <c r="F46" s="285">
        <v>5</v>
      </c>
      <c r="G46" s="285">
        <v>4</v>
      </c>
      <c r="H46" s="248">
        <v>431</v>
      </c>
      <c r="I46" s="195">
        <v>43</v>
      </c>
      <c r="J46" s="185">
        <f>I46/F46</f>
        <v>8.6</v>
      </c>
      <c r="K46" s="249">
        <f t="shared" si="7"/>
        <v>10.023255813953488</v>
      </c>
      <c r="L46" s="250">
        <v>472729</v>
      </c>
      <c r="M46" s="184">
        <v>55977</v>
      </c>
      <c r="N46" s="261">
        <f>+L46/M46</f>
        <v>8.445057791592976</v>
      </c>
      <c r="O46" s="190">
        <v>1</v>
      </c>
      <c r="P46" s="440"/>
      <c r="Q46" s="66"/>
      <c r="R46" s="66"/>
      <c r="S46" s="66"/>
      <c r="T46" s="66"/>
    </row>
    <row r="47" spans="1:20" ht="13.5" customHeight="1">
      <c r="A47" s="273">
        <v>43</v>
      </c>
      <c r="B47" s="257" t="s">
        <v>67</v>
      </c>
      <c r="C47" s="169">
        <v>40529</v>
      </c>
      <c r="D47" s="286" t="s">
        <v>25</v>
      </c>
      <c r="E47" s="285">
        <v>81</v>
      </c>
      <c r="F47" s="285">
        <v>1</v>
      </c>
      <c r="G47" s="285">
        <v>9</v>
      </c>
      <c r="H47" s="248">
        <v>427</v>
      </c>
      <c r="I47" s="195">
        <v>52</v>
      </c>
      <c r="J47" s="185">
        <f>I47/F47</f>
        <v>52</v>
      </c>
      <c r="K47" s="249">
        <f t="shared" si="7"/>
        <v>8.211538461538462</v>
      </c>
      <c r="L47" s="250">
        <v>484902</v>
      </c>
      <c r="M47" s="184">
        <v>58658</v>
      </c>
      <c r="N47" s="261">
        <f>+L47/M47</f>
        <v>8.266596201711616</v>
      </c>
      <c r="O47" s="315">
        <v>1</v>
      </c>
      <c r="P47" s="440"/>
      <c r="Q47" s="66"/>
      <c r="R47" s="66"/>
      <c r="S47" s="66"/>
      <c r="T47" s="66"/>
    </row>
    <row r="48" spans="1:20" ht="13.5" customHeight="1">
      <c r="A48" s="273">
        <v>44</v>
      </c>
      <c r="B48" s="218" t="s">
        <v>57</v>
      </c>
      <c r="C48" s="173">
        <v>40529</v>
      </c>
      <c r="D48" s="283" t="s">
        <v>120</v>
      </c>
      <c r="E48" s="320">
        <v>147</v>
      </c>
      <c r="F48" s="320">
        <v>147</v>
      </c>
      <c r="G48" s="320">
        <v>3</v>
      </c>
      <c r="H48" s="204">
        <v>518408</v>
      </c>
      <c r="I48" s="193">
        <v>61133</v>
      </c>
      <c r="J48" s="182">
        <f aca="true" t="shared" si="8" ref="J48:J55">(I48/F48)</f>
        <v>415.8707482993197</v>
      </c>
      <c r="K48" s="205">
        <f t="shared" si="7"/>
        <v>8.480002617244368</v>
      </c>
      <c r="L48" s="206">
        <f>691567.5+648414.5+518408</f>
        <v>1858390</v>
      </c>
      <c r="M48" s="181">
        <f>79327+75064+61133</f>
        <v>215524</v>
      </c>
      <c r="N48" s="219">
        <f aca="true" t="shared" si="9" ref="N48:N55">L48/M48</f>
        <v>8.622659193407694</v>
      </c>
      <c r="O48" s="198"/>
      <c r="P48" s="440"/>
      <c r="Q48" s="66"/>
      <c r="R48" s="66"/>
      <c r="S48" s="66"/>
      <c r="T48" s="66"/>
    </row>
    <row r="49" spans="1:20" ht="13.5" customHeight="1">
      <c r="A49" s="273">
        <v>45</v>
      </c>
      <c r="B49" s="251" t="s">
        <v>88</v>
      </c>
      <c r="C49" s="173">
        <v>40529</v>
      </c>
      <c r="D49" s="283" t="s">
        <v>120</v>
      </c>
      <c r="E49" s="320">
        <v>147</v>
      </c>
      <c r="F49" s="320">
        <v>70</v>
      </c>
      <c r="G49" s="320">
        <v>4</v>
      </c>
      <c r="H49" s="237">
        <v>71112.5</v>
      </c>
      <c r="I49" s="193">
        <v>10235</v>
      </c>
      <c r="J49" s="182">
        <f t="shared" si="8"/>
        <v>146.21428571428572</v>
      </c>
      <c r="K49" s="238">
        <f t="shared" si="7"/>
        <v>6.947972642892037</v>
      </c>
      <c r="L49" s="239">
        <f>691567.5+648414.5+518408+71112.5</f>
        <v>1929502.5</v>
      </c>
      <c r="M49" s="181">
        <f>79327+75064+61133+10235</f>
        <v>225759</v>
      </c>
      <c r="N49" s="256">
        <f t="shared" si="9"/>
        <v>8.546735678311828</v>
      </c>
      <c r="O49" s="191">
        <v>1</v>
      </c>
      <c r="P49" s="440"/>
      <c r="Q49" s="66"/>
      <c r="R49" s="66"/>
      <c r="S49" s="66"/>
      <c r="T49" s="66"/>
    </row>
    <row r="50" spans="1:20" ht="13.5" customHeight="1">
      <c r="A50" s="273">
        <v>46</v>
      </c>
      <c r="B50" s="309" t="s">
        <v>88</v>
      </c>
      <c r="C50" s="287">
        <v>40529</v>
      </c>
      <c r="D50" s="283" t="s">
        <v>120</v>
      </c>
      <c r="E50" s="288">
        <v>147</v>
      </c>
      <c r="F50" s="288">
        <v>41</v>
      </c>
      <c r="G50" s="288">
        <v>5</v>
      </c>
      <c r="H50" s="289">
        <v>45526</v>
      </c>
      <c r="I50" s="290">
        <v>7792</v>
      </c>
      <c r="J50" s="291">
        <f t="shared" si="8"/>
        <v>190.0487804878049</v>
      </c>
      <c r="K50" s="292">
        <f t="shared" si="7"/>
        <v>5.842659137577002</v>
      </c>
      <c r="L50" s="293">
        <f>691567.5+648414.5+518408+71321.5+45526</f>
        <v>1975237.5</v>
      </c>
      <c r="M50" s="294">
        <f>79327+75064+61133+10266+7792</f>
        <v>233582</v>
      </c>
      <c r="N50" s="310">
        <f t="shared" si="9"/>
        <v>8.456291580686868</v>
      </c>
      <c r="O50" s="317">
        <v>1</v>
      </c>
      <c r="P50" s="440"/>
      <c r="Q50" s="66"/>
      <c r="R50" s="66"/>
      <c r="S50" s="66"/>
      <c r="T50" s="66"/>
    </row>
    <row r="51" spans="1:20" ht="13.5" customHeight="1">
      <c r="A51" s="273">
        <v>47</v>
      </c>
      <c r="B51" s="218" t="s">
        <v>57</v>
      </c>
      <c r="C51" s="173">
        <v>40529</v>
      </c>
      <c r="D51" s="283" t="s">
        <v>120</v>
      </c>
      <c r="E51" s="320">
        <v>147</v>
      </c>
      <c r="F51" s="320">
        <v>18</v>
      </c>
      <c r="G51" s="320">
        <v>6</v>
      </c>
      <c r="H51" s="237">
        <v>17480</v>
      </c>
      <c r="I51" s="193">
        <v>4345</v>
      </c>
      <c r="J51" s="182">
        <f t="shared" si="8"/>
        <v>241.38888888888889</v>
      </c>
      <c r="K51" s="238">
        <f t="shared" si="7"/>
        <v>4.02301495972382</v>
      </c>
      <c r="L51" s="239">
        <f>691567.5+648414.5+518408+71321.5+45526+17480</f>
        <v>1992717.5</v>
      </c>
      <c r="M51" s="181">
        <f>79327+75064+61133+10266+7792+4345</f>
        <v>237927</v>
      </c>
      <c r="N51" s="256">
        <f t="shared" si="9"/>
        <v>8.375331509244432</v>
      </c>
      <c r="O51" s="189">
        <v>1</v>
      </c>
      <c r="P51" s="441"/>
      <c r="Q51" s="66"/>
      <c r="R51" s="66"/>
      <c r="S51" s="66"/>
      <c r="T51" s="66"/>
    </row>
    <row r="52" spans="1:20" ht="13.5" customHeight="1">
      <c r="A52" s="273">
        <v>48</v>
      </c>
      <c r="B52" s="251" t="s">
        <v>88</v>
      </c>
      <c r="C52" s="173">
        <v>40529</v>
      </c>
      <c r="D52" s="283" t="s">
        <v>120</v>
      </c>
      <c r="E52" s="320">
        <v>147</v>
      </c>
      <c r="F52" s="320">
        <v>7</v>
      </c>
      <c r="G52" s="320">
        <v>7</v>
      </c>
      <c r="H52" s="237">
        <v>7409</v>
      </c>
      <c r="I52" s="193">
        <v>1731</v>
      </c>
      <c r="J52" s="182">
        <f t="shared" si="8"/>
        <v>247.28571428571428</v>
      </c>
      <c r="K52" s="238">
        <f t="shared" si="7"/>
        <v>4.280184864240323</v>
      </c>
      <c r="L52" s="239">
        <f>691567.5+648414.5+518408+71321.5+45526+17480+7409</f>
        <v>2000126.5</v>
      </c>
      <c r="M52" s="181">
        <f>79327+75064+61133+10266+7792+4345+1731</f>
        <v>239658</v>
      </c>
      <c r="N52" s="256">
        <f t="shared" si="9"/>
        <v>8.345753114855336</v>
      </c>
      <c r="O52" s="189">
        <v>1</v>
      </c>
      <c r="P52" s="441"/>
      <c r="Q52" s="66"/>
      <c r="R52" s="66"/>
      <c r="S52" s="66"/>
      <c r="T52" s="66"/>
    </row>
    <row r="53" spans="1:20" ht="13.5" customHeight="1">
      <c r="A53" s="273">
        <v>49</v>
      </c>
      <c r="B53" s="311" t="s">
        <v>88</v>
      </c>
      <c r="C53" s="374">
        <v>40529</v>
      </c>
      <c r="D53" s="283" t="s">
        <v>120</v>
      </c>
      <c r="E53" s="284">
        <v>147</v>
      </c>
      <c r="F53" s="284">
        <v>7</v>
      </c>
      <c r="G53" s="284">
        <v>10</v>
      </c>
      <c r="H53" s="237">
        <v>5445.5</v>
      </c>
      <c r="I53" s="193">
        <v>1176</v>
      </c>
      <c r="J53" s="182">
        <f t="shared" si="8"/>
        <v>168</v>
      </c>
      <c r="K53" s="238">
        <f t="shared" si="7"/>
        <v>4.630527210884353</v>
      </c>
      <c r="L53" s="239">
        <f>691567.5+648414.5+518408+71321.5+45526+17480+7409+4406.5+1874+5445.5</f>
        <v>2011852.5</v>
      </c>
      <c r="M53" s="181">
        <f>79327+75064+61133+10266+7792+4345+1731+935+303+1176</f>
        <v>242072</v>
      </c>
      <c r="N53" s="256">
        <f t="shared" si="9"/>
        <v>8.310967398129483</v>
      </c>
      <c r="O53" s="316">
        <v>1</v>
      </c>
      <c r="P53" s="440"/>
      <c r="Q53" s="66"/>
      <c r="R53" s="66"/>
      <c r="S53" s="66"/>
      <c r="T53" s="66"/>
    </row>
    <row r="54" spans="1:20" ht="13.5" customHeight="1">
      <c r="A54" s="273">
        <v>50</v>
      </c>
      <c r="B54" s="311" t="s">
        <v>57</v>
      </c>
      <c r="C54" s="173">
        <v>40529</v>
      </c>
      <c r="D54" s="283" t="s">
        <v>120</v>
      </c>
      <c r="E54" s="284">
        <v>147</v>
      </c>
      <c r="F54" s="284">
        <v>4</v>
      </c>
      <c r="G54" s="284">
        <v>8</v>
      </c>
      <c r="H54" s="237">
        <v>4406.5</v>
      </c>
      <c r="I54" s="193">
        <v>935</v>
      </c>
      <c r="J54" s="182">
        <f t="shared" si="8"/>
        <v>233.75</v>
      </c>
      <c r="K54" s="238">
        <f t="shared" si="7"/>
        <v>4.7128342245989305</v>
      </c>
      <c r="L54" s="239">
        <f>691567.5+648414.5+518408+71321.5+45526+17480+7409+4406.5</f>
        <v>2004533</v>
      </c>
      <c r="M54" s="181">
        <f>79327+75064+61133+10266+7792+4345+1731+935</f>
        <v>240593</v>
      </c>
      <c r="N54" s="256">
        <f t="shared" si="9"/>
        <v>8.331634752465783</v>
      </c>
      <c r="O54" s="356"/>
      <c r="P54" s="440"/>
      <c r="Q54" s="66"/>
      <c r="R54" s="66"/>
      <c r="S54" s="66"/>
      <c r="T54" s="66"/>
    </row>
    <row r="55" spans="1:20" ht="13.5" customHeight="1">
      <c r="A55" s="273">
        <v>51</v>
      </c>
      <c r="B55" s="309" t="s">
        <v>57</v>
      </c>
      <c r="C55" s="287">
        <v>40529</v>
      </c>
      <c r="D55" s="283" t="s">
        <v>120</v>
      </c>
      <c r="E55" s="288">
        <v>147</v>
      </c>
      <c r="F55" s="288">
        <v>2</v>
      </c>
      <c r="G55" s="288">
        <v>9</v>
      </c>
      <c r="H55" s="289">
        <v>1874</v>
      </c>
      <c r="I55" s="290">
        <v>303</v>
      </c>
      <c r="J55" s="291">
        <f t="shared" si="8"/>
        <v>151.5</v>
      </c>
      <c r="K55" s="292">
        <f t="shared" si="7"/>
        <v>6.184818481848184</v>
      </c>
      <c r="L55" s="293">
        <f>691567.5+648414.5+518408+71321.5+45526+17480+7409+4406.5+1874</f>
        <v>2006407</v>
      </c>
      <c r="M55" s="294">
        <f>79327+75064+61133+10266+7792+4345+1731+935+303</f>
        <v>240896</v>
      </c>
      <c r="N55" s="310">
        <f t="shared" si="9"/>
        <v>8.328934477948991</v>
      </c>
      <c r="O55" s="315">
        <v>1</v>
      </c>
      <c r="P55" s="440"/>
      <c r="Q55" s="66"/>
      <c r="R55" s="66"/>
      <c r="S55" s="66"/>
      <c r="T55" s="66"/>
    </row>
    <row r="56" spans="1:20" ht="13.5" customHeight="1">
      <c r="A56" s="273">
        <v>52</v>
      </c>
      <c r="B56" s="218" t="s">
        <v>62</v>
      </c>
      <c r="C56" s="173">
        <v>40466</v>
      </c>
      <c r="D56" s="180" t="s">
        <v>26</v>
      </c>
      <c r="E56" s="320">
        <v>22</v>
      </c>
      <c r="F56" s="320">
        <v>1</v>
      </c>
      <c r="G56" s="320">
        <v>12</v>
      </c>
      <c r="H56" s="207">
        <v>2002</v>
      </c>
      <c r="I56" s="194">
        <v>232</v>
      </c>
      <c r="J56" s="179">
        <f>IF(H56&lt;&gt;0,I56/F56,"")</f>
        <v>232</v>
      </c>
      <c r="K56" s="211">
        <f>IF(H56&lt;&gt;0,H56/I56,"")</f>
        <v>8.629310344827585</v>
      </c>
      <c r="L56" s="209">
        <f>75899.5+52129.5+37227.5+14454+10905+6815+10220.5+4115+4193+1577.5+113+940+2002</f>
        <v>220591.5</v>
      </c>
      <c r="M56" s="175">
        <f>7028+5164+3832+1471+1190+1095+1727+519+460+216+17+109+232</f>
        <v>23060</v>
      </c>
      <c r="N56" s="223">
        <f>IF(L56&lt;&gt;0,L56/M56,"")</f>
        <v>9.565980052038162</v>
      </c>
      <c r="O56" s="189"/>
      <c r="P56" s="440"/>
      <c r="Q56" s="66"/>
      <c r="R56" s="66"/>
      <c r="S56" s="66"/>
      <c r="T56" s="66"/>
    </row>
    <row r="57" spans="1:20" ht="13.5" customHeight="1">
      <c r="A57" s="273">
        <v>53</v>
      </c>
      <c r="B57" s="251" t="s">
        <v>99</v>
      </c>
      <c r="C57" s="173">
        <v>40466</v>
      </c>
      <c r="D57" s="180" t="s">
        <v>26</v>
      </c>
      <c r="E57" s="320">
        <v>22</v>
      </c>
      <c r="F57" s="320">
        <v>1</v>
      </c>
      <c r="G57" s="320">
        <v>13</v>
      </c>
      <c r="H57" s="231">
        <v>820.5</v>
      </c>
      <c r="I57" s="194">
        <v>274</v>
      </c>
      <c r="J57" s="175">
        <f>I57/F57</f>
        <v>274</v>
      </c>
      <c r="K57" s="232">
        <f>H57/I57</f>
        <v>2.9945255474452557</v>
      </c>
      <c r="L57" s="233">
        <f>75899.5+52129.5+37227.5+14454+10905+6815+10220.5+4115+4193+1577.5+113+940+2002+820.5</f>
        <v>221412</v>
      </c>
      <c r="M57" s="175">
        <f>7028+5164+3832+1471+1190+1095+1727+519+460+216+17+109+232+274</f>
        <v>23334</v>
      </c>
      <c r="N57" s="252">
        <f>L57/M57</f>
        <v>9.48881460529699</v>
      </c>
      <c r="O57" s="190">
        <v>1</v>
      </c>
      <c r="P57" s="440"/>
      <c r="Q57" s="66"/>
      <c r="R57" s="66"/>
      <c r="S57" s="66"/>
      <c r="T57" s="66"/>
    </row>
    <row r="58" spans="1:20" ht="13.5" customHeight="1">
      <c r="A58" s="273">
        <v>54</v>
      </c>
      <c r="B58" s="255" t="s">
        <v>96</v>
      </c>
      <c r="C58" s="173">
        <v>40424</v>
      </c>
      <c r="D58" s="174" t="s">
        <v>23</v>
      </c>
      <c r="E58" s="320">
        <v>107</v>
      </c>
      <c r="F58" s="320">
        <v>1</v>
      </c>
      <c r="G58" s="320">
        <v>19</v>
      </c>
      <c r="H58" s="231">
        <v>1204</v>
      </c>
      <c r="I58" s="194">
        <v>350</v>
      </c>
      <c r="J58" s="175">
        <f>I58/F58</f>
        <v>350</v>
      </c>
      <c r="K58" s="232">
        <f>+H58/I58</f>
        <v>3.44</v>
      </c>
      <c r="L58" s="233">
        <v>2166347</v>
      </c>
      <c r="M58" s="176">
        <v>195743</v>
      </c>
      <c r="N58" s="252">
        <f>+L58/M58</f>
        <v>11.067302534445677</v>
      </c>
      <c r="O58" s="265"/>
      <c r="P58" s="441"/>
      <c r="Q58" s="66"/>
      <c r="R58" s="66"/>
      <c r="S58" s="66"/>
      <c r="T58" s="66"/>
    </row>
    <row r="59" spans="1:20" ht="13.5" customHeight="1">
      <c r="A59" s="273">
        <v>55</v>
      </c>
      <c r="B59" s="307" t="s">
        <v>96</v>
      </c>
      <c r="C59" s="274">
        <v>40424</v>
      </c>
      <c r="D59" s="275" t="s">
        <v>23</v>
      </c>
      <c r="E59" s="276">
        <v>107</v>
      </c>
      <c r="F59" s="276">
        <v>1</v>
      </c>
      <c r="G59" s="276">
        <v>20</v>
      </c>
      <c r="H59" s="277">
        <v>1204</v>
      </c>
      <c r="I59" s="278">
        <v>350</v>
      </c>
      <c r="J59" s="279">
        <f>I59/F59</f>
        <v>350</v>
      </c>
      <c r="K59" s="280">
        <f>+H59/I59</f>
        <v>3.44</v>
      </c>
      <c r="L59" s="281">
        <v>2167551</v>
      </c>
      <c r="M59" s="282">
        <v>196093</v>
      </c>
      <c r="N59" s="308">
        <f>+L59/M59</f>
        <v>11.053688810921349</v>
      </c>
      <c r="O59" s="315"/>
      <c r="P59" s="440"/>
      <c r="Q59" s="66"/>
      <c r="R59" s="66"/>
      <c r="S59" s="66"/>
      <c r="T59" s="66"/>
    </row>
    <row r="60" spans="1:20" ht="13.5" customHeight="1">
      <c r="A60" s="273">
        <v>56</v>
      </c>
      <c r="B60" s="396" t="s">
        <v>116</v>
      </c>
      <c r="C60" s="381">
        <v>40396</v>
      </c>
      <c r="D60" s="283" t="s">
        <v>120</v>
      </c>
      <c r="E60" s="382">
        <v>4</v>
      </c>
      <c r="F60" s="382">
        <v>2</v>
      </c>
      <c r="G60" s="382">
        <v>22</v>
      </c>
      <c r="H60" s="237">
        <v>1323</v>
      </c>
      <c r="I60" s="193">
        <v>206</v>
      </c>
      <c r="J60" s="182">
        <f aca="true" t="shared" si="10" ref="J60:J66">(I60/F60)</f>
        <v>103</v>
      </c>
      <c r="K60" s="238">
        <f aca="true" t="shared" si="11" ref="K60:K71">H60/I60</f>
        <v>6.422330097087379</v>
      </c>
      <c r="L60" s="239">
        <f>14959+9646+7725+4386+3960+14571+6049+4818+2605+3811+4797+6372+2996+165+950.5+1598.5+276+381+768+800+1224+1323</f>
        <v>94181</v>
      </c>
      <c r="M60" s="181">
        <f>1646+1123+1125+547+522+2218+896+595+438+656+743+1047+452+23+148+219+42+85+83+91+196+206</f>
        <v>13101</v>
      </c>
      <c r="N60" s="256">
        <f aca="true" t="shared" si="12" ref="N60:N66">L60/M60</f>
        <v>7.188840546523166</v>
      </c>
      <c r="O60" s="316"/>
      <c r="P60" s="440"/>
      <c r="Q60" s="66"/>
      <c r="R60" s="66"/>
      <c r="S60" s="66"/>
      <c r="T60" s="66"/>
    </row>
    <row r="61" spans="1:20" ht="13.5" customHeight="1">
      <c r="A61" s="273">
        <v>57</v>
      </c>
      <c r="B61" s="314" t="s">
        <v>116</v>
      </c>
      <c r="C61" s="305">
        <v>40396</v>
      </c>
      <c r="D61" s="283" t="s">
        <v>120</v>
      </c>
      <c r="E61" s="306">
        <v>4</v>
      </c>
      <c r="F61" s="306">
        <v>1</v>
      </c>
      <c r="G61" s="306">
        <v>21</v>
      </c>
      <c r="H61" s="289">
        <v>1224</v>
      </c>
      <c r="I61" s="290">
        <v>196</v>
      </c>
      <c r="J61" s="291">
        <f t="shared" si="10"/>
        <v>196</v>
      </c>
      <c r="K61" s="292">
        <f t="shared" si="11"/>
        <v>6.244897959183674</v>
      </c>
      <c r="L61" s="293">
        <f>14959+9646+7725+4386+3960+14571+6049+4818+2605+3811+4797+6372+2996+165+950.5+1598.5+276+381+768+800+1224</f>
        <v>92858</v>
      </c>
      <c r="M61" s="294">
        <f>1646+1123+1125+547+522+2218+896+595+438+656+743+1047+452+23+148+219+42+85+83+91+196</f>
        <v>12895</v>
      </c>
      <c r="N61" s="310">
        <f t="shared" si="12"/>
        <v>7.201085692128732</v>
      </c>
      <c r="O61" s="315"/>
      <c r="P61" s="440"/>
      <c r="Q61" s="66"/>
      <c r="R61" s="66"/>
      <c r="S61" s="66"/>
      <c r="T61" s="66"/>
    </row>
    <row r="62" spans="1:20" ht="13.5" customHeight="1">
      <c r="A62" s="273">
        <v>58</v>
      </c>
      <c r="B62" s="228" t="s">
        <v>116</v>
      </c>
      <c r="C62" s="188">
        <v>40396</v>
      </c>
      <c r="D62" s="283" t="s">
        <v>120</v>
      </c>
      <c r="E62" s="329">
        <v>4</v>
      </c>
      <c r="F62" s="329">
        <v>1</v>
      </c>
      <c r="G62" s="329">
        <v>20</v>
      </c>
      <c r="H62" s="237">
        <v>800</v>
      </c>
      <c r="I62" s="193">
        <v>91</v>
      </c>
      <c r="J62" s="182">
        <f t="shared" si="10"/>
        <v>91</v>
      </c>
      <c r="K62" s="238">
        <f t="shared" si="11"/>
        <v>8.791208791208792</v>
      </c>
      <c r="L62" s="239">
        <f>14959+9646+7725+4386+3960+14571+6049+4818+2605+3811+4797+6372+2996+165+950.5+1598.5+276+381+768+800</f>
        <v>91634</v>
      </c>
      <c r="M62" s="181">
        <f>1646+1123+1125+547+522+2218+896+595+438+656+743+1047+452+23+148+219+42+85+83+91</f>
        <v>12699</v>
      </c>
      <c r="N62" s="256">
        <f t="shared" si="12"/>
        <v>7.215843767225766</v>
      </c>
      <c r="O62" s="189"/>
      <c r="P62" s="440"/>
      <c r="Q62" s="66"/>
      <c r="R62" s="66"/>
      <c r="S62" s="66"/>
      <c r="T62" s="66"/>
    </row>
    <row r="63" spans="1:20" ht="13.5" customHeight="1">
      <c r="A63" s="273">
        <v>59</v>
      </c>
      <c r="B63" s="314" t="s">
        <v>116</v>
      </c>
      <c r="C63" s="305">
        <v>40396</v>
      </c>
      <c r="D63" s="283" t="s">
        <v>120</v>
      </c>
      <c r="E63" s="306">
        <v>4</v>
      </c>
      <c r="F63" s="306">
        <v>1</v>
      </c>
      <c r="G63" s="306">
        <v>19</v>
      </c>
      <c r="H63" s="289">
        <v>768</v>
      </c>
      <c r="I63" s="290">
        <v>83</v>
      </c>
      <c r="J63" s="291">
        <f t="shared" si="10"/>
        <v>83</v>
      </c>
      <c r="K63" s="292">
        <f t="shared" si="11"/>
        <v>9.25301204819277</v>
      </c>
      <c r="L63" s="293">
        <f>14959+9646+7725+4386+3960+14571+6049+4818+2605+3811+4797+6372+2996+165+950.5+1598.5+276+381+768</f>
        <v>90834</v>
      </c>
      <c r="M63" s="294">
        <f>1646+1123+1125+547+522+2218+896+595+438+656+743+1047+452+23+148+219+42+85+83</f>
        <v>12608</v>
      </c>
      <c r="N63" s="310">
        <f t="shared" si="12"/>
        <v>7.204473350253807</v>
      </c>
      <c r="O63" s="318"/>
      <c r="P63" s="440"/>
      <c r="Q63" s="66"/>
      <c r="R63" s="66"/>
      <c r="S63" s="66"/>
      <c r="T63" s="66"/>
    </row>
    <row r="64" spans="1:20" ht="13.5" customHeight="1">
      <c r="A64" s="273">
        <v>60</v>
      </c>
      <c r="B64" s="311" t="s">
        <v>95</v>
      </c>
      <c r="C64" s="186">
        <v>40430</v>
      </c>
      <c r="D64" s="295" t="s">
        <v>120</v>
      </c>
      <c r="E64" s="378">
        <v>57</v>
      </c>
      <c r="F64" s="378">
        <v>2</v>
      </c>
      <c r="G64" s="378">
        <v>17</v>
      </c>
      <c r="H64" s="237">
        <v>4752</v>
      </c>
      <c r="I64" s="193">
        <v>1188</v>
      </c>
      <c r="J64" s="182">
        <f t="shared" si="10"/>
        <v>594</v>
      </c>
      <c r="K64" s="238">
        <f t="shared" si="11"/>
        <v>4</v>
      </c>
      <c r="L64" s="239">
        <f>15818.5+150711.5+75138.5+33591.5+30249.5+17415.5+8294.5+10566+6016+6121.5+888.5+2484+322+4243.5+950.5+1782+1782+4752</f>
        <v>371127.5</v>
      </c>
      <c r="M64" s="181">
        <f>1512+15643+7345+4634+4073+2646+1136+2027+1109+1483+117+572+47+1041+237+445+446+1188</f>
        <v>45701</v>
      </c>
      <c r="N64" s="256">
        <f t="shared" si="12"/>
        <v>8.120774162490974</v>
      </c>
      <c r="O64" s="356"/>
      <c r="P64" s="440"/>
      <c r="Q64" s="66"/>
      <c r="R64" s="66"/>
      <c r="S64" s="66"/>
      <c r="T64" s="66"/>
    </row>
    <row r="65" spans="1:20" ht="13.5" customHeight="1">
      <c r="A65" s="273">
        <v>61</v>
      </c>
      <c r="B65" s="255" t="s">
        <v>95</v>
      </c>
      <c r="C65" s="186">
        <v>40430</v>
      </c>
      <c r="D65" s="295" t="s">
        <v>120</v>
      </c>
      <c r="E65" s="320">
        <v>57</v>
      </c>
      <c r="F65" s="320">
        <v>1</v>
      </c>
      <c r="G65" s="320">
        <v>16</v>
      </c>
      <c r="H65" s="237">
        <v>1782</v>
      </c>
      <c r="I65" s="193">
        <v>446</v>
      </c>
      <c r="J65" s="182">
        <f t="shared" si="10"/>
        <v>446</v>
      </c>
      <c r="K65" s="238">
        <f t="shared" si="11"/>
        <v>3.995515695067265</v>
      </c>
      <c r="L65" s="239">
        <f>15818.5+150711.5+75138.5+33591.5+30249.5+17415.5+8294.5+10566+6016+6121.5+888.5+2484+322+4243.5+950.5+1782+1782</f>
        <v>366375.5</v>
      </c>
      <c r="M65" s="181">
        <f>1512+15643+7345+4634+4073+2646+1136+2027+1109+1483+117+572+47+1041+237+445+446</f>
        <v>44513</v>
      </c>
      <c r="N65" s="256">
        <f t="shared" si="12"/>
        <v>8.230752813784736</v>
      </c>
      <c r="O65" s="189"/>
      <c r="P65" s="440"/>
      <c r="Q65" s="66"/>
      <c r="R65" s="66"/>
      <c r="S65" s="66"/>
      <c r="T65" s="66"/>
    </row>
    <row r="66" spans="1:20" ht="13.5" customHeight="1">
      <c r="A66" s="273">
        <v>62</v>
      </c>
      <c r="B66" s="251" t="s">
        <v>95</v>
      </c>
      <c r="C66" s="173">
        <v>40430</v>
      </c>
      <c r="D66" s="283" t="s">
        <v>120</v>
      </c>
      <c r="E66" s="320">
        <v>57</v>
      </c>
      <c r="F66" s="320">
        <v>1</v>
      </c>
      <c r="G66" s="320">
        <v>15</v>
      </c>
      <c r="H66" s="237">
        <v>1782</v>
      </c>
      <c r="I66" s="193">
        <v>445</v>
      </c>
      <c r="J66" s="182">
        <f t="shared" si="10"/>
        <v>445</v>
      </c>
      <c r="K66" s="238">
        <f t="shared" si="11"/>
        <v>4.004494382022472</v>
      </c>
      <c r="L66" s="239">
        <f>15818.5+150711.5+75138.5+33591.5+30249.5+17415.5+8294.5+10566+6016+6121.5+888.5+2484+322+4243.5+950.5+1782</f>
        <v>364593.5</v>
      </c>
      <c r="M66" s="181">
        <f>1512+15643+7345+4634+4073+2646+1136+2027+1109+1483+117+572+47+1041+237+445</f>
        <v>44067</v>
      </c>
      <c r="N66" s="256">
        <f t="shared" si="12"/>
        <v>8.273617446161527</v>
      </c>
      <c r="O66" s="191"/>
      <c r="P66" s="441"/>
      <c r="Q66" s="66"/>
      <c r="R66" s="66"/>
      <c r="S66" s="66"/>
      <c r="T66" s="66"/>
    </row>
    <row r="67" spans="1:20" ht="13.5" customHeight="1">
      <c r="A67" s="273">
        <v>63</v>
      </c>
      <c r="B67" s="224" t="s">
        <v>34</v>
      </c>
      <c r="C67" s="169">
        <v>40508</v>
      </c>
      <c r="D67" s="170" t="s">
        <v>24</v>
      </c>
      <c r="E67" s="322">
        <v>72</v>
      </c>
      <c r="F67" s="322">
        <v>12</v>
      </c>
      <c r="G67" s="322">
        <v>6</v>
      </c>
      <c r="H67" s="201">
        <v>10277</v>
      </c>
      <c r="I67" s="192">
        <v>1355</v>
      </c>
      <c r="J67" s="172">
        <f>I67/F67</f>
        <v>112.91666666666667</v>
      </c>
      <c r="K67" s="202">
        <f t="shared" si="11"/>
        <v>7.58450184501845</v>
      </c>
      <c r="L67" s="203">
        <v>1208960</v>
      </c>
      <c r="M67" s="171">
        <v>105047</v>
      </c>
      <c r="N67" s="225">
        <f>+L67/M67</f>
        <v>11.508753224747018</v>
      </c>
      <c r="O67" s="189">
        <v>1</v>
      </c>
      <c r="P67" s="441"/>
      <c r="Q67" s="66"/>
      <c r="R67" s="66"/>
      <c r="S67" s="66"/>
      <c r="T67" s="66"/>
    </row>
    <row r="68" spans="1:20" ht="13.5" customHeight="1">
      <c r="A68" s="273">
        <v>64</v>
      </c>
      <c r="B68" s="257" t="s">
        <v>34</v>
      </c>
      <c r="C68" s="169">
        <v>40508</v>
      </c>
      <c r="D68" s="286" t="s">
        <v>24</v>
      </c>
      <c r="E68" s="285">
        <v>72</v>
      </c>
      <c r="F68" s="285">
        <v>2</v>
      </c>
      <c r="G68" s="285">
        <v>8</v>
      </c>
      <c r="H68" s="234">
        <v>2043</v>
      </c>
      <c r="I68" s="192">
        <v>282</v>
      </c>
      <c r="J68" s="172">
        <f>I68/F68</f>
        <v>141</v>
      </c>
      <c r="K68" s="235">
        <f t="shared" si="11"/>
        <v>7.24468085106383</v>
      </c>
      <c r="L68" s="236">
        <v>1211516</v>
      </c>
      <c r="M68" s="171">
        <v>105388</v>
      </c>
      <c r="N68" s="254">
        <f>+L68/M68</f>
        <v>11.495768019129313</v>
      </c>
      <c r="O68" s="316"/>
      <c r="P68" s="441"/>
      <c r="Q68" s="66"/>
      <c r="R68" s="66"/>
      <c r="S68" s="66"/>
      <c r="T68" s="66"/>
    </row>
    <row r="69" spans="1:20" ht="13.5" customHeight="1">
      <c r="A69" s="273">
        <v>65</v>
      </c>
      <c r="B69" s="253" t="s">
        <v>34</v>
      </c>
      <c r="C69" s="169">
        <v>40508</v>
      </c>
      <c r="D69" s="170" t="s">
        <v>24</v>
      </c>
      <c r="E69" s="322">
        <v>72</v>
      </c>
      <c r="F69" s="322">
        <v>1</v>
      </c>
      <c r="G69" s="322">
        <v>7</v>
      </c>
      <c r="H69" s="234">
        <v>513</v>
      </c>
      <c r="I69" s="192">
        <v>59</v>
      </c>
      <c r="J69" s="172">
        <f>I69/F69</f>
        <v>59</v>
      </c>
      <c r="K69" s="235">
        <f t="shared" si="11"/>
        <v>8.694915254237289</v>
      </c>
      <c r="L69" s="236">
        <v>1209473</v>
      </c>
      <c r="M69" s="171">
        <v>105106</v>
      </c>
      <c r="N69" s="254">
        <f>+L69/M69</f>
        <v>11.507173710349551</v>
      </c>
      <c r="O69" s="190"/>
      <c r="P69" s="441"/>
      <c r="Q69" s="66"/>
      <c r="R69" s="66"/>
      <c r="S69" s="66"/>
      <c r="T69" s="66"/>
    </row>
    <row r="70" spans="1:20" ht="13.5" customHeight="1">
      <c r="A70" s="273">
        <v>66</v>
      </c>
      <c r="B70" s="224" t="s">
        <v>10</v>
      </c>
      <c r="C70" s="169">
        <v>40459</v>
      </c>
      <c r="D70" s="170" t="s">
        <v>24</v>
      </c>
      <c r="E70" s="322">
        <v>55</v>
      </c>
      <c r="F70" s="322">
        <v>3</v>
      </c>
      <c r="G70" s="322">
        <v>13</v>
      </c>
      <c r="H70" s="201">
        <v>2794</v>
      </c>
      <c r="I70" s="192">
        <v>385</v>
      </c>
      <c r="J70" s="172">
        <f>I70/F70</f>
        <v>128.33333333333334</v>
      </c>
      <c r="K70" s="202">
        <f t="shared" si="11"/>
        <v>7.257142857142857</v>
      </c>
      <c r="L70" s="203">
        <v>2711808</v>
      </c>
      <c r="M70" s="171">
        <v>235959</v>
      </c>
      <c r="N70" s="225">
        <f>+L70/M70</f>
        <v>11.492708479015421</v>
      </c>
      <c r="O70" s="191"/>
      <c r="P70" s="441"/>
      <c r="Q70" s="66"/>
      <c r="R70" s="66"/>
      <c r="S70" s="66"/>
      <c r="T70" s="66"/>
    </row>
    <row r="71" spans="1:20" ht="13.5" customHeight="1">
      <c r="A71" s="273">
        <v>67</v>
      </c>
      <c r="B71" s="257" t="s">
        <v>10</v>
      </c>
      <c r="C71" s="169">
        <v>40459</v>
      </c>
      <c r="D71" s="286" t="s">
        <v>24</v>
      </c>
      <c r="E71" s="285">
        <v>55</v>
      </c>
      <c r="F71" s="285">
        <v>1</v>
      </c>
      <c r="G71" s="285">
        <v>14</v>
      </c>
      <c r="H71" s="234">
        <v>1190</v>
      </c>
      <c r="I71" s="192">
        <v>238</v>
      </c>
      <c r="J71" s="172">
        <f>I71/F71</f>
        <v>238</v>
      </c>
      <c r="K71" s="235">
        <f t="shared" si="11"/>
        <v>5</v>
      </c>
      <c r="L71" s="236">
        <v>2712998</v>
      </c>
      <c r="M71" s="171">
        <v>236197</v>
      </c>
      <c r="N71" s="254">
        <f>+L71/M71</f>
        <v>11.486166208715606</v>
      </c>
      <c r="O71" s="356"/>
      <c r="P71" s="440"/>
      <c r="Q71" s="66"/>
      <c r="R71" s="66"/>
      <c r="S71" s="66"/>
      <c r="T71" s="66"/>
    </row>
    <row r="72" spans="1:20" ht="13.5" customHeight="1">
      <c r="A72" s="273">
        <v>68</v>
      </c>
      <c r="B72" s="224" t="s">
        <v>20</v>
      </c>
      <c r="C72" s="169">
        <v>40207</v>
      </c>
      <c r="D72" s="170" t="s">
        <v>17</v>
      </c>
      <c r="E72" s="322">
        <v>47</v>
      </c>
      <c r="F72" s="322">
        <v>2</v>
      </c>
      <c r="G72" s="322">
        <v>40</v>
      </c>
      <c r="H72" s="216">
        <v>1782</v>
      </c>
      <c r="I72" s="197">
        <v>356</v>
      </c>
      <c r="J72" s="179">
        <f>IF(H72&lt;&gt;0,I72/F72,"")</f>
        <v>178</v>
      </c>
      <c r="K72" s="211">
        <f>IF(H72&lt;&gt;0,H72/I72,"")</f>
        <v>5.00561797752809</v>
      </c>
      <c r="L72" s="217">
        <f>1873890.5+5542+564+70+558+190+292+283.5+618+H72</f>
        <v>1883790</v>
      </c>
      <c r="M72" s="175">
        <f>160830+1202+112+10+80+27+42+44+119+I72</f>
        <v>162822</v>
      </c>
      <c r="N72" s="223">
        <f>IF(L72&lt;&gt;0,L72/M72,"")</f>
        <v>11.569628182923683</v>
      </c>
      <c r="O72" s="198">
        <v>1</v>
      </c>
      <c r="P72" s="440"/>
      <c r="Q72" s="66"/>
      <c r="R72" s="66"/>
      <c r="S72" s="66"/>
      <c r="T72" s="66"/>
    </row>
    <row r="73" spans="1:20" ht="13.5" customHeight="1">
      <c r="A73" s="273">
        <v>69</v>
      </c>
      <c r="B73" s="253" t="s">
        <v>20</v>
      </c>
      <c r="C73" s="169">
        <v>40207</v>
      </c>
      <c r="D73" s="170" t="s">
        <v>17</v>
      </c>
      <c r="E73" s="322">
        <v>47</v>
      </c>
      <c r="F73" s="322">
        <v>1</v>
      </c>
      <c r="G73" s="322">
        <v>41</v>
      </c>
      <c r="H73" s="243">
        <v>184</v>
      </c>
      <c r="I73" s="197">
        <v>46</v>
      </c>
      <c r="J73" s="179">
        <f>IF(H73&lt;&gt;0,I73/F73,"")</f>
        <v>46</v>
      </c>
      <c r="K73" s="241">
        <f>IF(H73&lt;&gt;0,H73/I73,"")</f>
        <v>4</v>
      </c>
      <c r="L73" s="244">
        <f>1883790+184</f>
        <v>1883974</v>
      </c>
      <c r="M73" s="175">
        <f>162822+46</f>
        <v>162868</v>
      </c>
      <c r="N73" s="258">
        <f>IF(L73&lt;&gt;0,L73/M73,"")</f>
        <v>11.567490237492938</v>
      </c>
      <c r="O73" s="190"/>
      <c r="P73" s="440"/>
      <c r="Q73" s="66"/>
      <c r="R73" s="66"/>
      <c r="S73" s="66"/>
      <c r="T73" s="66"/>
    </row>
    <row r="74" spans="1:20" ht="13.5" customHeight="1">
      <c r="A74" s="273">
        <v>70</v>
      </c>
      <c r="B74" s="257" t="s">
        <v>20</v>
      </c>
      <c r="C74" s="375">
        <v>40207</v>
      </c>
      <c r="D74" s="286" t="s">
        <v>17</v>
      </c>
      <c r="E74" s="285">
        <v>47</v>
      </c>
      <c r="F74" s="285">
        <v>1</v>
      </c>
      <c r="G74" s="285">
        <v>42</v>
      </c>
      <c r="H74" s="243">
        <v>100</v>
      </c>
      <c r="I74" s="197">
        <v>10</v>
      </c>
      <c r="J74" s="179">
        <f>IF(H74&lt;&gt;0,I74/F74,"")</f>
        <v>10</v>
      </c>
      <c r="K74" s="241">
        <f>IF(H74&lt;&gt;0,H74/I74,"")</f>
        <v>10</v>
      </c>
      <c r="L74" s="244">
        <f>1883790+184+100</f>
        <v>1884074</v>
      </c>
      <c r="M74" s="175">
        <f>162822+46+10</f>
        <v>162878</v>
      </c>
      <c r="N74" s="258">
        <f>IF(L74&lt;&gt;0,L74/M74,"")</f>
        <v>11.56739400041749</v>
      </c>
      <c r="O74" s="316"/>
      <c r="P74" s="440"/>
      <c r="Q74" s="66"/>
      <c r="R74" s="66"/>
      <c r="S74" s="66"/>
      <c r="T74" s="66"/>
    </row>
    <row r="75" spans="1:20" ht="13.5" customHeight="1">
      <c r="A75" s="273">
        <v>71</v>
      </c>
      <c r="B75" s="224" t="s">
        <v>18</v>
      </c>
      <c r="C75" s="169">
        <v>40499</v>
      </c>
      <c r="D75" s="170" t="s">
        <v>24</v>
      </c>
      <c r="E75" s="322">
        <v>216</v>
      </c>
      <c r="F75" s="322">
        <v>34</v>
      </c>
      <c r="G75" s="322">
        <v>7</v>
      </c>
      <c r="H75" s="201">
        <v>30434</v>
      </c>
      <c r="I75" s="192">
        <v>4757</v>
      </c>
      <c r="J75" s="172">
        <f aca="true" t="shared" si="13" ref="J75:J81">I75/F75</f>
        <v>139.91176470588235</v>
      </c>
      <c r="K75" s="202">
        <f aca="true" t="shared" si="14" ref="K75:K87">H75/I75</f>
        <v>6.397729661551398</v>
      </c>
      <c r="L75" s="203">
        <v>7544141</v>
      </c>
      <c r="M75" s="171">
        <v>795478</v>
      </c>
      <c r="N75" s="225">
        <f aca="true" t="shared" si="15" ref="N75:N81">+L75/M75</f>
        <v>9.4837833353028</v>
      </c>
      <c r="O75" s="189"/>
      <c r="P75" s="440"/>
      <c r="Q75" s="66"/>
      <c r="R75" s="66"/>
      <c r="S75" s="66"/>
      <c r="T75" s="66"/>
    </row>
    <row r="76" spans="1:20" ht="13.5" customHeight="1">
      <c r="A76" s="273">
        <v>72</v>
      </c>
      <c r="B76" s="253" t="s">
        <v>18</v>
      </c>
      <c r="C76" s="169">
        <v>40499</v>
      </c>
      <c r="D76" s="170" t="s">
        <v>24</v>
      </c>
      <c r="E76" s="322">
        <v>216</v>
      </c>
      <c r="F76" s="322">
        <v>6</v>
      </c>
      <c r="G76" s="322">
        <v>8</v>
      </c>
      <c r="H76" s="234">
        <v>5700</v>
      </c>
      <c r="I76" s="192">
        <v>1097</v>
      </c>
      <c r="J76" s="172">
        <f t="shared" si="13"/>
        <v>182.83333333333334</v>
      </c>
      <c r="K76" s="235">
        <f t="shared" si="14"/>
        <v>5.195989061075661</v>
      </c>
      <c r="L76" s="236">
        <v>7549841</v>
      </c>
      <c r="M76" s="171">
        <v>796575</v>
      </c>
      <c r="N76" s="254">
        <f t="shared" si="15"/>
        <v>9.477878416972665</v>
      </c>
      <c r="O76" s="190"/>
      <c r="P76" s="441"/>
      <c r="Q76" s="66"/>
      <c r="R76" s="66"/>
      <c r="S76" s="66"/>
      <c r="T76" s="66"/>
    </row>
    <row r="77" spans="1:20" ht="13.5" customHeight="1">
      <c r="A77" s="273">
        <v>73</v>
      </c>
      <c r="B77" s="257" t="s">
        <v>18</v>
      </c>
      <c r="C77" s="169">
        <v>40499</v>
      </c>
      <c r="D77" s="286" t="s">
        <v>24</v>
      </c>
      <c r="E77" s="285">
        <v>216</v>
      </c>
      <c r="F77" s="285">
        <v>6</v>
      </c>
      <c r="G77" s="285">
        <v>9</v>
      </c>
      <c r="H77" s="234">
        <v>5414</v>
      </c>
      <c r="I77" s="192">
        <v>1277</v>
      </c>
      <c r="J77" s="172">
        <f t="shared" si="13"/>
        <v>212.83333333333334</v>
      </c>
      <c r="K77" s="235">
        <f t="shared" si="14"/>
        <v>4.239624119028974</v>
      </c>
      <c r="L77" s="236">
        <v>7555255</v>
      </c>
      <c r="M77" s="171">
        <v>797852</v>
      </c>
      <c r="N77" s="254">
        <f t="shared" si="15"/>
        <v>9.4694943423091</v>
      </c>
      <c r="O77" s="316"/>
      <c r="P77" s="441"/>
      <c r="Q77" s="66"/>
      <c r="R77" s="66"/>
      <c r="S77" s="66"/>
      <c r="T77" s="66"/>
    </row>
    <row r="78" spans="1:20" ht="13.5" customHeight="1">
      <c r="A78" s="273">
        <v>74</v>
      </c>
      <c r="B78" s="253" t="s">
        <v>18</v>
      </c>
      <c r="C78" s="169">
        <v>40499</v>
      </c>
      <c r="D78" s="323" t="s">
        <v>24</v>
      </c>
      <c r="E78" s="322">
        <v>216</v>
      </c>
      <c r="F78" s="322">
        <v>3</v>
      </c>
      <c r="G78" s="322">
        <v>13</v>
      </c>
      <c r="H78" s="234">
        <v>1907</v>
      </c>
      <c r="I78" s="192">
        <v>449</v>
      </c>
      <c r="J78" s="172">
        <f t="shared" si="13"/>
        <v>149.66666666666666</v>
      </c>
      <c r="K78" s="235">
        <f t="shared" si="14"/>
        <v>4.247216035634744</v>
      </c>
      <c r="L78" s="236">
        <v>7557967</v>
      </c>
      <c r="M78" s="171">
        <v>798432</v>
      </c>
      <c r="N78" s="254">
        <f t="shared" si="15"/>
        <v>9.466012133782213</v>
      </c>
      <c r="O78" s="315"/>
      <c r="P78" s="441"/>
      <c r="Q78" s="66"/>
      <c r="R78" s="66"/>
      <c r="S78" s="66"/>
      <c r="T78" s="66"/>
    </row>
    <row r="79" spans="1:20" ht="13.5" customHeight="1">
      <c r="A79" s="273">
        <v>75</v>
      </c>
      <c r="B79" s="224" t="s">
        <v>18</v>
      </c>
      <c r="C79" s="169">
        <v>40499</v>
      </c>
      <c r="D79" s="323" t="s">
        <v>24</v>
      </c>
      <c r="E79" s="322">
        <v>216</v>
      </c>
      <c r="F79" s="322">
        <v>1</v>
      </c>
      <c r="G79" s="322">
        <v>10</v>
      </c>
      <c r="H79" s="234">
        <v>280</v>
      </c>
      <c r="I79" s="192">
        <v>46</v>
      </c>
      <c r="J79" s="172">
        <f t="shared" si="13"/>
        <v>46</v>
      </c>
      <c r="K79" s="235">
        <f t="shared" si="14"/>
        <v>6.086956521739131</v>
      </c>
      <c r="L79" s="236">
        <v>7555535</v>
      </c>
      <c r="M79" s="171">
        <v>797898</v>
      </c>
      <c r="N79" s="254">
        <f t="shared" si="15"/>
        <v>9.469299334000086</v>
      </c>
      <c r="O79" s="189"/>
      <c r="P79" s="441"/>
      <c r="Q79" s="66"/>
      <c r="R79" s="66"/>
      <c r="S79" s="66"/>
      <c r="T79" s="66"/>
    </row>
    <row r="80" spans="1:20" ht="13.5" customHeight="1">
      <c r="A80" s="273">
        <v>76</v>
      </c>
      <c r="B80" s="257" t="s">
        <v>18</v>
      </c>
      <c r="C80" s="169">
        <v>40499</v>
      </c>
      <c r="D80" s="286" t="s">
        <v>24</v>
      </c>
      <c r="E80" s="285">
        <v>216</v>
      </c>
      <c r="F80" s="285">
        <v>1</v>
      </c>
      <c r="G80" s="285">
        <v>12</v>
      </c>
      <c r="H80" s="234">
        <v>265</v>
      </c>
      <c r="I80" s="192">
        <v>42</v>
      </c>
      <c r="J80" s="172">
        <f t="shared" si="13"/>
        <v>42</v>
      </c>
      <c r="K80" s="235">
        <f t="shared" si="14"/>
        <v>6.309523809523809</v>
      </c>
      <c r="L80" s="236">
        <v>7556060</v>
      </c>
      <c r="M80" s="171">
        <v>797983</v>
      </c>
      <c r="N80" s="254">
        <f t="shared" si="15"/>
        <v>9.468948586624025</v>
      </c>
      <c r="O80" s="356"/>
      <c r="P80" s="441"/>
      <c r="Q80" s="66"/>
      <c r="R80" s="66"/>
      <c r="S80" s="66"/>
      <c r="T80" s="66"/>
    </row>
    <row r="81" spans="1:20" ht="13.5" customHeight="1">
      <c r="A81" s="273">
        <v>77</v>
      </c>
      <c r="B81" s="253" t="s">
        <v>18</v>
      </c>
      <c r="C81" s="169">
        <v>40499</v>
      </c>
      <c r="D81" s="323" t="s">
        <v>24</v>
      </c>
      <c r="E81" s="322">
        <v>216</v>
      </c>
      <c r="F81" s="322">
        <v>1</v>
      </c>
      <c r="G81" s="322">
        <v>11</v>
      </c>
      <c r="H81" s="234">
        <v>260</v>
      </c>
      <c r="I81" s="192">
        <v>43</v>
      </c>
      <c r="J81" s="172">
        <f t="shared" si="13"/>
        <v>43</v>
      </c>
      <c r="K81" s="235">
        <f t="shared" si="14"/>
        <v>6.046511627906977</v>
      </c>
      <c r="L81" s="236">
        <v>7555795</v>
      </c>
      <c r="M81" s="171">
        <v>797941</v>
      </c>
      <c r="N81" s="254">
        <f t="shared" si="15"/>
        <v>9.46911488443381</v>
      </c>
      <c r="O81" s="189"/>
      <c r="P81" s="441"/>
      <c r="Q81" s="66"/>
      <c r="R81" s="66"/>
      <c r="S81" s="66"/>
      <c r="T81" s="66"/>
    </row>
    <row r="82" spans="1:20" ht="13.5" customHeight="1">
      <c r="A82" s="273">
        <v>78</v>
      </c>
      <c r="B82" s="251" t="s">
        <v>148</v>
      </c>
      <c r="C82" s="173">
        <v>39899</v>
      </c>
      <c r="D82" s="283" t="s">
        <v>120</v>
      </c>
      <c r="E82" s="320">
        <v>16</v>
      </c>
      <c r="F82" s="320">
        <v>1</v>
      </c>
      <c r="G82" s="320">
        <v>22</v>
      </c>
      <c r="H82" s="237">
        <v>2140</v>
      </c>
      <c r="I82" s="193">
        <v>535</v>
      </c>
      <c r="J82" s="182">
        <f>(I82/F82)</f>
        <v>535</v>
      </c>
      <c r="K82" s="238">
        <f t="shared" si="14"/>
        <v>4</v>
      </c>
      <c r="L82" s="239">
        <f>31480+15536+8716+2149+2897+1360+2390+1251+322+381+329+492+928+436+1103+1913+46+240+669.28+648.46+226+2140</f>
        <v>75652.74</v>
      </c>
      <c r="M82" s="181">
        <f>3450+1778+1361+440+508+248+548+290+68+72+58+96+96+70+137+309+9+48+150+151+48+535</f>
        <v>10470</v>
      </c>
      <c r="N82" s="256">
        <f>L82/M82</f>
        <v>7.225667621776505</v>
      </c>
      <c r="O82" s="315">
        <v>1</v>
      </c>
      <c r="P82" s="441"/>
      <c r="Q82" s="66"/>
      <c r="R82" s="66"/>
      <c r="S82" s="66"/>
      <c r="T82" s="66"/>
    </row>
    <row r="83" spans="1:20" ht="13.5" customHeight="1">
      <c r="A83" s="273">
        <v>79</v>
      </c>
      <c r="B83" s="311" t="s">
        <v>175</v>
      </c>
      <c r="C83" s="374">
        <v>39892</v>
      </c>
      <c r="D83" s="283" t="s">
        <v>120</v>
      </c>
      <c r="E83" s="284">
        <v>5</v>
      </c>
      <c r="F83" s="284">
        <v>1</v>
      </c>
      <c r="G83" s="284">
        <v>24</v>
      </c>
      <c r="H83" s="240">
        <v>952</v>
      </c>
      <c r="I83" s="196">
        <v>238</v>
      </c>
      <c r="J83" s="367">
        <f>(I83/F83)</f>
        <v>238</v>
      </c>
      <c r="K83" s="383">
        <f t="shared" si="14"/>
        <v>4</v>
      </c>
      <c r="L83" s="242">
        <f>18881.5+13473+6553+4173.5+2378+3269+2172+792+240+60+1236+552+1321+1757+465+884+565+65+261+952+114+51+2376+952</f>
        <v>63543</v>
      </c>
      <c r="M83" s="178">
        <f>2268+1745+795+568+579+610+541+209+80+20+215+68+169+337+93+144+93+15+56+238+23+20+594+238</f>
        <v>9718</v>
      </c>
      <c r="N83" s="397">
        <f>L83/M83</f>
        <v>6.538691088701379</v>
      </c>
      <c r="O83" s="316"/>
      <c r="P83" s="441"/>
      <c r="Q83" s="66"/>
      <c r="R83" s="66"/>
      <c r="S83" s="66"/>
      <c r="T83" s="66"/>
    </row>
    <row r="84" spans="1:20" ht="13.5" customHeight="1">
      <c r="A84" s="273">
        <v>80</v>
      </c>
      <c r="B84" s="262" t="s">
        <v>135</v>
      </c>
      <c r="C84" s="188">
        <v>39995</v>
      </c>
      <c r="D84" s="283" t="s">
        <v>120</v>
      </c>
      <c r="E84" s="329">
        <v>209</v>
      </c>
      <c r="F84" s="329">
        <v>1</v>
      </c>
      <c r="G84" s="329">
        <v>61</v>
      </c>
      <c r="H84" s="237">
        <v>952</v>
      </c>
      <c r="I84" s="193">
        <v>238</v>
      </c>
      <c r="J84" s="182">
        <f>(I84/F84)</f>
        <v>238</v>
      </c>
      <c r="K84" s="238">
        <f t="shared" si="14"/>
        <v>4</v>
      </c>
      <c r="L84" s="239">
        <f>11405777.5+385+1188+6614+2968+1417+277+2612+1424+952</f>
        <v>11423614.5</v>
      </c>
      <c r="M84" s="181">
        <f>1424397+63+297+1638+742+364+66+653+356+238</f>
        <v>1428814</v>
      </c>
      <c r="N84" s="256">
        <f>L84/M84</f>
        <v>7.995172569697665</v>
      </c>
      <c r="O84" s="189"/>
      <c r="P84" s="441"/>
      <c r="Q84" s="66"/>
      <c r="R84" s="66"/>
      <c r="S84" s="66"/>
      <c r="T84" s="66"/>
    </row>
    <row r="85" spans="1:20" ht="13.5" customHeight="1">
      <c r="A85" s="273">
        <v>81</v>
      </c>
      <c r="B85" s="311" t="s">
        <v>136</v>
      </c>
      <c r="C85" s="173">
        <v>39738</v>
      </c>
      <c r="D85" s="283" t="s">
        <v>120</v>
      </c>
      <c r="E85" s="284">
        <v>67</v>
      </c>
      <c r="F85" s="284">
        <v>1</v>
      </c>
      <c r="G85" s="284">
        <v>44</v>
      </c>
      <c r="H85" s="237">
        <v>1780</v>
      </c>
      <c r="I85" s="193">
        <v>445</v>
      </c>
      <c r="J85" s="182">
        <f>(I85/F85)</f>
        <v>445</v>
      </c>
      <c r="K85" s="238">
        <f t="shared" si="14"/>
        <v>4</v>
      </c>
      <c r="L85" s="239">
        <f>575413.5+2968+2376+2737+2376+2376+4752+2376+952+1780</f>
        <v>598106.5</v>
      </c>
      <c r="M85" s="181">
        <f>83313+742+594+635+594+594+1188+594+238+445</f>
        <v>88937</v>
      </c>
      <c r="N85" s="256">
        <f>L85/M85</f>
        <v>6.725058187256147</v>
      </c>
      <c r="O85" s="356"/>
      <c r="P85" s="441"/>
      <c r="Q85" s="66"/>
      <c r="R85" s="66"/>
      <c r="S85" s="66"/>
      <c r="T85" s="66"/>
    </row>
    <row r="86" spans="1:20" ht="13.5" customHeight="1">
      <c r="A86" s="273">
        <v>82</v>
      </c>
      <c r="B86" s="251" t="s">
        <v>136</v>
      </c>
      <c r="C86" s="173">
        <v>39738</v>
      </c>
      <c r="D86" s="283" t="s">
        <v>120</v>
      </c>
      <c r="E86" s="320">
        <v>67</v>
      </c>
      <c r="F86" s="320">
        <v>1</v>
      </c>
      <c r="G86" s="320">
        <v>43</v>
      </c>
      <c r="H86" s="237">
        <v>952</v>
      </c>
      <c r="I86" s="193">
        <v>238</v>
      </c>
      <c r="J86" s="182">
        <f>(I86/F86)</f>
        <v>238</v>
      </c>
      <c r="K86" s="238">
        <f t="shared" si="14"/>
        <v>4</v>
      </c>
      <c r="L86" s="239">
        <f>575413.5+2968+2376+2737+2376+2376+4752+2376+952</f>
        <v>596326.5</v>
      </c>
      <c r="M86" s="181">
        <f>83313+742+594+635+594+594+1188+594+238</f>
        <v>88492</v>
      </c>
      <c r="N86" s="256">
        <f>L86/M86</f>
        <v>6.738761695972517</v>
      </c>
      <c r="O86" s="189"/>
      <c r="P86" s="441"/>
      <c r="Q86" s="66"/>
      <c r="R86" s="66"/>
      <c r="S86" s="66"/>
      <c r="T86" s="66"/>
    </row>
    <row r="87" spans="1:20" ht="13.5" customHeight="1">
      <c r="A87" s="273">
        <v>83</v>
      </c>
      <c r="B87" s="253" t="s">
        <v>149</v>
      </c>
      <c r="C87" s="169">
        <v>40389</v>
      </c>
      <c r="D87" s="323" t="s">
        <v>24</v>
      </c>
      <c r="E87" s="322">
        <v>139</v>
      </c>
      <c r="F87" s="322">
        <v>2</v>
      </c>
      <c r="G87" s="322">
        <v>22</v>
      </c>
      <c r="H87" s="234">
        <v>1178</v>
      </c>
      <c r="I87" s="192">
        <v>911</v>
      </c>
      <c r="J87" s="172">
        <f>I87/F87</f>
        <v>455.5</v>
      </c>
      <c r="K87" s="235">
        <f t="shared" si="14"/>
        <v>1.2930845225027443</v>
      </c>
      <c r="L87" s="236">
        <v>11031595</v>
      </c>
      <c r="M87" s="171">
        <v>1101560</v>
      </c>
      <c r="N87" s="254">
        <f>+L87/M87</f>
        <v>10.014520316641853</v>
      </c>
      <c r="O87" s="315"/>
      <c r="P87" s="441"/>
      <c r="Q87" s="66"/>
      <c r="R87" s="66"/>
      <c r="S87" s="66"/>
      <c r="T87" s="66"/>
    </row>
    <row r="88" spans="1:20" ht="13.5" customHeight="1">
      <c r="A88" s="273">
        <v>84</v>
      </c>
      <c r="B88" s="257" t="s">
        <v>22</v>
      </c>
      <c r="C88" s="169">
        <v>40480</v>
      </c>
      <c r="D88" s="324" t="s">
        <v>27</v>
      </c>
      <c r="E88" s="285">
        <v>1</v>
      </c>
      <c r="F88" s="285">
        <v>1</v>
      </c>
      <c r="G88" s="285">
        <v>9</v>
      </c>
      <c r="H88" s="240">
        <v>368</v>
      </c>
      <c r="I88" s="196">
        <v>57</v>
      </c>
      <c r="J88" s="179">
        <f>+I88/F88</f>
        <v>57</v>
      </c>
      <c r="K88" s="241">
        <f>+H88/I88</f>
        <v>6.456140350877193</v>
      </c>
      <c r="L88" s="242">
        <v>14543</v>
      </c>
      <c r="M88" s="178">
        <v>1072</v>
      </c>
      <c r="N88" s="258">
        <f>+L88/M88</f>
        <v>13.566231343283581</v>
      </c>
      <c r="O88" s="315"/>
      <c r="P88" s="441"/>
      <c r="Q88" s="66"/>
      <c r="R88" s="66"/>
      <c r="S88" s="66"/>
      <c r="T88" s="66"/>
    </row>
    <row r="89" spans="1:20" ht="13.5" customHeight="1">
      <c r="A89" s="273">
        <v>85</v>
      </c>
      <c r="B89" s="222" t="s">
        <v>22</v>
      </c>
      <c r="C89" s="169">
        <v>40480</v>
      </c>
      <c r="D89" s="177" t="s">
        <v>27</v>
      </c>
      <c r="E89" s="285">
        <v>1</v>
      </c>
      <c r="F89" s="285">
        <v>1</v>
      </c>
      <c r="G89" s="285">
        <v>8</v>
      </c>
      <c r="H89" s="210">
        <v>42</v>
      </c>
      <c r="I89" s="196">
        <v>6</v>
      </c>
      <c r="J89" s="179">
        <f>+I89/F89</f>
        <v>6</v>
      </c>
      <c r="K89" s="211">
        <f>+H89/I89</f>
        <v>7</v>
      </c>
      <c r="L89" s="212">
        <v>14175</v>
      </c>
      <c r="M89" s="178">
        <v>1015</v>
      </c>
      <c r="N89" s="223">
        <f>+L89/M89</f>
        <v>13.96551724137931</v>
      </c>
      <c r="O89" s="189"/>
      <c r="P89" s="441"/>
      <c r="Q89" s="66"/>
      <c r="R89" s="66"/>
      <c r="S89" s="66"/>
      <c r="T89" s="66"/>
    </row>
    <row r="90" spans="1:20" ht="13.5" customHeight="1">
      <c r="A90" s="273">
        <v>86</v>
      </c>
      <c r="B90" s="311" t="s">
        <v>176</v>
      </c>
      <c r="C90" s="374">
        <v>39997</v>
      </c>
      <c r="D90" s="283" t="s">
        <v>120</v>
      </c>
      <c r="E90" s="284">
        <v>5</v>
      </c>
      <c r="F90" s="284">
        <v>1</v>
      </c>
      <c r="G90" s="284">
        <v>21</v>
      </c>
      <c r="H90" s="237">
        <v>952</v>
      </c>
      <c r="I90" s="193">
        <v>238</v>
      </c>
      <c r="J90" s="182">
        <f>(I90/F90)</f>
        <v>238</v>
      </c>
      <c r="K90" s="238">
        <f>H90/I90</f>
        <v>4</v>
      </c>
      <c r="L90" s="239">
        <f>18914.5+7321+4028.5+1674+6130+4818.5+6984.5+5012.5+1695+4556+3587.5+1286+2931+2868+2878.5+3369+1780+1780+162+63+952</f>
        <v>82791.5</v>
      </c>
      <c r="M90" s="181">
        <f>1467+674+673+324+645+765+779+620+311+670+508+195+503+424+502+755+445+445+35+21+238</f>
        <v>10999</v>
      </c>
      <c r="N90" s="256">
        <f>L90/M90</f>
        <v>7.527184289480862</v>
      </c>
      <c r="O90" s="316"/>
      <c r="P90" s="441"/>
      <c r="Q90" s="66"/>
      <c r="R90" s="66"/>
      <c r="S90" s="66"/>
      <c r="T90" s="66"/>
    </row>
    <row r="91" spans="1:20" ht="13.5" customHeight="1">
      <c r="A91" s="273">
        <v>87</v>
      </c>
      <c r="B91" s="251" t="s">
        <v>97</v>
      </c>
      <c r="C91" s="173">
        <v>40424</v>
      </c>
      <c r="D91" s="283" t="s">
        <v>120</v>
      </c>
      <c r="E91" s="320">
        <v>5</v>
      </c>
      <c r="F91" s="320">
        <v>1</v>
      </c>
      <c r="G91" s="320">
        <v>10</v>
      </c>
      <c r="H91" s="237">
        <v>1188</v>
      </c>
      <c r="I91" s="193">
        <v>297</v>
      </c>
      <c r="J91" s="182">
        <f>(I91/F91)</f>
        <v>297</v>
      </c>
      <c r="K91" s="238">
        <f>H91/I91</f>
        <v>4</v>
      </c>
      <c r="L91" s="239">
        <f>11822.5+3468.5+3273+3742.5+3152+1092+927+1058+2153.5+1188</f>
        <v>31877</v>
      </c>
      <c r="M91" s="181">
        <f>827+293+410+398+368+137+124+170+462+297</f>
        <v>3486</v>
      </c>
      <c r="N91" s="256">
        <f>L91/M91</f>
        <v>9.144291451520367</v>
      </c>
      <c r="O91" s="191"/>
      <c r="P91" s="441"/>
      <c r="Q91" s="66"/>
      <c r="R91" s="66"/>
      <c r="S91" s="66"/>
      <c r="T91" s="66"/>
    </row>
    <row r="92" spans="1:20" ht="13.5" customHeight="1">
      <c r="A92" s="273">
        <v>88</v>
      </c>
      <c r="B92" s="257" t="s">
        <v>108</v>
      </c>
      <c r="C92" s="169">
        <v>39647</v>
      </c>
      <c r="D92" s="286" t="s">
        <v>17</v>
      </c>
      <c r="E92" s="285">
        <v>108</v>
      </c>
      <c r="F92" s="285">
        <v>1</v>
      </c>
      <c r="G92" s="285">
        <v>20</v>
      </c>
      <c r="H92" s="243">
        <v>3020</v>
      </c>
      <c r="I92" s="197">
        <v>604</v>
      </c>
      <c r="J92" s="179">
        <f>+I92/F92</f>
        <v>604</v>
      </c>
      <c r="K92" s="241">
        <f>+H92/I92</f>
        <v>5</v>
      </c>
      <c r="L92" s="244">
        <f>4275145.5+3020</f>
        <v>4278165.5</v>
      </c>
      <c r="M92" s="175">
        <f>437002+604</f>
        <v>437606</v>
      </c>
      <c r="N92" s="258">
        <f>IF(L92&lt;&gt;0,L92/M92,"")</f>
        <v>9.776295343299681</v>
      </c>
      <c r="O92" s="316"/>
      <c r="P92" s="441"/>
      <c r="Q92" s="66"/>
      <c r="R92" s="66"/>
      <c r="S92" s="66"/>
      <c r="T92" s="66"/>
    </row>
    <row r="93" spans="1:20" ht="13.5" customHeight="1">
      <c r="A93" s="273">
        <v>89</v>
      </c>
      <c r="B93" s="224" t="s">
        <v>126</v>
      </c>
      <c r="C93" s="169">
        <v>40452</v>
      </c>
      <c r="D93" s="323" t="s">
        <v>17</v>
      </c>
      <c r="E93" s="322">
        <v>67</v>
      </c>
      <c r="F93" s="322">
        <v>3</v>
      </c>
      <c r="G93" s="322">
        <v>12</v>
      </c>
      <c r="H93" s="243">
        <v>1188</v>
      </c>
      <c r="I93" s="197">
        <v>297</v>
      </c>
      <c r="J93" s="179">
        <f>IF(H93&lt;&gt;0,I93/F93,"")</f>
        <v>99</v>
      </c>
      <c r="K93" s="241">
        <f>IF(H93&lt;&gt;0,H93/I93,"")</f>
        <v>4</v>
      </c>
      <c r="L93" s="244">
        <f>148907+7057+8529+4040+573.5+1227+412+727+521+258+1188</f>
        <v>173439.5</v>
      </c>
      <c r="M93" s="175">
        <f>14954+1128+1323+621+141+331+59+105+73+51+297</f>
        <v>19083</v>
      </c>
      <c r="N93" s="258">
        <f>IF(L93&lt;&gt;0,L93/M93,"")</f>
        <v>9.08869150552848</v>
      </c>
      <c r="O93" s="190">
        <v>1</v>
      </c>
      <c r="P93" s="441"/>
      <c r="Q93" s="66"/>
      <c r="R93" s="66"/>
      <c r="S93" s="66"/>
      <c r="T93" s="66"/>
    </row>
    <row r="94" spans="1:20" ht="13.5" customHeight="1">
      <c r="A94" s="273">
        <v>90</v>
      </c>
      <c r="B94" s="224" t="s">
        <v>66</v>
      </c>
      <c r="C94" s="169">
        <v>40452</v>
      </c>
      <c r="D94" s="170" t="s">
        <v>17</v>
      </c>
      <c r="E94" s="322">
        <v>67</v>
      </c>
      <c r="F94" s="322">
        <v>3</v>
      </c>
      <c r="G94" s="322">
        <v>11</v>
      </c>
      <c r="H94" s="216">
        <v>258</v>
      </c>
      <c r="I94" s="197">
        <v>51</v>
      </c>
      <c r="J94" s="179">
        <f>IF(H94&lt;&gt;0,I94/F94,"")</f>
        <v>17</v>
      </c>
      <c r="K94" s="211">
        <f>IF(H94&lt;&gt;0,H94/I94,"")</f>
        <v>5.0588235294117645</v>
      </c>
      <c r="L94" s="217">
        <f>148907+7057+8529+4040+573.5+1227+412+727+521+H94</f>
        <v>172251.5</v>
      </c>
      <c r="M94" s="175">
        <f>14954+1128+1323+621+141+331+59+105+73+I94</f>
        <v>18786</v>
      </c>
      <c r="N94" s="223">
        <f>IF(L94&lt;&gt;0,L94/M94,"")</f>
        <v>9.16914191419142</v>
      </c>
      <c r="O94" s="189">
        <v>1</v>
      </c>
      <c r="P94" s="441"/>
      <c r="Q94" s="66"/>
      <c r="R94" s="66"/>
      <c r="S94" s="66"/>
      <c r="T94" s="66"/>
    </row>
    <row r="95" spans="1:20" ht="13.5" customHeight="1">
      <c r="A95" s="273">
        <v>91</v>
      </c>
      <c r="B95" s="396" t="s">
        <v>172</v>
      </c>
      <c r="C95" s="381">
        <v>40368</v>
      </c>
      <c r="D95" s="283" t="s">
        <v>120</v>
      </c>
      <c r="E95" s="382">
        <v>126</v>
      </c>
      <c r="F95" s="382">
        <v>1</v>
      </c>
      <c r="G95" s="382">
        <v>23</v>
      </c>
      <c r="H95" s="237">
        <v>1782</v>
      </c>
      <c r="I95" s="193">
        <v>445</v>
      </c>
      <c r="J95" s="182">
        <f>(I95/F95)</f>
        <v>445</v>
      </c>
      <c r="K95" s="238">
        <f>H95/I95</f>
        <v>4.004494382022472</v>
      </c>
      <c r="L95" s="239">
        <f>2106797.5+50230.5+32558.5+15249.5+15137+17418.5+7784.5+2808+2841.5+1328+2453+1693+613+726+713+1425.5+1782+1437+1782</f>
        <v>2264778</v>
      </c>
      <c r="M95" s="181">
        <f>220679+7944+5486+2451+2714+3159+1414+494+658+202+452+398+85+227+178+356+445+228+445</f>
        <v>248015</v>
      </c>
      <c r="N95" s="256">
        <f>L95/M95</f>
        <v>9.131617039291978</v>
      </c>
      <c r="O95" s="316"/>
      <c r="P95" s="441"/>
      <c r="Q95" s="66"/>
      <c r="R95" s="66"/>
      <c r="S95" s="66"/>
      <c r="T95" s="66"/>
    </row>
    <row r="96" spans="1:20" ht="13.5" customHeight="1">
      <c r="A96" s="273">
        <v>92</v>
      </c>
      <c r="B96" s="257" t="s">
        <v>81</v>
      </c>
      <c r="C96" s="169">
        <v>40480</v>
      </c>
      <c r="D96" s="286" t="s">
        <v>17</v>
      </c>
      <c r="E96" s="285">
        <v>71</v>
      </c>
      <c r="F96" s="285">
        <v>2</v>
      </c>
      <c r="G96" s="285">
        <v>11</v>
      </c>
      <c r="H96" s="243">
        <v>3270</v>
      </c>
      <c r="I96" s="197">
        <v>654</v>
      </c>
      <c r="J96" s="179">
        <f>IF(H96&lt;&gt;0,I96/F96,"")</f>
        <v>327</v>
      </c>
      <c r="K96" s="241">
        <f>IF(H96&lt;&gt;0,H96/I96,"")</f>
        <v>5</v>
      </c>
      <c r="L96" s="244">
        <f>72774.5+23673+5827+3625+7534.5+38620+936+11563+4979+496.5+3270</f>
        <v>173298.5</v>
      </c>
      <c r="M96" s="175">
        <f>8533+3652+916+601+1795+7393+145+2290+697+79+654</f>
        <v>26755</v>
      </c>
      <c r="N96" s="258">
        <f>IF(L96&lt;&gt;0,L96/M96,"")</f>
        <v>6.4772378994580455</v>
      </c>
      <c r="O96" s="316">
        <v>1</v>
      </c>
      <c r="P96" s="441"/>
      <c r="Q96" s="66"/>
      <c r="R96" s="66"/>
      <c r="S96" s="66"/>
      <c r="T96" s="66"/>
    </row>
    <row r="97" spans="1:20" ht="13.5" customHeight="1">
      <c r="A97" s="273">
        <v>93</v>
      </c>
      <c r="B97" s="224" t="s">
        <v>81</v>
      </c>
      <c r="C97" s="169">
        <v>40480</v>
      </c>
      <c r="D97" s="323" t="s">
        <v>17</v>
      </c>
      <c r="E97" s="322">
        <v>71</v>
      </c>
      <c r="F97" s="322">
        <v>1</v>
      </c>
      <c r="G97" s="322">
        <v>12</v>
      </c>
      <c r="H97" s="243">
        <v>526</v>
      </c>
      <c r="I97" s="197">
        <v>85</v>
      </c>
      <c r="J97" s="179">
        <f>IF(H97&lt;&gt;0,I97/F97,"")</f>
        <v>85</v>
      </c>
      <c r="K97" s="241">
        <f>IF(H97&lt;&gt;0,H97/I97,"")</f>
        <v>6.188235294117647</v>
      </c>
      <c r="L97" s="244">
        <f>72774.5+23673+5827+3625+7534.5+38620+936+11563+4979+496.5+3270+526</f>
        <v>173824.5</v>
      </c>
      <c r="M97" s="175">
        <f>8533+3652+916+601+1795+7393+145+2290+697+79+654+85</f>
        <v>26840</v>
      </c>
      <c r="N97" s="258">
        <f>IF(L97&lt;&gt;0,L97/M97,"")</f>
        <v>6.476322652757079</v>
      </c>
      <c r="O97" s="190">
        <v>1</v>
      </c>
      <c r="P97" s="441"/>
      <c r="Q97" s="66"/>
      <c r="R97" s="66"/>
      <c r="S97" s="66"/>
      <c r="T97" s="66"/>
    </row>
    <row r="98" spans="1:20" ht="13.5" customHeight="1">
      <c r="A98" s="273">
        <v>94</v>
      </c>
      <c r="B98" s="224" t="s">
        <v>81</v>
      </c>
      <c r="C98" s="169">
        <v>40480</v>
      </c>
      <c r="D98" s="170" t="s">
        <v>17</v>
      </c>
      <c r="E98" s="322">
        <v>71</v>
      </c>
      <c r="F98" s="322">
        <v>8</v>
      </c>
      <c r="G98" s="322">
        <v>10</v>
      </c>
      <c r="H98" s="216">
        <v>496.5</v>
      </c>
      <c r="I98" s="197">
        <v>79</v>
      </c>
      <c r="J98" s="179">
        <f>IF(H98&lt;&gt;0,I98/F98,"")</f>
        <v>9.875</v>
      </c>
      <c r="K98" s="211">
        <f>IF(H98&lt;&gt;0,H98/I98,"")</f>
        <v>6.284810126582278</v>
      </c>
      <c r="L98" s="217">
        <f>72774.5+23673+5827+3625+7534.5+38620+936+11563+4979+H98</f>
        <v>170028.5</v>
      </c>
      <c r="M98" s="175">
        <f>8533+3652+916+601+1795+7393+145+2290+697+I98</f>
        <v>26101</v>
      </c>
      <c r="N98" s="223">
        <f>IF(L98&lt;&gt;0,L98/M98,"")</f>
        <v>6.514252327497031</v>
      </c>
      <c r="O98" s="189">
        <v>1</v>
      </c>
      <c r="P98" s="441"/>
      <c r="Q98" s="66"/>
      <c r="R98" s="66"/>
      <c r="S98" s="66"/>
      <c r="T98" s="66"/>
    </row>
    <row r="99" spans="1:20" ht="13.5" customHeight="1">
      <c r="A99" s="273">
        <v>95</v>
      </c>
      <c r="B99" s="371" t="s">
        <v>147</v>
      </c>
      <c r="C99" s="169">
        <v>40067</v>
      </c>
      <c r="D99" s="323" t="s">
        <v>17</v>
      </c>
      <c r="E99" s="322">
        <v>105</v>
      </c>
      <c r="F99" s="322">
        <v>2</v>
      </c>
      <c r="G99" s="322">
        <v>48</v>
      </c>
      <c r="H99" s="243">
        <v>3071</v>
      </c>
      <c r="I99" s="197">
        <v>592</v>
      </c>
      <c r="J99" s="179">
        <f>IF(H99&lt;&gt;0,I99/F99,"")</f>
        <v>296</v>
      </c>
      <c r="K99" s="241">
        <f>IF(H99&lt;&gt;0,H99/I99,"")</f>
        <v>5.1875</v>
      </c>
      <c r="L99" s="244">
        <f>645861.5+391+1223+705+141+3564+3071</f>
        <v>654956.5</v>
      </c>
      <c r="M99" s="175">
        <f>78550+64+202+109+20+713+592</f>
        <v>80250</v>
      </c>
      <c r="N99" s="258">
        <f>IF(L99&lt;&gt;0,L99/M99,"")</f>
        <v>8.161451713395639</v>
      </c>
      <c r="O99" s="315"/>
      <c r="P99" s="441"/>
      <c r="Q99" s="66"/>
      <c r="R99" s="66"/>
      <c r="S99" s="66"/>
      <c r="T99" s="66"/>
    </row>
    <row r="100" spans="1:20" ht="13.5" customHeight="1">
      <c r="A100" s="273">
        <v>96</v>
      </c>
      <c r="B100" s="218" t="s">
        <v>15</v>
      </c>
      <c r="C100" s="173">
        <v>40473</v>
      </c>
      <c r="D100" s="283" t="s">
        <v>120</v>
      </c>
      <c r="E100" s="320">
        <v>30</v>
      </c>
      <c r="F100" s="320">
        <v>10</v>
      </c>
      <c r="G100" s="320">
        <v>11</v>
      </c>
      <c r="H100" s="204">
        <v>8357</v>
      </c>
      <c r="I100" s="193">
        <v>1374</v>
      </c>
      <c r="J100" s="182">
        <f aca="true" t="shared" si="16" ref="J100:J106">(I100/F100)</f>
        <v>137.4</v>
      </c>
      <c r="K100" s="205">
        <f aca="true" t="shared" si="17" ref="K100:K106">H100/I100</f>
        <v>6.082241630276565</v>
      </c>
      <c r="L100" s="206">
        <f>140269+106844+7979+4849+4700.5+7059+2232+1390+2769+13917+8357</f>
        <v>300365.5</v>
      </c>
      <c r="M100" s="181">
        <f>11518+8629+641+577+660+1341+325+348+324+2259+1374</f>
        <v>27996</v>
      </c>
      <c r="N100" s="219">
        <f aca="true" t="shared" si="18" ref="N100:N106">L100/M100</f>
        <v>10.728871981711674</v>
      </c>
      <c r="O100" s="191"/>
      <c r="P100" s="441"/>
      <c r="Q100" s="66"/>
      <c r="R100" s="66"/>
      <c r="S100" s="66"/>
      <c r="T100" s="66"/>
    </row>
    <row r="101" spans="1:20" ht="13.5" customHeight="1">
      <c r="A101" s="273">
        <v>97</v>
      </c>
      <c r="B101" s="309" t="s">
        <v>15</v>
      </c>
      <c r="C101" s="287">
        <v>40473</v>
      </c>
      <c r="D101" s="283" t="s">
        <v>120</v>
      </c>
      <c r="E101" s="288">
        <v>30</v>
      </c>
      <c r="F101" s="288">
        <v>3</v>
      </c>
      <c r="G101" s="288">
        <v>13</v>
      </c>
      <c r="H101" s="289">
        <v>4704</v>
      </c>
      <c r="I101" s="290">
        <v>506</v>
      </c>
      <c r="J101" s="291">
        <f t="shared" si="16"/>
        <v>168.66666666666666</v>
      </c>
      <c r="K101" s="292">
        <f t="shared" si="17"/>
        <v>9.296442687747035</v>
      </c>
      <c r="L101" s="293">
        <f>140269+106844+7979+4849+4700.5+7059+2232+1390+2769+13917+8357+891.5+4704</f>
        <v>305961</v>
      </c>
      <c r="M101" s="294">
        <f>11518+8629+641+577+660+1341+325+348+324+2259+1374+332+506</f>
        <v>28834</v>
      </c>
      <c r="N101" s="310">
        <f t="shared" si="18"/>
        <v>10.61111881806201</v>
      </c>
      <c r="O101" s="317"/>
      <c r="P101" s="441"/>
      <c r="Q101" s="66"/>
      <c r="R101" s="66"/>
      <c r="S101" s="66"/>
      <c r="T101" s="66"/>
    </row>
    <row r="102" spans="1:20" ht="13.5" customHeight="1">
      <c r="A102" s="273">
        <v>98</v>
      </c>
      <c r="B102" s="309" t="s">
        <v>15</v>
      </c>
      <c r="C102" s="287">
        <v>40473</v>
      </c>
      <c r="D102" s="283" t="s">
        <v>120</v>
      </c>
      <c r="E102" s="288">
        <v>30</v>
      </c>
      <c r="F102" s="288">
        <v>1</v>
      </c>
      <c r="G102" s="288">
        <v>14</v>
      </c>
      <c r="H102" s="289">
        <v>1307</v>
      </c>
      <c r="I102" s="290">
        <v>327</v>
      </c>
      <c r="J102" s="291">
        <f t="shared" si="16"/>
        <v>327</v>
      </c>
      <c r="K102" s="292">
        <f t="shared" si="17"/>
        <v>3.996941896024465</v>
      </c>
      <c r="L102" s="293">
        <f>140269+106844+7979+4849+4700.5+7059+2232+1390+2769+13917+8357+891.5+4704+1307</f>
        <v>307268</v>
      </c>
      <c r="M102" s="294">
        <f>11518+8629+641+577+660+1341+325+348+324+2259+1374+332+506+327</f>
        <v>29161</v>
      </c>
      <c r="N102" s="310">
        <f t="shared" si="18"/>
        <v>10.536950036006996</v>
      </c>
      <c r="O102" s="315"/>
      <c r="P102" s="441"/>
      <c r="Q102" s="66"/>
      <c r="R102" s="66"/>
      <c r="S102" s="66"/>
      <c r="T102" s="66"/>
    </row>
    <row r="103" spans="1:20" ht="13.5" customHeight="1">
      <c r="A103" s="273">
        <v>99</v>
      </c>
      <c r="B103" s="311" t="s">
        <v>15</v>
      </c>
      <c r="C103" s="374">
        <v>40473</v>
      </c>
      <c r="D103" s="283" t="s">
        <v>120</v>
      </c>
      <c r="E103" s="284">
        <v>30</v>
      </c>
      <c r="F103" s="284">
        <v>1</v>
      </c>
      <c r="G103" s="284">
        <v>15</v>
      </c>
      <c r="H103" s="237">
        <v>1076</v>
      </c>
      <c r="I103" s="193">
        <v>114</v>
      </c>
      <c r="J103" s="182">
        <f t="shared" si="16"/>
        <v>114</v>
      </c>
      <c r="K103" s="238">
        <f t="shared" si="17"/>
        <v>9.43859649122807</v>
      </c>
      <c r="L103" s="239">
        <f>140269+106844+7979+4849+4700.5+7059+2232+1390+2769+13917+8357+891.5+4704+1307+1076</f>
        <v>308344</v>
      </c>
      <c r="M103" s="181">
        <f>11518+8629+641+577+660+1341+325+348+324+2259+1374+332+506+327+114</f>
        <v>29275</v>
      </c>
      <c r="N103" s="256">
        <f t="shared" si="18"/>
        <v>10.53267292912041</v>
      </c>
      <c r="O103" s="316"/>
      <c r="P103" s="441"/>
      <c r="Q103" s="66"/>
      <c r="R103" s="66"/>
      <c r="S103" s="66"/>
      <c r="T103" s="66"/>
    </row>
    <row r="104" spans="1:20" ht="13.5" customHeight="1">
      <c r="A104" s="273">
        <v>100</v>
      </c>
      <c r="B104" s="251" t="s">
        <v>15</v>
      </c>
      <c r="C104" s="173">
        <v>40473</v>
      </c>
      <c r="D104" s="283" t="s">
        <v>120</v>
      </c>
      <c r="E104" s="320">
        <v>30</v>
      </c>
      <c r="F104" s="320">
        <v>1</v>
      </c>
      <c r="G104" s="320">
        <v>12</v>
      </c>
      <c r="H104" s="237">
        <v>891.5</v>
      </c>
      <c r="I104" s="193">
        <v>332</v>
      </c>
      <c r="J104" s="182">
        <f t="shared" si="16"/>
        <v>332</v>
      </c>
      <c r="K104" s="238">
        <f t="shared" si="17"/>
        <v>2.6852409638554215</v>
      </c>
      <c r="L104" s="239">
        <f>140269+106844+7979+4849+4700.5+7059+2232+1390+2769+13917+8357+891.5</f>
        <v>301257</v>
      </c>
      <c r="M104" s="181">
        <f>11518+8629+641+577+660+1341+325+348+324+2259+1374+332</f>
        <v>28328</v>
      </c>
      <c r="N104" s="256">
        <f t="shared" si="18"/>
        <v>10.63460180739904</v>
      </c>
      <c r="O104" s="191"/>
      <c r="P104" s="441"/>
      <c r="Q104" s="66"/>
      <c r="R104" s="66"/>
      <c r="S104" s="66"/>
      <c r="T104" s="66"/>
    </row>
    <row r="105" spans="1:20" ht="13.5" customHeight="1">
      <c r="A105" s="273">
        <v>101</v>
      </c>
      <c r="B105" s="228" t="s">
        <v>9</v>
      </c>
      <c r="C105" s="188">
        <v>40438</v>
      </c>
      <c r="D105" s="283" t="s">
        <v>120</v>
      </c>
      <c r="E105" s="329">
        <v>19</v>
      </c>
      <c r="F105" s="329">
        <v>1</v>
      </c>
      <c r="G105" s="329">
        <v>13</v>
      </c>
      <c r="H105" s="204">
        <v>1188</v>
      </c>
      <c r="I105" s="193">
        <v>297</v>
      </c>
      <c r="J105" s="182">
        <f t="shared" si="16"/>
        <v>297</v>
      </c>
      <c r="K105" s="205">
        <f t="shared" si="17"/>
        <v>4</v>
      </c>
      <c r="L105" s="206">
        <f>56752.5+38871+22868.5+4839+2786+2829.5+8012+670+1368+140+42+628+1188</f>
        <v>140994.5</v>
      </c>
      <c r="M105" s="181">
        <f>4639+3072+2103+531+316+368+936+83+203+20+6+98+297</f>
        <v>12672</v>
      </c>
      <c r="N105" s="219">
        <f t="shared" si="18"/>
        <v>11.12645991161616</v>
      </c>
      <c r="O105" s="189">
        <v>1</v>
      </c>
      <c r="P105" s="441"/>
      <c r="Q105" s="66"/>
      <c r="R105" s="66"/>
      <c r="S105" s="66"/>
      <c r="T105" s="66"/>
    </row>
    <row r="106" spans="1:20" ht="13.5" customHeight="1">
      <c r="A106" s="273">
        <v>102</v>
      </c>
      <c r="B106" s="311" t="s">
        <v>177</v>
      </c>
      <c r="C106" s="374">
        <v>39871</v>
      </c>
      <c r="D106" s="283" t="s">
        <v>120</v>
      </c>
      <c r="E106" s="284">
        <v>1</v>
      </c>
      <c r="F106" s="284">
        <v>1</v>
      </c>
      <c r="G106" s="284">
        <v>24</v>
      </c>
      <c r="H106" s="237">
        <v>952</v>
      </c>
      <c r="I106" s="193">
        <v>238</v>
      </c>
      <c r="J106" s="182">
        <f t="shared" si="16"/>
        <v>238</v>
      </c>
      <c r="K106" s="238">
        <f t="shared" si="17"/>
        <v>4</v>
      </c>
      <c r="L106" s="239">
        <f>1088+1510+1304+856+387+214+424+106+162+130+476+60.5+118+96+1664+1780+454+259.5+1188+119.5+1188+1780+1780+1780+952</f>
        <v>19876.5</v>
      </c>
      <c r="M106" s="181">
        <f>267+175+155+102+46+26+51+12+18+16+57+8+22+16+416+445+57+31+297+19+297+445+445+445+238</f>
        <v>4106</v>
      </c>
      <c r="N106" s="256">
        <f t="shared" si="18"/>
        <v>4.840842669264491</v>
      </c>
      <c r="O106" s="316"/>
      <c r="P106" s="441"/>
      <c r="Q106" s="66"/>
      <c r="R106" s="66"/>
      <c r="S106" s="66"/>
      <c r="T106" s="66"/>
    </row>
    <row r="107" spans="1:20" ht="13.5" customHeight="1">
      <c r="A107" s="273">
        <v>103</v>
      </c>
      <c r="B107" s="224" t="s">
        <v>58</v>
      </c>
      <c r="C107" s="169">
        <v>40529</v>
      </c>
      <c r="D107" s="170" t="s">
        <v>24</v>
      </c>
      <c r="E107" s="322">
        <v>72</v>
      </c>
      <c r="F107" s="322">
        <v>71</v>
      </c>
      <c r="G107" s="322">
        <v>3</v>
      </c>
      <c r="H107" s="201">
        <v>165182</v>
      </c>
      <c r="I107" s="192">
        <v>14707</v>
      </c>
      <c r="J107" s="172">
        <f aca="true" t="shared" si="19" ref="J107:J112">I107/F107</f>
        <v>207.14084507042253</v>
      </c>
      <c r="K107" s="208">
        <f>+H107/I107</f>
        <v>11.231522404297273</v>
      </c>
      <c r="L107" s="203">
        <v>909930</v>
      </c>
      <c r="M107" s="171">
        <v>83118</v>
      </c>
      <c r="N107" s="225">
        <f aca="true" t="shared" si="20" ref="N107:N113">+L107/M107</f>
        <v>10.94744820616473</v>
      </c>
      <c r="O107" s="190">
        <v>1</v>
      </c>
      <c r="P107" s="441"/>
      <c r="Q107" s="66"/>
      <c r="R107" s="66"/>
      <c r="S107" s="66"/>
      <c r="T107" s="66"/>
    </row>
    <row r="108" spans="1:20" ht="13.5" customHeight="1">
      <c r="A108" s="273">
        <v>104</v>
      </c>
      <c r="B108" s="257" t="s">
        <v>58</v>
      </c>
      <c r="C108" s="169">
        <v>40529</v>
      </c>
      <c r="D108" s="286" t="s">
        <v>24</v>
      </c>
      <c r="E108" s="285">
        <v>72</v>
      </c>
      <c r="F108" s="285">
        <v>3</v>
      </c>
      <c r="G108" s="285">
        <v>5</v>
      </c>
      <c r="H108" s="234">
        <v>3407</v>
      </c>
      <c r="I108" s="192">
        <v>461</v>
      </c>
      <c r="J108" s="172">
        <f t="shared" si="19"/>
        <v>153.66666666666666</v>
      </c>
      <c r="K108" s="235">
        <f>H108/I108</f>
        <v>7.390455531453362</v>
      </c>
      <c r="L108" s="236">
        <v>915738</v>
      </c>
      <c r="M108" s="171">
        <v>84149</v>
      </c>
      <c r="N108" s="254">
        <f t="shared" si="20"/>
        <v>10.88233965941366</v>
      </c>
      <c r="O108" s="316"/>
      <c r="P108" s="441"/>
      <c r="Q108" s="66"/>
      <c r="R108" s="66"/>
      <c r="S108" s="66"/>
      <c r="T108" s="66"/>
    </row>
    <row r="109" spans="1:20" ht="13.5" customHeight="1">
      <c r="A109" s="273">
        <v>105</v>
      </c>
      <c r="B109" s="253" t="s">
        <v>58</v>
      </c>
      <c r="C109" s="169">
        <v>40529</v>
      </c>
      <c r="D109" s="170" t="s">
        <v>24</v>
      </c>
      <c r="E109" s="322">
        <v>72</v>
      </c>
      <c r="F109" s="322">
        <v>2</v>
      </c>
      <c r="G109" s="322">
        <v>4</v>
      </c>
      <c r="H109" s="234">
        <v>2401</v>
      </c>
      <c r="I109" s="192">
        <v>570</v>
      </c>
      <c r="J109" s="172">
        <f t="shared" si="19"/>
        <v>285</v>
      </c>
      <c r="K109" s="235">
        <f>H109/I109</f>
        <v>4.212280701754386</v>
      </c>
      <c r="L109" s="236">
        <v>912331</v>
      </c>
      <c r="M109" s="171">
        <v>83688</v>
      </c>
      <c r="N109" s="254">
        <f t="shared" si="20"/>
        <v>10.901574897237358</v>
      </c>
      <c r="O109" s="190"/>
      <c r="P109" s="441"/>
      <c r="Q109" s="66"/>
      <c r="R109" s="66"/>
      <c r="S109" s="66"/>
      <c r="T109" s="66"/>
    </row>
    <row r="110" spans="1:20" ht="13.5" customHeight="1">
      <c r="A110" s="273">
        <v>106</v>
      </c>
      <c r="B110" s="253" t="s">
        <v>58</v>
      </c>
      <c r="C110" s="169">
        <v>40529</v>
      </c>
      <c r="D110" s="323" t="s">
        <v>24</v>
      </c>
      <c r="E110" s="322">
        <v>72</v>
      </c>
      <c r="F110" s="322">
        <v>4</v>
      </c>
      <c r="G110" s="322">
        <v>7</v>
      </c>
      <c r="H110" s="234">
        <v>2361</v>
      </c>
      <c r="I110" s="192">
        <v>403</v>
      </c>
      <c r="J110" s="172">
        <f t="shared" si="19"/>
        <v>100.75</v>
      </c>
      <c r="K110" s="235">
        <f>H110/I110</f>
        <v>5.858560794044665</v>
      </c>
      <c r="L110" s="236">
        <v>919279</v>
      </c>
      <c r="M110" s="171">
        <v>84735</v>
      </c>
      <c r="N110" s="254">
        <f t="shared" si="20"/>
        <v>10.848870006490824</v>
      </c>
      <c r="O110" s="315"/>
      <c r="P110" s="441"/>
      <c r="Q110" s="66"/>
      <c r="R110" s="66"/>
      <c r="S110" s="66"/>
      <c r="T110" s="66"/>
    </row>
    <row r="111" spans="1:20" ht="13.5" customHeight="1">
      <c r="A111" s="273">
        <v>107</v>
      </c>
      <c r="B111" s="224" t="s">
        <v>58</v>
      </c>
      <c r="C111" s="169">
        <v>40529</v>
      </c>
      <c r="D111" s="323" t="s">
        <v>24</v>
      </c>
      <c r="E111" s="322">
        <v>72</v>
      </c>
      <c r="F111" s="322">
        <v>2</v>
      </c>
      <c r="G111" s="322">
        <v>6</v>
      </c>
      <c r="H111" s="234">
        <v>1181</v>
      </c>
      <c r="I111" s="192">
        <v>183</v>
      </c>
      <c r="J111" s="172">
        <f t="shared" si="19"/>
        <v>91.5</v>
      </c>
      <c r="K111" s="235">
        <f>H111/I111</f>
        <v>6.453551912568306</v>
      </c>
      <c r="L111" s="236">
        <v>916919</v>
      </c>
      <c r="M111" s="171">
        <v>84332</v>
      </c>
      <c r="N111" s="254">
        <f t="shared" si="20"/>
        <v>10.87272921311009</v>
      </c>
      <c r="O111" s="189"/>
      <c r="P111" s="441"/>
      <c r="Q111" s="66"/>
      <c r="R111" s="66"/>
      <c r="S111" s="66"/>
      <c r="T111" s="66"/>
    </row>
    <row r="112" spans="1:20" ht="13.5" customHeight="1">
      <c r="A112" s="273">
        <v>108</v>
      </c>
      <c r="B112" s="257" t="s">
        <v>58</v>
      </c>
      <c r="C112" s="375">
        <v>40529</v>
      </c>
      <c r="D112" s="286" t="s">
        <v>24</v>
      </c>
      <c r="E112" s="285">
        <v>72</v>
      </c>
      <c r="F112" s="285">
        <v>1</v>
      </c>
      <c r="G112" s="285">
        <v>8</v>
      </c>
      <c r="H112" s="234">
        <v>500</v>
      </c>
      <c r="I112" s="192">
        <v>70</v>
      </c>
      <c r="J112" s="172">
        <f t="shared" si="19"/>
        <v>70</v>
      </c>
      <c r="K112" s="235">
        <f>H112/I112</f>
        <v>7.142857142857143</v>
      </c>
      <c r="L112" s="236">
        <v>919779</v>
      </c>
      <c r="M112" s="171">
        <v>84805</v>
      </c>
      <c r="N112" s="254">
        <f t="shared" si="20"/>
        <v>10.84581097812629</v>
      </c>
      <c r="O112" s="316"/>
      <c r="P112" s="441"/>
      <c r="Q112" s="66"/>
      <c r="R112" s="66"/>
      <c r="S112" s="66"/>
      <c r="T112" s="66"/>
    </row>
    <row r="113" spans="1:20" ht="13.5" customHeight="1">
      <c r="A113" s="273">
        <v>109</v>
      </c>
      <c r="B113" s="338" t="s">
        <v>110</v>
      </c>
      <c r="C113" s="298">
        <v>40480</v>
      </c>
      <c r="D113" s="321" t="s">
        <v>104</v>
      </c>
      <c r="E113" s="330">
        <v>15</v>
      </c>
      <c r="F113" s="330">
        <v>1</v>
      </c>
      <c r="G113" s="330">
        <v>9</v>
      </c>
      <c r="H113" s="300">
        <v>2135</v>
      </c>
      <c r="I113" s="301">
        <v>427</v>
      </c>
      <c r="J113" s="336">
        <v>427</v>
      </c>
      <c r="K113" s="337">
        <v>5</v>
      </c>
      <c r="L113" s="304">
        <v>60143</v>
      </c>
      <c r="M113" s="302">
        <v>6696</v>
      </c>
      <c r="N113" s="254">
        <f t="shared" si="20"/>
        <v>8.981929510155316</v>
      </c>
      <c r="O113" s="189"/>
      <c r="P113" s="441"/>
      <c r="Q113" s="66"/>
      <c r="R113" s="66"/>
      <c r="S113" s="66"/>
      <c r="T113" s="66"/>
    </row>
    <row r="114" spans="1:20" ht="13.5" customHeight="1">
      <c r="A114" s="273">
        <v>110</v>
      </c>
      <c r="B114" s="312" t="s">
        <v>110</v>
      </c>
      <c r="C114" s="298">
        <v>40480</v>
      </c>
      <c r="D114" s="297" t="s">
        <v>104</v>
      </c>
      <c r="E114" s="299">
        <v>15</v>
      </c>
      <c r="F114" s="299">
        <v>1</v>
      </c>
      <c r="G114" s="299">
        <v>7</v>
      </c>
      <c r="H114" s="300">
        <v>1779</v>
      </c>
      <c r="I114" s="301">
        <v>356</v>
      </c>
      <c r="J114" s="302">
        <v>356</v>
      </c>
      <c r="K114" s="303">
        <v>4.997191011235955</v>
      </c>
      <c r="L114" s="304">
        <v>57513</v>
      </c>
      <c r="M114" s="302">
        <v>6199</v>
      </c>
      <c r="N114" s="313">
        <v>9.277786739796742</v>
      </c>
      <c r="O114" s="316"/>
      <c r="P114" s="441"/>
      <c r="Q114" s="66"/>
      <c r="R114" s="66"/>
      <c r="S114" s="66"/>
      <c r="T114" s="66"/>
    </row>
    <row r="115" spans="1:20" ht="13.5" customHeight="1">
      <c r="A115" s="273">
        <v>111</v>
      </c>
      <c r="B115" s="327" t="s">
        <v>110</v>
      </c>
      <c r="C115" s="298">
        <v>40480</v>
      </c>
      <c r="D115" s="326" t="s">
        <v>123</v>
      </c>
      <c r="E115" s="330">
        <v>15</v>
      </c>
      <c r="F115" s="330">
        <v>1</v>
      </c>
      <c r="G115" s="330">
        <v>8</v>
      </c>
      <c r="H115" s="300">
        <v>495</v>
      </c>
      <c r="I115" s="301">
        <v>70</v>
      </c>
      <c r="J115" s="182">
        <f>(I115/F115)</f>
        <v>70</v>
      </c>
      <c r="K115" s="238">
        <f>H115/I115</f>
        <v>7.071428571428571</v>
      </c>
      <c r="L115" s="304">
        <v>58008</v>
      </c>
      <c r="M115" s="302">
        <v>6269</v>
      </c>
      <c r="N115" s="256">
        <f>L115/M115</f>
        <v>9.253150422714947</v>
      </c>
      <c r="O115" s="189"/>
      <c r="P115" s="441"/>
      <c r="Q115" s="66"/>
      <c r="R115" s="66"/>
      <c r="S115" s="66"/>
      <c r="T115" s="66"/>
    </row>
    <row r="116" spans="1:20" ht="13.5" customHeight="1">
      <c r="A116" s="273">
        <v>112</v>
      </c>
      <c r="B116" s="220" t="s">
        <v>72</v>
      </c>
      <c r="C116" s="173">
        <v>40536</v>
      </c>
      <c r="D116" s="174" t="s">
        <v>23</v>
      </c>
      <c r="E116" s="320">
        <v>91</v>
      </c>
      <c r="F116" s="320">
        <v>92</v>
      </c>
      <c r="G116" s="320">
        <v>2</v>
      </c>
      <c r="H116" s="207">
        <v>390086</v>
      </c>
      <c r="I116" s="194">
        <v>33581</v>
      </c>
      <c r="J116" s="175">
        <f aca="true" t="shared" si="21" ref="J116:J122">I116/F116</f>
        <v>365.0108695652174</v>
      </c>
      <c r="K116" s="208">
        <f aca="true" t="shared" si="22" ref="K116:K122">+H116/I116</f>
        <v>11.616271105684762</v>
      </c>
      <c r="L116" s="209">
        <v>972705</v>
      </c>
      <c r="M116" s="176">
        <v>84601</v>
      </c>
      <c r="N116" s="221">
        <f aca="true" t="shared" si="23" ref="N116:N122">+L116/M116</f>
        <v>11.497559130506732</v>
      </c>
      <c r="O116" s="189"/>
      <c r="P116" s="441"/>
      <c r="Q116" s="66"/>
      <c r="R116" s="66"/>
      <c r="S116" s="66"/>
      <c r="T116" s="66"/>
    </row>
    <row r="117" spans="1:20" ht="13.5" customHeight="1">
      <c r="A117" s="273">
        <v>113</v>
      </c>
      <c r="B117" s="255" t="s">
        <v>72</v>
      </c>
      <c r="C117" s="173">
        <v>40536</v>
      </c>
      <c r="D117" s="174" t="s">
        <v>23</v>
      </c>
      <c r="E117" s="320">
        <v>91</v>
      </c>
      <c r="F117" s="320">
        <v>90</v>
      </c>
      <c r="G117" s="320">
        <v>3</v>
      </c>
      <c r="H117" s="231">
        <v>191201</v>
      </c>
      <c r="I117" s="194">
        <v>16807</v>
      </c>
      <c r="J117" s="175">
        <f t="shared" si="21"/>
        <v>186.74444444444444</v>
      </c>
      <c r="K117" s="232">
        <f t="shared" si="22"/>
        <v>11.37627179151544</v>
      </c>
      <c r="L117" s="233">
        <v>1163906</v>
      </c>
      <c r="M117" s="176">
        <v>101408</v>
      </c>
      <c r="N117" s="252">
        <f t="shared" si="23"/>
        <v>11.477457399810666</v>
      </c>
      <c r="O117" s="265"/>
      <c r="P117" s="441"/>
      <c r="Q117" s="66"/>
      <c r="R117" s="66"/>
      <c r="S117" s="66"/>
      <c r="T117" s="66"/>
    </row>
    <row r="118" spans="1:20" ht="13.5" customHeight="1">
      <c r="A118" s="273">
        <v>114</v>
      </c>
      <c r="B118" s="307" t="s">
        <v>72</v>
      </c>
      <c r="C118" s="274">
        <v>40536</v>
      </c>
      <c r="D118" s="275" t="s">
        <v>23</v>
      </c>
      <c r="E118" s="276">
        <v>91</v>
      </c>
      <c r="F118" s="276">
        <v>22</v>
      </c>
      <c r="G118" s="276">
        <v>4</v>
      </c>
      <c r="H118" s="277">
        <v>28672</v>
      </c>
      <c r="I118" s="278">
        <v>2679</v>
      </c>
      <c r="J118" s="279">
        <f t="shared" si="21"/>
        <v>121.77272727272727</v>
      </c>
      <c r="K118" s="280">
        <f t="shared" si="22"/>
        <v>10.702500933184023</v>
      </c>
      <c r="L118" s="281">
        <v>1192578</v>
      </c>
      <c r="M118" s="282">
        <v>104087</v>
      </c>
      <c r="N118" s="308">
        <f t="shared" si="23"/>
        <v>11.45751150479887</v>
      </c>
      <c r="O118" s="315"/>
      <c r="P118" s="441"/>
      <c r="Q118" s="66"/>
      <c r="R118" s="66"/>
      <c r="S118" s="66"/>
      <c r="T118" s="66"/>
    </row>
    <row r="119" spans="1:20" ht="13.5" customHeight="1">
      <c r="A119" s="273">
        <v>115</v>
      </c>
      <c r="B119" s="220" t="s">
        <v>72</v>
      </c>
      <c r="C119" s="173">
        <v>40536</v>
      </c>
      <c r="D119" s="319" t="s">
        <v>23</v>
      </c>
      <c r="E119" s="320">
        <v>91</v>
      </c>
      <c r="F119" s="320">
        <v>6</v>
      </c>
      <c r="G119" s="320">
        <v>5</v>
      </c>
      <c r="H119" s="231">
        <v>2455</v>
      </c>
      <c r="I119" s="194">
        <v>339</v>
      </c>
      <c r="J119" s="175">
        <f t="shared" si="21"/>
        <v>56.5</v>
      </c>
      <c r="K119" s="232">
        <f t="shared" si="22"/>
        <v>7.241887905604719</v>
      </c>
      <c r="L119" s="233">
        <v>1195033</v>
      </c>
      <c r="M119" s="176">
        <v>104426</v>
      </c>
      <c r="N119" s="252">
        <f t="shared" si="23"/>
        <v>11.443826250167582</v>
      </c>
      <c r="O119" s="265"/>
      <c r="P119" s="441"/>
      <c r="Q119" s="66"/>
      <c r="R119" s="66"/>
      <c r="S119" s="66"/>
      <c r="T119" s="66"/>
    </row>
    <row r="120" spans="1:20" ht="13.5" customHeight="1">
      <c r="A120" s="273">
        <v>116</v>
      </c>
      <c r="B120" s="311" t="s">
        <v>72</v>
      </c>
      <c r="C120" s="374">
        <v>40536</v>
      </c>
      <c r="D120" s="283" t="s">
        <v>23</v>
      </c>
      <c r="E120" s="284">
        <v>91</v>
      </c>
      <c r="F120" s="284">
        <v>1</v>
      </c>
      <c r="G120" s="284">
        <v>9</v>
      </c>
      <c r="H120" s="231">
        <v>1546</v>
      </c>
      <c r="I120" s="194">
        <v>759</v>
      </c>
      <c r="J120" s="175">
        <f t="shared" si="21"/>
        <v>759</v>
      </c>
      <c r="K120" s="232">
        <f t="shared" si="22"/>
        <v>2.036890645586298</v>
      </c>
      <c r="L120" s="233">
        <v>1197983</v>
      </c>
      <c r="M120" s="176">
        <v>105389</v>
      </c>
      <c r="N120" s="252">
        <f t="shared" si="23"/>
        <v>11.367248953875642</v>
      </c>
      <c r="O120" s="316"/>
      <c r="P120" s="441"/>
      <c r="Q120" s="66"/>
      <c r="R120" s="66"/>
      <c r="S120" s="66"/>
      <c r="T120" s="66"/>
    </row>
    <row r="121" spans="1:20" ht="13.5" customHeight="1">
      <c r="A121" s="273">
        <v>117</v>
      </c>
      <c r="B121" s="255" t="s">
        <v>72</v>
      </c>
      <c r="C121" s="173">
        <v>40536</v>
      </c>
      <c r="D121" s="319" t="s">
        <v>23</v>
      </c>
      <c r="E121" s="320">
        <v>91</v>
      </c>
      <c r="F121" s="320">
        <v>1</v>
      </c>
      <c r="G121" s="320">
        <v>6</v>
      </c>
      <c r="H121" s="231">
        <v>901</v>
      </c>
      <c r="I121" s="194">
        <v>123</v>
      </c>
      <c r="J121" s="175">
        <f t="shared" si="21"/>
        <v>123</v>
      </c>
      <c r="K121" s="232">
        <f t="shared" si="22"/>
        <v>7.32520325203252</v>
      </c>
      <c r="L121" s="233">
        <v>1195880</v>
      </c>
      <c r="M121" s="176">
        <v>104549</v>
      </c>
      <c r="N121" s="254">
        <f t="shared" si="23"/>
        <v>11.438464260777243</v>
      </c>
      <c r="O121" s="189"/>
      <c r="P121" s="441"/>
      <c r="Q121" s="66"/>
      <c r="R121" s="66"/>
      <c r="S121" s="66"/>
      <c r="T121" s="66"/>
    </row>
    <row r="122" spans="1:20" ht="13.5" customHeight="1">
      <c r="A122" s="273">
        <v>118</v>
      </c>
      <c r="B122" s="307" t="s">
        <v>72</v>
      </c>
      <c r="C122" s="274">
        <v>40536</v>
      </c>
      <c r="D122" s="275" t="s">
        <v>23</v>
      </c>
      <c r="E122" s="276">
        <v>91</v>
      </c>
      <c r="F122" s="276">
        <v>1</v>
      </c>
      <c r="G122" s="276">
        <v>8</v>
      </c>
      <c r="H122" s="277">
        <v>557</v>
      </c>
      <c r="I122" s="278">
        <v>81</v>
      </c>
      <c r="J122" s="279">
        <f t="shared" si="21"/>
        <v>81</v>
      </c>
      <c r="K122" s="280">
        <f t="shared" si="22"/>
        <v>6.8765432098765435</v>
      </c>
      <c r="L122" s="281">
        <v>1196437</v>
      </c>
      <c r="M122" s="282">
        <v>104630</v>
      </c>
      <c r="N122" s="308">
        <f t="shared" si="23"/>
        <v>11.43493261970754</v>
      </c>
      <c r="O122" s="315"/>
      <c r="P122" s="441"/>
      <c r="Q122" s="66"/>
      <c r="R122" s="66"/>
      <c r="S122" s="66"/>
      <c r="T122" s="66"/>
    </row>
    <row r="123" spans="1:20" ht="13.5" customHeight="1">
      <c r="A123" s="273">
        <v>119</v>
      </c>
      <c r="B123" s="327" t="s">
        <v>124</v>
      </c>
      <c r="C123" s="298">
        <v>40193</v>
      </c>
      <c r="D123" s="283" t="s">
        <v>120</v>
      </c>
      <c r="E123" s="330">
        <v>55</v>
      </c>
      <c r="F123" s="330">
        <v>1</v>
      </c>
      <c r="G123" s="330">
        <v>29</v>
      </c>
      <c r="H123" s="237">
        <v>1782</v>
      </c>
      <c r="I123" s="193">
        <v>445</v>
      </c>
      <c r="J123" s="182">
        <f>(I123/F123)</f>
        <v>445</v>
      </c>
      <c r="K123" s="238">
        <f>H123/I123</f>
        <v>4.004494382022472</v>
      </c>
      <c r="L123" s="239">
        <f>197266+158498+94472.5+25746.5+5341+4975+4175+3550+3868+6158+8020+1277+951+3397+4599+198+566+1146+2247.5+174+31.5+2775.5+1188+735+2376+307+324+2613.5+1782</f>
        <v>538758</v>
      </c>
      <c r="M123" s="181">
        <f>19567+17056+12441+3194+866+909+697+693+818+1478+1988+298+238+832+1154+55+212+207+411+57+12+610+297+71+594+46+71+653+445</f>
        <v>65970</v>
      </c>
      <c r="N123" s="256">
        <f>L123/M123</f>
        <v>8.166712141882673</v>
      </c>
      <c r="O123" s="189"/>
      <c r="P123" s="441"/>
      <c r="Q123" s="66"/>
      <c r="R123" s="66"/>
      <c r="S123" s="66"/>
      <c r="T123" s="66"/>
    </row>
    <row r="124" spans="1:20" ht="13.5" customHeight="1">
      <c r="A124" s="273">
        <v>120</v>
      </c>
      <c r="B124" s="373" t="s">
        <v>124</v>
      </c>
      <c r="C124" s="368">
        <v>40193</v>
      </c>
      <c r="D124" s="283" t="s">
        <v>120</v>
      </c>
      <c r="E124" s="369">
        <v>55</v>
      </c>
      <c r="F124" s="369">
        <v>1</v>
      </c>
      <c r="G124" s="369">
        <v>30</v>
      </c>
      <c r="H124" s="237">
        <v>1782</v>
      </c>
      <c r="I124" s="193">
        <v>445</v>
      </c>
      <c r="J124" s="182">
        <f>(I124/F124)</f>
        <v>445</v>
      </c>
      <c r="K124" s="238">
        <f>H124/I124</f>
        <v>4.004494382022472</v>
      </c>
      <c r="L124" s="239">
        <f>197266+158498+94472.5+25746.5+5341+4975+4175+3550+3868+6158+8020+1277+951+3397+4599+198+566+1146+2247.5+174+31.5+2775.5+1188+735+2376+307+324+2613.5+1782+1782</f>
        <v>540540</v>
      </c>
      <c r="M124" s="181">
        <f>19567+17056+12441+3194+866+909+697+693+818+1478+1988+298+238+832+1154+55+212+207+411+57+12+610+297+71+594+46+71+653+445+445</f>
        <v>66415</v>
      </c>
      <c r="N124" s="256">
        <f>L124/M124</f>
        <v>8.138824060829633</v>
      </c>
      <c r="O124" s="315"/>
      <c r="P124" s="441"/>
      <c r="Q124" s="66"/>
      <c r="R124" s="66"/>
      <c r="S124" s="66"/>
      <c r="T124" s="66"/>
    </row>
    <row r="125" spans="1:20" ht="13.5" customHeight="1">
      <c r="A125" s="273">
        <v>121</v>
      </c>
      <c r="B125" s="218" t="s">
        <v>127</v>
      </c>
      <c r="C125" s="173">
        <v>40312</v>
      </c>
      <c r="D125" s="283" t="s">
        <v>120</v>
      </c>
      <c r="E125" s="320">
        <v>8</v>
      </c>
      <c r="F125" s="320">
        <v>1</v>
      </c>
      <c r="G125" s="320">
        <v>18</v>
      </c>
      <c r="H125" s="237">
        <v>1188</v>
      </c>
      <c r="I125" s="193">
        <v>297</v>
      </c>
      <c r="J125" s="182">
        <f>(I125/F125)</f>
        <v>297</v>
      </c>
      <c r="K125" s="238">
        <f>H125/I125</f>
        <v>4</v>
      </c>
      <c r="L125" s="239">
        <f>41764.5+663+13.5+1901+220.5+1188</f>
        <v>45750.5</v>
      </c>
      <c r="M125" s="181">
        <f>4847+89+1+475+63+297</f>
        <v>5772</v>
      </c>
      <c r="N125" s="256">
        <f>L125/M125</f>
        <v>7.926282051282051</v>
      </c>
      <c r="O125" s="189"/>
      <c r="P125" s="441"/>
      <c r="Q125" s="66"/>
      <c r="R125" s="66"/>
      <c r="S125" s="66"/>
      <c r="T125" s="66"/>
    </row>
    <row r="126" spans="1:20" ht="13.5" customHeight="1">
      <c r="A126" s="273">
        <v>122</v>
      </c>
      <c r="B126" s="220" t="s">
        <v>61</v>
      </c>
      <c r="C126" s="173">
        <v>40515</v>
      </c>
      <c r="D126" s="174" t="s">
        <v>23</v>
      </c>
      <c r="E126" s="320">
        <v>122</v>
      </c>
      <c r="F126" s="320">
        <v>7</v>
      </c>
      <c r="G126" s="320">
        <v>4</v>
      </c>
      <c r="H126" s="207">
        <v>4679</v>
      </c>
      <c r="I126" s="194">
        <v>723</v>
      </c>
      <c r="J126" s="175">
        <f>I126/F126</f>
        <v>103.28571428571429</v>
      </c>
      <c r="K126" s="208">
        <f>+H126/I126</f>
        <v>6.4716459197787</v>
      </c>
      <c r="L126" s="209">
        <v>611175</v>
      </c>
      <c r="M126" s="176">
        <v>72305</v>
      </c>
      <c r="N126" s="221">
        <f>+L126/M126</f>
        <v>8.452734942258488</v>
      </c>
      <c r="O126" s="190">
        <v>1</v>
      </c>
      <c r="P126" s="441"/>
      <c r="Q126" s="66"/>
      <c r="R126" s="66"/>
      <c r="S126" s="66"/>
      <c r="T126" s="66"/>
    </row>
    <row r="127" spans="1:20" ht="13.5" customHeight="1">
      <c r="A127" s="273">
        <v>123</v>
      </c>
      <c r="B127" s="255" t="s">
        <v>61</v>
      </c>
      <c r="C127" s="173">
        <v>40515</v>
      </c>
      <c r="D127" s="174" t="s">
        <v>23</v>
      </c>
      <c r="E127" s="320">
        <v>122</v>
      </c>
      <c r="F127" s="320">
        <v>2</v>
      </c>
      <c r="G127" s="320">
        <v>5</v>
      </c>
      <c r="H127" s="231">
        <v>474</v>
      </c>
      <c r="I127" s="194">
        <v>70</v>
      </c>
      <c r="J127" s="175">
        <f>I127/F127</f>
        <v>35</v>
      </c>
      <c r="K127" s="232">
        <f>+H127/I127</f>
        <v>6.771428571428571</v>
      </c>
      <c r="L127" s="233">
        <v>611649</v>
      </c>
      <c r="M127" s="176">
        <v>72375</v>
      </c>
      <c r="N127" s="252">
        <f>+L127/M127</f>
        <v>8.451108808290156</v>
      </c>
      <c r="O127" s="265">
        <v>1</v>
      </c>
      <c r="P127" s="441"/>
      <c r="Q127" s="66"/>
      <c r="R127" s="66"/>
      <c r="S127" s="66"/>
      <c r="T127" s="66"/>
    </row>
    <row r="128" spans="1:20" ht="13.5" customHeight="1">
      <c r="A128" s="273">
        <v>124</v>
      </c>
      <c r="B128" s="309" t="s">
        <v>112</v>
      </c>
      <c r="C128" s="287">
        <v>40389</v>
      </c>
      <c r="D128" s="283" t="s">
        <v>120</v>
      </c>
      <c r="E128" s="288">
        <v>19</v>
      </c>
      <c r="F128" s="288">
        <v>1</v>
      </c>
      <c r="G128" s="288">
        <v>13</v>
      </c>
      <c r="H128" s="289">
        <v>1307</v>
      </c>
      <c r="I128" s="290">
        <v>327</v>
      </c>
      <c r="J128" s="291">
        <f>(I128/F128)</f>
        <v>327</v>
      </c>
      <c r="K128" s="292">
        <f>H128/I128</f>
        <v>3.996941896024465</v>
      </c>
      <c r="L128" s="293">
        <f>69032+15425.5+9802+4755.5+7049.5+3610.5+8536+6024.5+2322+245+405.5+1307</f>
        <v>128515</v>
      </c>
      <c r="M128" s="294">
        <f>5509+1589+1417+704+842+602+1038+829+323+37+46+327</f>
        <v>13263</v>
      </c>
      <c r="N128" s="310">
        <f>L128/M128</f>
        <v>9.68973836990123</v>
      </c>
      <c r="O128" s="317"/>
      <c r="P128" s="441"/>
      <c r="Q128" s="66"/>
      <c r="R128" s="66"/>
      <c r="S128" s="66"/>
      <c r="T128" s="66"/>
    </row>
    <row r="129" spans="1:20" ht="13.5" customHeight="1">
      <c r="A129" s="273">
        <v>125</v>
      </c>
      <c r="B129" s="222" t="s">
        <v>11</v>
      </c>
      <c r="C129" s="169">
        <v>40459</v>
      </c>
      <c r="D129" s="177" t="s">
        <v>27</v>
      </c>
      <c r="E129" s="285">
        <v>50</v>
      </c>
      <c r="F129" s="285">
        <v>5</v>
      </c>
      <c r="G129" s="285">
        <v>13</v>
      </c>
      <c r="H129" s="210">
        <v>4218</v>
      </c>
      <c r="I129" s="196">
        <v>597</v>
      </c>
      <c r="J129" s="179">
        <f>+I129/F129</f>
        <v>119.4</v>
      </c>
      <c r="K129" s="211">
        <f>+H129/I129</f>
        <v>7.065326633165829</v>
      </c>
      <c r="L129" s="212">
        <v>377106</v>
      </c>
      <c r="M129" s="178">
        <v>34343</v>
      </c>
      <c r="N129" s="223">
        <f>+L129/M129</f>
        <v>10.980578283784178</v>
      </c>
      <c r="O129" s="189"/>
      <c r="P129" s="441"/>
      <c r="Q129" s="66"/>
      <c r="R129" s="66"/>
      <c r="S129" s="66"/>
      <c r="T129" s="66"/>
    </row>
    <row r="130" spans="1:20" ht="13.5" customHeight="1">
      <c r="A130" s="273">
        <v>126</v>
      </c>
      <c r="B130" s="257" t="s">
        <v>11</v>
      </c>
      <c r="C130" s="169">
        <v>40459</v>
      </c>
      <c r="D130" s="177" t="s">
        <v>27</v>
      </c>
      <c r="E130" s="285">
        <v>50</v>
      </c>
      <c r="F130" s="285">
        <v>1</v>
      </c>
      <c r="G130" s="285">
        <v>14</v>
      </c>
      <c r="H130" s="240">
        <v>62</v>
      </c>
      <c r="I130" s="196">
        <v>10</v>
      </c>
      <c r="J130" s="179">
        <f>+I130/F130</f>
        <v>10</v>
      </c>
      <c r="K130" s="241">
        <f>+H130/I130</f>
        <v>6.2</v>
      </c>
      <c r="L130" s="242">
        <v>377168</v>
      </c>
      <c r="M130" s="178">
        <v>34353</v>
      </c>
      <c r="N130" s="258">
        <f>+L130/M130</f>
        <v>10.979186679474864</v>
      </c>
      <c r="O130" s="190"/>
      <c r="P130" s="441"/>
      <c r="Q130" s="66"/>
      <c r="R130" s="66"/>
      <c r="S130" s="66"/>
      <c r="T130" s="66"/>
    </row>
    <row r="131" spans="1:20" ht="15">
      <c r="A131" s="273">
        <v>127</v>
      </c>
      <c r="B131" s="218" t="s">
        <v>80</v>
      </c>
      <c r="C131" s="173">
        <v>40480</v>
      </c>
      <c r="D131" s="180" t="s">
        <v>26</v>
      </c>
      <c r="E131" s="320">
        <v>135</v>
      </c>
      <c r="F131" s="320">
        <v>5</v>
      </c>
      <c r="G131" s="320">
        <v>10</v>
      </c>
      <c r="H131" s="207">
        <v>604</v>
      </c>
      <c r="I131" s="194">
        <v>91</v>
      </c>
      <c r="J131" s="179">
        <f>IF(H131&lt;&gt;0,I131/F131,"")</f>
        <v>18.2</v>
      </c>
      <c r="K131" s="211">
        <f>IF(H131&lt;&gt;0,H131/I131,"")</f>
        <v>6.637362637362638</v>
      </c>
      <c r="L131" s="209">
        <f>151771.5+44278.5+20156+4831.5+5960.5+2697+3743.5+81+2518+2320+604</f>
        <v>238961.5</v>
      </c>
      <c r="M131" s="175">
        <f>19003+7410+3277+795+995+475+746+11+433+386+91</f>
        <v>33622</v>
      </c>
      <c r="N131" s="223">
        <f>IF(L131&lt;&gt;0,L131/M131,"")</f>
        <v>7.107295818214264</v>
      </c>
      <c r="O131" s="190">
        <v>1</v>
      </c>
      <c r="P131" s="441"/>
      <c r="Q131" s="66"/>
      <c r="R131" s="66"/>
      <c r="S131" s="66"/>
      <c r="T131" s="66"/>
    </row>
    <row r="132" spans="1:20" ht="15">
      <c r="A132" s="273">
        <v>128</v>
      </c>
      <c r="B132" s="251" t="s">
        <v>80</v>
      </c>
      <c r="C132" s="173">
        <v>40480</v>
      </c>
      <c r="D132" s="180" t="s">
        <v>26</v>
      </c>
      <c r="E132" s="320">
        <v>135</v>
      </c>
      <c r="F132" s="320">
        <v>1</v>
      </c>
      <c r="G132" s="320">
        <v>11</v>
      </c>
      <c r="H132" s="231">
        <v>265</v>
      </c>
      <c r="I132" s="194">
        <v>52</v>
      </c>
      <c r="J132" s="175">
        <f>I132/F132</f>
        <v>52</v>
      </c>
      <c r="K132" s="232">
        <f>H132/I132</f>
        <v>5.096153846153846</v>
      </c>
      <c r="L132" s="233">
        <f>151771.5+44278.5+20156+4831.5+5960.5+2697+3743.5+81+2518+2320+604+265</f>
        <v>239226.5</v>
      </c>
      <c r="M132" s="175">
        <f>19003+7410+3277+795+995+475+746+11+433+386+91+52</f>
        <v>33674</v>
      </c>
      <c r="N132" s="252">
        <f>L132/M132</f>
        <v>7.10419017639722</v>
      </c>
      <c r="O132" s="190">
        <v>1</v>
      </c>
      <c r="P132" s="441"/>
      <c r="Q132" s="66"/>
      <c r="R132" s="66"/>
      <c r="S132" s="66"/>
      <c r="T132" s="66"/>
    </row>
    <row r="133" spans="1:20" ht="15">
      <c r="A133" s="273">
        <v>129</v>
      </c>
      <c r="B133" s="222" t="s">
        <v>75</v>
      </c>
      <c r="C133" s="169">
        <v>40487</v>
      </c>
      <c r="D133" s="177" t="s">
        <v>27</v>
      </c>
      <c r="E133" s="285">
        <v>312</v>
      </c>
      <c r="F133" s="285">
        <v>86</v>
      </c>
      <c r="G133" s="285">
        <v>9</v>
      </c>
      <c r="H133" s="210">
        <v>125458</v>
      </c>
      <c r="I133" s="196">
        <v>15869</v>
      </c>
      <c r="J133" s="179">
        <f>+I133/F133</f>
        <v>184.52325581395348</v>
      </c>
      <c r="K133" s="211">
        <f>+H133/I133</f>
        <v>7.90585418110782</v>
      </c>
      <c r="L133" s="212">
        <v>31622053</v>
      </c>
      <c r="M133" s="178">
        <v>3470958</v>
      </c>
      <c r="N133" s="223">
        <f>+L133/M133</f>
        <v>9.110468349084028</v>
      </c>
      <c r="O133" s="190">
        <v>1</v>
      </c>
      <c r="P133" s="441"/>
      <c r="Q133" s="66"/>
      <c r="R133" s="66"/>
      <c r="S133" s="66"/>
      <c r="T133" s="66"/>
    </row>
    <row r="134" spans="1:20" ht="15">
      <c r="A134" s="273">
        <v>130</v>
      </c>
      <c r="B134" s="257" t="s">
        <v>91</v>
      </c>
      <c r="C134" s="169">
        <v>40487</v>
      </c>
      <c r="D134" s="177" t="s">
        <v>27</v>
      </c>
      <c r="E134" s="285">
        <v>312</v>
      </c>
      <c r="F134" s="285">
        <v>19</v>
      </c>
      <c r="G134" s="285">
        <v>10</v>
      </c>
      <c r="H134" s="240">
        <v>12589</v>
      </c>
      <c r="I134" s="196">
        <v>1965</v>
      </c>
      <c r="J134" s="179">
        <f>+I134/F134</f>
        <v>103.42105263157895</v>
      </c>
      <c r="K134" s="241">
        <f>+H134/I134</f>
        <v>6.406615776081425</v>
      </c>
      <c r="L134" s="242">
        <v>31634642</v>
      </c>
      <c r="M134" s="178">
        <v>3472923</v>
      </c>
      <c r="N134" s="258">
        <f>+L134/M134</f>
        <v>9.108938493597469</v>
      </c>
      <c r="O134" s="190">
        <v>1</v>
      </c>
      <c r="P134" s="441"/>
      <c r="Q134" s="66"/>
      <c r="R134" s="66"/>
      <c r="S134" s="66"/>
      <c r="T134" s="66"/>
    </row>
    <row r="135" spans="1:20" ht="15">
      <c r="A135" s="273">
        <v>131</v>
      </c>
      <c r="B135" s="257" t="s">
        <v>91</v>
      </c>
      <c r="C135" s="169">
        <v>40487</v>
      </c>
      <c r="D135" s="286" t="s">
        <v>27</v>
      </c>
      <c r="E135" s="285">
        <v>312</v>
      </c>
      <c r="F135" s="285">
        <v>12</v>
      </c>
      <c r="G135" s="285">
        <v>11</v>
      </c>
      <c r="H135" s="240">
        <v>5621</v>
      </c>
      <c r="I135" s="196">
        <v>841</v>
      </c>
      <c r="J135" s="179">
        <f>+I135/F135</f>
        <v>70.08333333333333</v>
      </c>
      <c r="K135" s="241">
        <f>+H135/I135</f>
        <v>6.683709869203329</v>
      </c>
      <c r="L135" s="242">
        <v>31640263</v>
      </c>
      <c r="M135" s="178">
        <v>3473764</v>
      </c>
      <c r="N135" s="258">
        <f>+L135/M135</f>
        <v>9.108351344535784</v>
      </c>
      <c r="O135" s="316">
        <v>1</v>
      </c>
      <c r="P135" s="441"/>
      <c r="Q135" s="66"/>
      <c r="R135" s="66"/>
      <c r="S135" s="66"/>
      <c r="T135" s="66"/>
    </row>
    <row r="136" spans="1:20" ht="15">
      <c r="A136" s="273">
        <v>132</v>
      </c>
      <c r="B136" s="222" t="s">
        <v>75</v>
      </c>
      <c r="C136" s="169">
        <v>40487</v>
      </c>
      <c r="D136" s="324" t="s">
        <v>27</v>
      </c>
      <c r="E136" s="285">
        <v>312</v>
      </c>
      <c r="F136" s="285">
        <v>7</v>
      </c>
      <c r="G136" s="285">
        <v>12</v>
      </c>
      <c r="H136" s="240">
        <v>4990</v>
      </c>
      <c r="I136" s="196">
        <v>695</v>
      </c>
      <c r="J136" s="182">
        <f>(I136/F136)</f>
        <v>99.28571428571429</v>
      </c>
      <c r="K136" s="238">
        <f>H136/I136</f>
        <v>7.179856115107913</v>
      </c>
      <c r="L136" s="242">
        <v>31645253</v>
      </c>
      <c r="M136" s="178">
        <v>3474459</v>
      </c>
      <c r="N136" s="256">
        <f>L136/M136</f>
        <v>9.107965585433588</v>
      </c>
      <c r="O136" s="189">
        <v>1</v>
      </c>
      <c r="P136" s="441"/>
      <c r="Q136" s="66"/>
      <c r="R136" s="66"/>
      <c r="S136" s="66"/>
      <c r="T136" s="66"/>
    </row>
    <row r="137" spans="1:20" ht="15">
      <c r="A137" s="273">
        <v>133</v>
      </c>
      <c r="B137" s="218" t="s">
        <v>82</v>
      </c>
      <c r="C137" s="173">
        <v>40473</v>
      </c>
      <c r="D137" s="180" t="s">
        <v>26</v>
      </c>
      <c r="E137" s="320">
        <v>36</v>
      </c>
      <c r="F137" s="320">
        <v>1</v>
      </c>
      <c r="G137" s="320">
        <v>8</v>
      </c>
      <c r="H137" s="207">
        <v>172</v>
      </c>
      <c r="I137" s="194">
        <v>27</v>
      </c>
      <c r="J137" s="179">
        <f>IF(H137&lt;&gt;0,I137/F137,"")</f>
        <v>27</v>
      </c>
      <c r="K137" s="211">
        <f>IF(H137&lt;&gt;0,H137/I137,"")</f>
        <v>6.37037037037037</v>
      </c>
      <c r="L137" s="209">
        <f>34961.5+23009.5+1351+805+533+530+156+172</f>
        <v>61518</v>
      </c>
      <c r="M137" s="175">
        <f>4408+3132+214+122+62+78+26+27</f>
        <v>8069</v>
      </c>
      <c r="N137" s="223">
        <f>IF(L137&lt;&gt;0,L137/M137,"")</f>
        <v>7.6239930598587184</v>
      </c>
      <c r="O137" s="189"/>
      <c r="P137" s="441"/>
      <c r="Q137" s="66"/>
      <c r="R137" s="66"/>
      <c r="S137" s="66"/>
      <c r="T137" s="66"/>
    </row>
    <row r="138" spans="1:20" ht="15">
      <c r="A138" s="273">
        <v>134</v>
      </c>
      <c r="B138" s="218" t="s">
        <v>19</v>
      </c>
      <c r="C138" s="173">
        <v>40515</v>
      </c>
      <c r="D138" s="283" t="s">
        <v>120</v>
      </c>
      <c r="E138" s="320">
        <v>62</v>
      </c>
      <c r="F138" s="320">
        <v>62</v>
      </c>
      <c r="G138" s="320">
        <v>5</v>
      </c>
      <c r="H138" s="204">
        <v>47812</v>
      </c>
      <c r="I138" s="193">
        <v>7581</v>
      </c>
      <c r="J138" s="182">
        <f aca="true" t="shared" si="24" ref="J138:J145">(I138/F138)</f>
        <v>122.2741935483871</v>
      </c>
      <c r="K138" s="205">
        <f aca="true" t="shared" si="25" ref="K138:K145">H138/I138</f>
        <v>6.3068196807809</v>
      </c>
      <c r="L138" s="206">
        <f>353151+191248+132731.5+71376+47812</f>
        <v>796318.5</v>
      </c>
      <c r="M138" s="181">
        <f>34650+19352+14525+10591+7581</f>
        <v>86699</v>
      </c>
      <c r="N138" s="219">
        <f aca="true" t="shared" si="26" ref="N138:N145">L138/M138</f>
        <v>9.184863723918385</v>
      </c>
      <c r="O138" s="189">
        <v>1</v>
      </c>
      <c r="P138" s="441"/>
      <c r="Q138" s="66"/>
      <c r="R138" s="66"/>
      <c r="S138" s="66"/>
      <c r="T138" s="66"/>
    </row>
    <row r="139" spans="1:20" ht="15">
      <c r="A139" s="273">
        <v>135</v>
      </c>
      <c r="B139" s="311" t="s">
        <v>19</v>
      </c>
      <c r="C139" s="173">
        <v>40515</v>
      </c>
      <c r="D139" s="283" t="s">
        <v>120</v>
      </c>
      <c r="E139" s="284">
        <v>62</v>
      </c>
      <c r="F139" s="284">
        <v>28</v>
      </c>
      <c r="G139" s="284">
        <v>10</v>
      </c>
      <c r="H139" s="237">
        <v>42312</v>
      </c>
      <c r="I139" s="193">
        <v>6589</v>
      </c>
      <c r="J139" s="182">
        <f t="shared" si="24"/>
        <v>235.32142857142858</v>
      </c>
      <c r="K139" s="238">
        <f t="shared" si="25"/>
        <v>6.421611777204432</v>
      </c>
      <c r="L139" s="239">
        <f>353151+191248+132731.5+71376+47862+26248.5+19265+34650.5+35095.5+42312</f>
        <v>953940</v>
      </c>
      <c r="M139" s="181">
        <f>34650+19352+14525+10591+7581+5012+3223+6065+6865+6589</f>
        <v>114453</v>
      </c>
      <c r="N139" s="256">
        <f t="shared" si="26"/>
        <v>8.334774973133076</v>
      </c>
      <c r="O139" s="356"/>
      <c r="P139" s="441"/>
      <c r="Q139" s="66"/>
      <c r="R139" s="66"/>
      <c r="S139" s="66"/>
      <c r="T139" s="66"/>
    </row>
    <row r="140" spans="1:20" ht="15">
      <c r="A140" s="273">
        <v>136</v>
      </c>
      <c r="B140" s="251" t="s">
        <v>19</v>
      </c>
      <c r="C140" s="173">
        <v>40515</v>
      </c>
      <c r="D140" s="283" t="s">
        <v>120</v>
      </c>
      <c r="E140" s="320">
        <v>62</v>
      </c>
      <c r="F140" s="320">
        <v>37</v>
      </c>
      <c r="G140" s="320">
        <v>9</v>
      </c>
      <c r="H140" s="237">
        <v>35095.5</v>
      </c>
      <c r="I140" s="193">
        <v>6865</v>
      </c>
      <c r="J140" s="182">
        <f t="shared" si="24"/>
        <v>185.54054054054055</v>
      </c>
      <c r="K140" s="238">
        <f t="shared" si="25"/>
        <v>5.112235979606701</v>
      </c>
      <c r="L140" s="239">
        <f>353151+191248+132731.5+71376+47862+26248.5+19265+34650.5+35095.5</f>
        <v>911628</v>
      </c>
      <c r="M140" s="181">
        <f>34650+19352+14525+10591+7581+5012+3223+6065+6865</f>
        <v>107864</v>
      </c>
      <c r="N140" s="256">
        <f t="shared" si="26"/>
        <v>8.451642809463769</v>
      </c>
      <c r="O140" s="189"/>
      <c r="P140" s="441"/>
      <c r="Q140" s="66"/>
      <c r="R140" s="66"/>
      <c r="S140" s="66"/>
      <c r="T140" s="66"/>
    </row>
    <row r="141" spans="1:20" ht="15">
      <c r="A141" s="273">
        <v>137</v>
      </c>
      <c r="B141" s="218" t="s">
        <v>19</v>
      </c>
      <c r="C141" s="173">
        <v>40515</v>
      </c>
      <c r="D141" s="283" t="s">
        <v>120</v>
      </c>
      <c r="E141" s="320">
        <v>62</v>
      </c>
      <c r="F141" s="320">
        <v>36</v>
      </c>
      <c r="G141" s="320">
        <v>8</v>
      </c>
      <c r="H141" s="237">
        <v>34650.5</v>
      </c>
      <c r="I141" s="193">
        <v>6065</v>
      </c>
      <c r="J141" s="182">
        <f t="shared" si="24"/>
        <v>168.47222222222223</v>
      </c>
      <c r="K141" s="238">
        <f t="shared" si="25"/>
        <v>5.713190436933224</v>
      </c>
      <c r="L141" s="239">
        <f>353151+191248+132731.5+71376+47862+26248.5+19265+34650.5</f>
        <v>876532.5</v>
      </c>
      <c r="M141" s="181">
        <f>34650+19352+14525+10591+7581+5012+3223+6065</f>
        <v>100999</v>
      </c>
      <c r="N141" s="256">
        <f t="shared" si="26"/>
        <v>8.678625530945851</v>
      </c>
      <c r="O141" s="189"/>
      <c r="P141" s="441"/>
      <c r="Q141" s="66"/>
      <c r="R141" s="66"/>
      <c r="S141" s="66"/>
      <c r="T141" s="66"/>
    </row>
    <row r="142" spans="1:20" ht="15">
      <c r="A142" s="273">
        <v>138</v>
      </c>
      <c r="B142" s="251" t="s">
        <v>19</v>
      </c>
      <c r="C142" s="173">
        <v>40515</v>
      </c>
      <c r="D142" s="283" t="s">
        <v>120</v>
      </c>
      <c r="E142" s="320">
        <v>62</v>
      </c>
      <c r="F142" s="320">
        <v>42</v>
      </c>
      <c r="G142" s="320">
        <v>6</v>
      </c>
      <c r="H142" s="237">
        <v>26248.5</v>
      </c>
      <c r="I142" s="193">
        <v>5012</v>
      </c>
      <c r="J142" s="182">
        <f t="shared" si="24"/>
        <v>119.33333333333333</v>
      </c>
      <c r="K142" s="238">
        <f t="shared" si="25"/>
        <v>5.237130885873903</v>
      </c>
      <c r="L142" s="239">
        <f>353151+191248+132731.5+71376+47862+26248.5</f>
        <v>822617</v>
      </c>
      <c r="M142" s="181">
        <f>34650+19352+14525+10591+7581+5012</f>
        <v>91711</v>
      </c>
      <c r="N142" s="256">
        <f t="shared" si="26"/>
        <v>8.96966557991953</v>
      </c>
      <c r="O142" s="191"/>
      <c r="P142" s="441"/>
      <c r="Q142" s="66"/>
      <c r="R142" s="66"/>
      <c r="S142" s="66"/>
      <c r="T142" s="66"/>
    </row>
    <row r="143" spans="1:20" ht="15">
      <c r="A143" s="273">
        <v>139</v>
      </c>
      <c r="B143" s="309" t="s">
        <v>19</v>
      </c>
      <c r="C143" s="287">
        <v>40515</v>
      </c>
      <c r="D143" s="283" t="s">
        <v>120</v>
      </c>
      <c r="E143" s="288">
        <v>62</v>
      </c>
      <c r="F143" s="288">
        <v>26</v>
      </c>
      <c r="G143" s="288">
        <v>11</v>
      </c>
      <c r="H143" s="289">
        <v>25849</v>
      </c>
      <c r="I143" s="290">
        <v>3930</v>
      </c>
      <c r="J143" s="291">
        <f t="shared" si="24"/>
        <v>151.15384615384616</v>
      </c>
      <c r="K143" s="292">
        <f t="shared" si="25"/>
        <v>6.57735368956743</v>
      </c>
      <c r="L143" s="293">
        <f>353151+191248+132731.5+71376+47862+26248.5+19265+34650.5+35095.5+42312+25849</f>
        <v>979789</v>
      </c>
      <c r="M143" s="294">
        <f>34650+19352+14525+10591+7581+5012+3223+6065+6865+6589+3930</f>
        <v>118383</v>
      </c>
      <c r="N143" s="310">
        <f t="shared" si="26"/>
        <v>8.276433271669074</v>
      </c>
      <c r="O143" s="315"/>
      <c r="P143" s="441"/>
      <c r="Q143" s="66"/>
      <c r="R143" s="66"/>
      <c r="S143" s="66"/>
      <c r="T143" s="66"/>
    </row>
    <row r="144" spans="1:20" ht="15">
      <c r="A144" s="273">
        <v>140</v>
      </c>
      <c r="B144" s="309" t="s">
        <v>19</v>
      </c>
      <c r="C144" s="287">
        <v>40515</v>
      </c>
      <c r="D144" s="283" t="s">
        <v>120</v>
      </c>
      <c r="E144" s="288">
        <v>62</v>
      </c>
      <c r="F144" s="288">
        <v>37</v>
      </c>
      <c r="G144" s="288">
        <v>7</v>
      </c>
      <c r="H144" s="289">
        <v>19265</v>
      </c>
      <c r="I144" s="290">
        <v>3223</v>
      </c>
      <c r="J144" s="291">
        <f t="shared" si="24"/>
        <v>87.10810810810811</v>
      </c>
      <c r="K144" s="292">
        <f t="shared" si="25"/>
        <v>5.977350294756438</v>
      </c>
      <c r="L144" s="293">
        <f>353151+191248+132731.5+71376+47862+26248.5+19265</f>
        <v>841882</v>
      </c>
      <c r="M144" s="294">
        <f>34650+19352+14525+10591+7581+5012+3223</f>
        <v>94934</v>
      </c>
      <c r="N144" s="310">
        <f t="shared" si="26"/>
        <v>8.868076769123812</v>
      </c>
      <c r="O144" s="317"/>
      <c r="P144" s="441"/>
      <c r="Q144" s="66"/>
      <c r="R144" s="66"/>
      <c r="S144" s="66"/>
      <c r="T144" s="66"/>
    </row>
    <row r="145" spans="1:20" ht="15">
      <c r="A145" s="273">
        <v>141</v>
      </c>
      <c r="B145" s="311" t="s">
        <v>19</v>
      </c>
      <c r="C145" s="374">
        <v>40515</v>
      </c>
      <c r="D145" s="283" t="s">
        <v>120</v>
      </c>
      <c r="E145" s="284">
        <v>62</v>
      </c>
      <c r="F145" s="284">
        <v>17</v>
      </c>
      <c r="G145" s="284">
        <v>12</v>
      </c>
      <c r="H145" s="237">
        <v>10987</v>
      </c>
      <c r="I145" s="193">
        <v>1782</v>
      </c>
      <c r="J145" s="182">
        <f t="shared" si="24"/>
        <v>104.82352941176471</v>
      </c>
      <c r="K145" s="238">
        <f t="shared" si="25"/>
        <v>6.165544332210999</v>
      </c>
      <c r="L145" s="239">
        <f>353151+191248+132731.5+71376+47862+26248.5+19265+34650.5+35095.5+42312+25849+10987</f>
        <v>990776</v>
      </c>
      <c r="M145" s="181">
        <f>34650+19352+14525+10591+7581+5012+3223+6065+6865+6589+3930+1782</f>
        <v>120165</v>
      </c>
      <c r="N145" s="256">
        <f t="shared" si="26"/>
        <v>8.245129613448176</v>
      </c>
      <c r="O145" s="316"/>
      <c r="P145" s="441"/>
      <c r="Q145" s="66"/>
      <c r="R145" s="66"/>
      <c r="S145" s="66"/>
      <c r="T145" s="66"/>
    </row>
    <row r="146" spans="1:20" ht="15">
      <c r="A146" s="273">
        <v>142</v>
      </c>
      <c r="B146" s="220" t="s">
        <v>77</v>
      </c>
      <c r="C146" s="173">
        <v>40487</v>
      </c>
      <c r="D146" s="174" t="s">
        <v>23</v>
      </c>
      <c r="E146" s="320">
        <v>205</v>
      </c>
      <c r="F146" s="320">
        <v>3</v>
      </c>
      <c r="G146" s="320">
        <v>9</v>
      </c>
      <c r="H146" s="207">
        <v>2650</v>
      </c>
      <c r="I146" s="194">
        <v>405</v>
      </c>
      <c r="J146" s="175">
        <f>I146/F146</f>
        <v>135</v>
      </c>
      <c r="K146" s="208">
        <f>+H146/I146</f>
        <v>6.54320987654321</v>
      </c>
      <c r="L146" s="209">
        <v>1135918</v>
      </c>
      <c r="M146" s="176">
        <v>131505</v>
      </c>
      <c r="N146" s="221">
        <f>+L146/M146</f>
        <v>8.637831261168778</v>
      </c>
      <c r="O146" s="189"/>
      <c r="P146" s="441"/>
      <c r="Q146" s="66"/>
      <c r="R146" s="66"/>
      <c r="S146" s="66"/>
      <c r="T146" s="66"/>
    </row>
    <row r="147" spans="1:20" ht="15">
      <c r="A147" s="273">
        <v>143</v>
      </c>
      <c r="B147" s="220" t="s">
        <v>13</v>
      </c>
      <c r="C147" s="173">
        <v>40473</v>
      </c>
      <c r="D147" s="174" t="s">
        <v>23</v>
      </c>
      <c r="E147" s="320">
        <v>100</v>
      </c>
      <c r="F147" s="320">
        <v>1</v>
      </c>
      <c r="G147" s="320">
        <v>11</v>
      </c>
      <c r="H147" s="207">
        <v>846</v>
      </c>
      <c r="I147" s="194">
        <v>141</v>
      </c>
      <c r="J147" s="175">
        <f>I147/F147</f>
        <v>141</v>
      </c>
      <c r="K147" s="208">
        <f>+H147/I147</f>
        <v>6</v>
      </c>
      <c r="L147" s="209">
        <v>1818047</v>
      </c>
      <c r="M147" s="176">
        <v>188946</v>
      </c>
      <c r="N147" s="221">
        <f>+L147/M147</f>
        <v>9.622045452139766</v>
      </c>
      <c r="O147" s="191">
        <v>1</v>
      </c>
      <c r="P147" s="441"/>
      <c r="Q147" s="66"/>
      <c r="R147" s="66"/>
      <c r="S147" s="66"/>
      <c r="T147" s="66"/>
    </row>
    <row r="148" spans="1:20" ht="15">
      <c r="A148" s="273">
        <v>144</v>
      </c>
      <c r="B148" s="262" t="s">
        <v>93</v>
      </c>
      <c r="C148" s="188">
        <v>40347</v>
      </c>
      <c r="D148" s="283" t="s">
        <v>120</v>
      </c>
      <c r="E148" s="329">
        <v>66</v>
      </c>
      <c r="F148" s="329">
        <v>3</v>
      </c>
      <c r="G148" s="329">
        <v>27</v>
      </c>
      <c r="H148" s="237">
        <v>3382</v>
      </c>
      <c r="I148" s="193">
        <v>852</v>
      </c>
      <c r="J148" s="182">
        <f>(I148/F148)</f>
        <v>284</v>
      </c>
      <c r="K148" s="238">
        <f>H148/I148</f>
        <v>3.9694835680751175</v>
      </c>
      <c r="L148" s="239">
        <f>478213+7083+3309.5+6055+4900+8378+4378.5+2349+3103+2074+7679.5+6108+2991.5+2180+2234+642+2775.5+1757+1151+3382</f>
        <v>550743.5</v>
      </c>
      <c r="M148" s="181">
        <f>55327+1259+553+1133+756+1285+650+408+682+334+1688+1394+539+483+475+201+677+260+202+852</f>
        <v>69158</v>
      </c>
      <c r="N148" s="256">
        <f>L148/M148</f>
        <v>7.963554469475693</v>
      </c>
      <c r="O148" s="191"/>
      <c r="P148" s="441"/>
      <c r="Q148" s="66"/>
      <c r="R148" s="66"/>
      <c r="S148" s="66"/>
      <c r="T148" s="66"/>
    </row>
    <row r="149" spans="1:20" ht="15">
      <c r="A149" s="273">
        <v>145</v>
      </c>
      <c r="B149" s="262" t="s">
        <v>93</v>
      </c>
      <c r="C149" s="188">
        <v>40347</v>
      </c>
      <c r="D149" s="283" t="s">
        <v>120</v>
      </c>
      <c r="E149" s="329">
        <v>66</v>
      </c>
      <c r="F149" s="329">
        <v>1</v>
      </c>
      <c r="G149" s="329">
        <v>29</v>
      </c>
      <c r="H149" s="237">
        <v>1782</v>
      </c>
      <c r="I149" s="193">
        <v>445</v>
      </c>
      <c r="J149" s="182">
        <f>(I149/F149)</f>
        <v>445</v>
      </c>
      <c r="K149" s="238">
        <f>H149/I149</f>
        <v>4.004494382022472</v>
      </c>
      <c r="L149" s="239">
        <f>478213+7083+3309.5+6055+4900+8378+4378.5+2349+3103+2074+7679.5+6108+2991.5+2180+2234+642+2775.5+1757+1151+3382+60+1782</f>
        <v>552585.5</v>
      </c>
      <c r="M149" s="181">
        <f>55327+1259+553+1133+756+1285+650+408+682+334+1688+1394+539+483+475+201+677+260+202+852+20+445</f>
        <v>69623</v>
      </c>
      <c r="N149" s="256">
        <f>L149/M149</f>
        <v>7.936824038033408</v>
      </c>
      <c r="O149" s="189"/>
      <c r="P149" s="441"/>
      <c r="Q149" s="66"/>
      <c r="R149" s="66"/>
      <c r="S149" s="66"/>
      <c r="T149" s="66"/>
    </row>
    <row r="150" spans="1:20" ht="15">
      <c r="A150" s="273">
        <v>146</v>
      </c>
      <c r="B150" s="314" t="s">
        <v>93</v>
      </c>
      <c r="C150" s="305">
        <v>40347</v>
      </c>
      <c r="D150" s="283" t="s">
        <v>120</v>
      </c>
      <c r="E150" s="306">
        <v>66</v>
      </c>
      <c r="F150" s="306">
        <v>1</v>
      </c>
      <c r="G150" s="306">
        <v>28</v>
      </c>
      <c r="H150" s="289">
        <v>60</v>
      </c>
      <c r="I150" s="290">
        <v>20</v>
      </c>
      <c r="J150" s="291">
        <f>(I150/F150)</f>
        <v>20</v>
      </c>
      <c r="K150" s="292">
        <f>H150/I150</f>
        <v>3</v>
      </c>
      <c r="L150" s="293">
        <f>478213+7083+3309.5+6055+4900+8378+4378.5+2349+3103+2074+7679.5+6108+2991.5+2180+2234+642+2775.5+1757+1151+3382+60</f>
        <v>550803.5</v>
      </c>
      <c r="M150" s="294">
        <f>55327+1259+553+1133+756+1285+650+408+682+334+1688+1394+539+483+475+201+677+260+202+852+20</f>
        <v>69178</v>
      </c>
      <c r="N150" s="310">
        <f>L150/M150</f>
        <v>7.962119459943913</v>
      </c>
      <c r="O150" s="317"/>
      <c r="P150" s="441"/>
      <c r="Q150" s="66"/>
      <c r="R150" s="66"/>
      <c r="S150" s="66"/>
      <c r="T150" s="66"/>
    </row>
    <row r="151" spans="1:20" ht="15">
      <c r="A151" s="273">
        <v>147</v>
      </c>
      <c r="B151" s="224" t="s">
        <v>78</v>
      </c>
      <c r="C151" s="169">
        <v>38764</v>
      </c>
      <c r="D151" s="170" t="s">
        <v>17</v>
      </c>
      <c r="E151" s="322">
        <v>113</v>
      </c>
      <c r="F151" s="322">
        <v>1</v>
      </c>
      <c r="G151" s="322">
        <v>20</v>
      </c>
      <c r="H151" s="216">
        <v>2014</v>
      </c>
      <c r="I151" s="197">
        <v>403</v>
      </c>
      <c r="J151" s="179">
        <f>IF(H151&lt;&gt;0,I151/F151,"")</f>
        <v>403</v>
      </c>
      <c r="K151" s="211">
        <f>IF(H151&lt;&gt;0,H151/I151,"")</f>
        <v>4.997518610421836</v>
      </c>
      <c r="L151" s="217">
        <f>1551334+0+1188+H151</f>
        <v>1554536</v>
      </c>
      <c r="M151" s="175">
        <f>207370+0+238+I151</f>
        <v>208011</v>
      </c>
      <c r="N151" s="223">
        <f>IF(L151&lt;&gt;0,L151/M151,"")</f>
        <v>7.473335544754844</v>
      </c>
      <c r="O151" s="191"/>
      <c r="P151" s="441"/>
      <c r="Q151" s="66"/>
      <c r="R151" s="66"/>
      <c r="S151" s="66"/>
      <c r="T151" s="66"/>
    </row>
    <row r="152" spans="1:20" ht="15">
      <c r="A152" s="273">
        <v>148</v>
      </c>
      <c r="B152" s="311" t="s">
        <v>178</v>
      </c>
      <c r="C152" s="374">
        <v>40025</v>
      </c>
      <c r="D152" s="283" t="s">
        <v>120</v>
      </c>
      <c r="E152" s="284">
        <v>1</v>
      </c>
      <c r="F152" s="284">
        <v>1</v>
      </c>
      <c r="G152" s="284">
        <v>9</v>
      </c>
      <c r="H152" s="237">
        <v>952</v>
      </c>
      <c r="I152" s="193">
        <v>238</v>
      </c>
      <c r="J152" s="182">
        <f>(I152/F152)</f>
        <v>238</v>
      </c>
      <c r="K152" s="238">
        <f aca="true" t="shared" si="27" ref="K152:K161">H152/I152</f>
        <v>4</v>
      </c>
      <c r="L152" s="239">
        <f>6157+1979.5+2138+815+825+343+114+159+952</f>
        <v>13482.5</v>
      </c>
      <c r="M152" s="181">
        <f>452+147+247+163+165+40+19+36+238</f>
        <v>1507</v>
      </c>
      <c r="N152" s="256">
        <f>L152/M152</f>
        <v>8.946582614465827</v>
      </c>
      <c r="O152" s="316"/>
      <c r="P152" s="441"/>
      <c r="Q152" s="66"/>
      <c r="R152" s="66"/>
      <c r="S152" s="66"/>
      <c r="T152" s="66"/>
    </row>
    <row r="153" spans="1:20" ht="15">
      <c r="A153" s="273">
        <v>149</v>
      </c>
      <c r="B153" s="222" t="s">
        <v>68</v>
      </c>
      <c r="C153" s="169">
        <v>40501</v>
      </c>
      <c r="D153" s="183" t="s">
        <v>25</v>
      </c>
      <c r="E153" s="285">
        <v>121</v>
      </c>
      <c r="F153" s="285">
        <v>18</v>
      </c>
      <c r="G153" s="285">
        <v>7</v>
      </c>
      <c r="H153" s="213">
        <v>10646</v>
      </c>
      <c r="I153" s="195">
        <v>2164</v>
      </c>
      <c r="J153" s="185">
        <f>I153/F153</f>
        <v>120.22222222222223</v>
      </c>
      <c r="K153" s="214">
        <f t="shared" si="27"/>
        <v>4.919593345656192</v>
      </c>
      <c r="L153" s="215">
        <v>1582988</v>
      </c>
      <c r="M153" s="184">
        <v>158006</v>
      </c>
      <c r="N153" s="227">
        <f>+L153/M153</f>
        <v>10.018530941862966</v>
      </c>
      <c r="O153" s="189"/>
      <c r="P153" s="441"/>
      <c r="Q153" s="66"/>
      <c r="R153" s="66"/>
      <c r="S153" s="66"/>
      <c r="T153" s="66"/>
    </row>
    <row r="154" spans="1:20" ht="15">
      <c r="A154" s="273">
        <v>150</v>
      </c>
      <c r="B154" s="257" t="s">
        <v>68</v>
      </c>
      <c r="C154" s="169">
        <v>40501</v>
      </c>
      <c r="D154" s="183" t="s">
        <v>25</v>
      </c>
      <c r="E154" s="285">
        <v>121</v>
      </c>
      <c r="F154" s="285">
        <v>6</v>
      </c>
      <c r="G154" s="285">
        <v>8</v>
      </c>
      <c r="H154" s="248">
        <v>6256</v>
      </c>
      <c r="I154" s="195">
        <v>1715</v>
      </c>
      <c r="J154" s="185">
        <f>I154/F154</f>
        <v>285.8333333333333</v>
      </c>
      <c r="K154" s="249">
        <f t="shared" si="27"/>
        <v>3.647813411078717</v>
      </c>
      <c r="L154" s="250">
        <v>1589244</v>
      </c>
      <c r="M154" s="184">
        <v>159721</v>
      </c>
      <c r="N154" s="261">
        <f>+L154/M154</f>
        <v>9.95012553139537</v>
      </c>
      <c r="O154" s="190">
        <v>1</v>
      </c>
      <c r="P154" s="441"/>
      <c r="Q154" s="66"/>
      <c r="R154" s="66"/>
      <c r="S154" s="66"/>
      <c r="T154" s="66"/>
    </row>
    <row r="155" spans="1:20" ht="15">
      <c r="A155" s="273">
        <v>151</v>
      </c>
      <c r="B155" s="222" t="s">
        <v>68</v>
      </c>
      <c r="C155" s="169">
        <v>40501</v>
      </c>
      <c r="D155" s="286" t="s">
        <v>25</v>
      </c>
      <c r="E155" s="285">
        <v>121</v>
      </c>
      <c r="F155" s="285">
        <v>4</v>
      </c>
      <c r="G155" s="285">
        <v>10</v>
      </c>
      <c r="H155" s="248">
        <v>4266.5</v>
      </c>
      <c r="I155" s="195">
        <v>780</v>
      </c>
      <c r="J155" s="182">
        <f>(I155/F155)</f>
        <v>195</v>
      </c>
      <c r="K155" s="238">
        <f t="shared" si="27"/>
        <v>5.4698717948717945</v>
      </c>
      <c r="L155" s="250">
        <v>1596605</v>
      </c>
      <c r="M155" s="184">
        <v>161481</v>
      </c>
      <c r="N155" s="256">
        <f>L155/M155</f>
        <v>9.887262278534317</v>
      </c>
      <c r="O155" s="189">
        <v>1</v>
      </c>
      <c r="P155" s="441"/>
      <c r="Q155" s="66"/>
      <c r="R155" s="66"/>
      <c r="S155" s="66"/>
      <c r="T155" s="66"/>
    </row>
    <row r="156" spans="1:20" ht="15">
      <c r="A156" s="273">
        <v>152</v>
      </c>
      <c r="B156" s="257" t="s">
        <v>142</v>
      </c>
      <c r="C156" s="169">
        <v>40501</v>
      </c>
      <c r="D156" s="286" t="s">
        <v>25</v>
      </c>
      <c r="E156" s="285">
        <v>121</v>
      </c>
      <c r="F156" s="285">
        <v>3</v>
      </c>
      <c r="G156" s="285">
        <v>12</v>
      </c>
      <c r="H156" s="248">
        <v>1882</v>
      </c>
      <c r="I156" s="195">
        <v>579</v>
      </c>
      <c r="J156" s="185">
        <f>I156/F156</f>
        <v>193</v>
      </c>
      <c r="K156" s="249">
        <f t="shared" si="27"/>
        <v>3.250431778929188</v>
      </c>
      <c r="L156" s="250">
        <v>1599042</v>
      </c>
      <c r="M156" s="184">
        <v>162149</v>
      </c>
      <c r="N156" s="261">
        <f>+L156/M156</f>
        <v>9.86155942990706</v>
      </c>
      <c r="O156" s="356"/>
      <c r="P156" s="441"/>
      <c r="Q156" s="66"/>
      <c r="R156" s="66"/>
      <c r="S156" s="66"/>
      <c r="T156" s="66"/>
    </row>
    <row r="157" spans="1:20" ht="15">
      <c r="A157" s="273">
        <v>153</v>
      </c>
      <c r="B157" s="257" t="s">
        <v>68</v>
      </c>
      <c r="C157" s="169">
        <v>40501</v>
      </c>
      <c r="D157" s="286" t="s">
        <v>25</v>
      </c>
      <c r="E157" s="285">
        <v>121</v>
      </c>
      <c r="F157" s="285">
        <v>2</v>
      </c>
      <c r="G157" s="285">
        <v>13</v>
      </c>
      <c r="H157" s="248">
        <v>1565</v>
      </c>
      <c r="I157" s="195">
        <v>369</v>
      </c>
      <c r="J157" s="185">
        <f>I157/F157</f>
        <v>184.5</v>
      </c>
      <c r="K157" s="249">
        <f t="shared" si="27"/>
        <v>4.2411924119241196</v>
      </c>
      <c r="L157" s="250">
        <v>1601521</v>
      </c>
      <c r="M157" s="184">
        <v>162757</v>
      </c>
      <c r="N157" s="261">
        <f>+L157/M157</f>
        <v>9.839951584263657</v>
      </c>
      <c r="O157" s="315">
        <v>1</v>
      </c>
      <c r="P157" s="441"/>
      <c r="Q157" s="66"/>
      <c r="R157" s="66"/>
      <c r="S157" s="66"/>
      <c r="T157" s="66"/>
    </row>
    <row r="158" spans="1:20" ht="15">
      <c r="A158" s="273">
        <v>154</v>
      </c>
      <c r="B158" s="257" t="s">
        <v>113</v>
      </c>
      <c r="C158" s="169">
        <v>40501</v>
      </c>
      <c r="D158" s="286" t="s">
        <v>25</v>
      </c>
      <c r="E158" s="285">
        <v>121</v>
      </c>
      <c r="F158" s="285">
        <v>3</v>
      </c>
      <c r="G158" s="285">
        <v>9</v>
      </c>
      <c r="H158" s="248">
        <v>1204</v>
      </c>
      <c r="I158" s="195">
        <v>296</v>
      </c>
      <c r="J158" s="185">
        <f>I158/F158</f>
        <v>98.66666666666667</v>
      </c>
      <c r="K158" s="249">
        <f t="shared" si="27"/>
        <v>4.0675675675675675</v>
      </c>
      <c r="L158" s="250">
        <v>1592338</v>
      </c>
      <c r="M158" s="184">
        <v>160701</v>
      </c>
      <c r="N158" s="261">
        <f>+L158/M158</f>
        <v>9.908700008089557</v>
      </c>
      <c r="O158" s="189">
        <v>1</v>
      </c>
      <c r="P158" s="441"/>
      <c r="Q158" s="66"/>
      <c r="R158" s="66"/>
      <c r="S158" s="66"/>
      <c r="T158" s="66"/>
    </row>
    <row r="159" spans="1:20" ht="15">
      <c r="A159" s="273">
        <v>155</v>
      </c>
      <c r="B159" s="257" t="s">
        <v>113</v>
      </c>
      <c r="C159" s="169">
        <v>40501</v>
      </c>
      <c r="D159" s="286" t="s">
        <v>25</v>
      </c>
      <c r="E159" s="285">
        <v>121</v>
      </c>
      <c r="F159" s="285">
        <v>2</v>
      </c>
      <c r="G159" s="285">
        <v>11</v>
      </c>
      <c r="H159" s="248">
        <v>556</v>
      </c>
      <c r="I159" s="195">
        <v>89</v>
      </c>
      <c r="J159" s="185">
        <f>I159/F159</f>
        <v>44.5</v>
      </c>
      <c r="K159" s="249">
        <f t="shared" si="27"/>
        <v>6.247191011235955</v>
      </c>
      <c r="L159" s="250">
        <v>1597161</v>
      </c>
      <c r="M159" s="184">
        <v>161570</v>
      </c>
      <c r="N159" s="254">
        <f>+L159/M159</f>
        <v>9.88525716407749</v>
      </c>
      <c r="O159" s="189">
        <v>1</v>
      </c>
      <c r="P159" s="441"/>
      <c r="Q159" s="66"/>
      <c r="R159" s="66"/>
      <c r="S159" s="66"/>
      <c r="T159" s="66"/>
    </row>
    <row r="160" spans="1:20" ht="15">
      <c r="A160" s="273">
        <v>156</v>
      </c>
      <c r="B160" s="309" t="s">
        <v>151</v>
      </c>
      <c r="C160" s="287">
        <v>40466</v>
      </c>
      <c r="D160" s="283" t="s">
        <v>120</v>
      </c>
      <c r="E160" s="288">
        <v>139</v>
      </c>
      <c r="F160" s="288">
        <v>1</v>
      </c>
      <c r="G160" s="288">
        <v>12</v>
      </c>
      <c r="H160" s="237">
        <v>770</v>
      </c>
      <c r="I160" s="193">
        <v>44</v>
      </c>
      <c r="J160" s="182">
        <f>(I160/F160)</f>
        <v>44</v>
      </c>
      <c r="K160" s="238">
        <f t="shared" si="27"/>
        <v>17.5</v>
      </c>
      <c r="L160" s="239">
        <f>859399.5+611922.5+597511+92540.5+35432.5+12313+8417+3230+2786+1901+208.5+770</f>
        <v>2226431.5</v>
      </c>
      <c r="M160" s="181">
        <f>81834+61457+58453+8463+3493+2070+1395+1040+668+474+59+44</f>
        <v>219450</v>
      </c>
      <c r="N160" s="256">
        <f>L160/M160</f>
        <v>10.14550694919116</v>
      </c>
      <c r="O160" s="315"/>
      <c r="P160" s="441"/>
      <c r="Q160" s="66"/>
      <c r="R160" s="66"/>
      <c r="S160" s="66"/>
      <c r="T160" s="66"/>
    </row>
    <row r="161" spans="1:20" ht="15">
      <c r="A161" s="273">
        <v>157</v>
      </c>
      <c r="B161" s="218" t="s">
        <v>128</v>
      </c>
      <c r="C161" s="173">
        <v>40466</v>
      </c>
      <c r="D161" s="283" t="s">
        <v>120</v>
      </c>
      <c r="E161" s="320">
        <v>139</v>
      </c>
      <c r="F161" s="320">
        <v>1</v>
      </c>
      <c r="G161" s="320">
        <v>11</v>
      </c>
      <c r="H161" s="237">
        <v>208.5</v>
      </c>
      <c r="I161" s="193">
        <v>59</v>
      </c>
      <c r="J161" s="182">
        <f>(I161/F161)</f>
        <v>59</v>
      </c>
      <c r="K161" s="238">
        <f t="shared" si="27"/>
        <v>3.5338983050847457</v>
      </c>
      <c r="L161" s="239">
        <f>859399.5+611922.5+597511+92540.5+35432.5+12313+8417+3230+2786+1901+208.5</f>
        <v>2225661.5</v>
      </c>
      <c r="M161" s="181">
        <f>81834+61457+58453+8463+3493+2070+1395+1040+668+474+59</f>
        <v>219406</v>
      </c>
      <c r="N161" s="256">
        <f>L161/M161</f>
        <v>10.14403206840287</v>
      </c>
      <c r="O161" s="189"/>
      <c r="P161" s="441"/>
      <c r="Q161" s="66"/>
      <c r="R161" s="66"/>
      <c r="S161" s="66"/>
      <c r="T161" s="66"/>
    </row>
    <row r="162" spans="1:20" ht="15">
      <c r="A162" s="273">
        <v>158</v>
      </c>
      <c r="B162" s="222" t="s">
        <v>0</v>
      </c>
      <c r="C162" s="169">
        <v>40431</v>
      </c>
      <c r="D162" s="177" t="s">
        <v>27</v>
      </c>
      <c r="E162" s="285">
        <v>124</v>
      </c>
      <c r="F162" s="285">
        <v>1</v>
      </c>
      <c r="G162" s="285">
        <v>12</v>
      </c>
      <c r="H162" s="210">
        <v>567</v>
      </c>
      <c r="I162" s="196">
        <v>95</v>
      </c>
      <c r="J162" s="179">
        <f>+I162/F162</f>
        <v>95</v>
      </c>
      <c r="K162" s="211">
        <f>+H162/I162</f>
        <v>5.968421052631579</v>
      </c>
      <c r="L162" s="212">
        <v>3688296</v>
      </c>
      <c r="M162" s="178">
        <v>331614</v>
      </c>
      <c r="N162" s="223">
        <f>+L162/M162</f>
        <v>11.12225659954043</v>
      </c>
      <c r="O162" s="191"/>
      <c r="P162" s="441"/>
      <c r="Q162" s="66"/>
      <c r="R162" s="66"/>
      <c r="S162" s="66"/>
      <c r="T162" s="66"/>
    </row>
    <row r="163" spans="1:20" ht="15">
      <c r="A163" s="273">
        <v>159</v>
      </c>
      <c r="B163" s="251" t="s">
        <v>150</v>
      </c>
      <c r="C163" s="173">
        <v>40081</v>
      </c>
      <c r="D163" s="283" t="s">
        <v>120</v>
      </c>
      <c r="E163" s="320">
        <v>10</v>
      </c>
      <c r="F163" s="320">
        <v>1</v>
      </c>
      <c r="G163" s="320">
        <v>9</v>
      </c>
      <c r="H163" s="237">
        <v>952</v>
      </c>
      <c r="I163" s="193">
        <v>238</v>
      </c>
      <c r="J163" s="182">
        <f>(I163/F163)</f>
        <v>238</v>
      </c>
      <c r="K163" s="238">
        <f>H163/I163</f>
        <v>4</v>
      </c>
      <c r="L163" s="239">
        <f>15355.5+7416.5+5376.5+1210+1050.5+1780+1780+1780+952</f>
        <v>36701</v>
      </c>
      <c r="M163" s="181">
        <f>1226+729+733+198+202+445+445+445+238</f>
        <v>4661</v>
      </c>
      <c r="N163" s="256">
        <f>L163/M163</f>
        <v>7.874061360223128</v>
      </c>
      <c r="O163" s="315"/>
      <c r="P163" s="441"/>
      <c r="Q163" s="66"/>
      <c r="R163" s="66"/>
      <c r="S163" s="66"/>
      <c r="T163" s="66"/>
    </row>
    <row r="164" spans="1:20" ht="15">
      <c r="A164" s="273">
        <v>160</v>
      </c>
      <c r="B164" s="220" t="s">
        <v>30</v>
      </c>
      <c r="C164" s="173">
        <v>40466</v>
      </c>
      <c r="D164" s="319" t="s">
        <v>23</v>
      </c>
      <c r="E164" s="320">
        <v>119</v>
      </c>
      <c r="F164" s="320">
        <v>3</v>
      </c>
      <c r="G164" s="320">
        <v>15</v>
      </c>
      <c r="H164" s="231">
        <v>2636</v>
      </c>
      <c r="I164" s="194">
        <v>738</v>
      </c>
      <c r="J164" s="175">
        <f aca="true" t="shared" si="28" ref="J164:J178">I164/F164</f>
        <v>246</v>
      </c>
      <c r="K164" s="232">
        <f aca="true" t="shared" si="29" ref="K164:K170">+H164/I164</f>
        <v>3.5718157181571817</v>
      </c>
      <c r="L164" s="233">
        <v>2014015</v>
      </c>
      <c r="M164" s="176">
        <v>175303</v>
      </c>
      <c r="N164" s="252">
        <f aca="true" t="shared" si="30" ref="N164:N178">+L164/M164</f>
        <v>11.488765166597263</v>
      </c>
      <c r="O164" s="265"/>
      <c r="P164" s="441"/>
      <c r="Q164" s="66"/>
      <c r="R164" s="66"/>
      <c r="S164" s="66"/>
      <c r="T164" s="66"/>
    </row>
    <row r="165" spans="1:20" ht="15">
      <c r="A165" s="273">
        <v>161</v>
      </c>
      <c r="B165" s="220" t="s">
        <v>30</v>
      </c>
      <c r="C165" s="173">
        <v>40466</v>
      </c>
      <c r="D165" s="174" t="s">
        <v>23</v>
      </c>
      <c r="E165" s="320">
        <v>119</v>
      </c>
      <c r="F165" s="320">
        <v>3</v>
      </c>
      <c r="G165" s="320">
        <v>12</v>
      </c>
      <c r="H165" s="207">
        <v>999</v>
      </c>
      <c r="I165" s="194">
        <v>212</v>
      </c>
      <c r="J165" s="175">
        <f t="shared" si="28"/>
        <v>70.66666666666667</v>
      </c>
      <c r="K165" s="208">
        <f t="shared" si="29"/>
        <v>4.712264150943396</v>
      </c>
      <c r="L165" s="209">
        <v>2010636</v>
      </c>
      <c r="M165" s="176">
        <v>174432</v>
      </c>
      <c r="N165" s="221">
        <f t="shared" si="30"/>
        <v>11.526761144744084</v>
      </c>
      <c r="O165" s="189"/>
      <c r="P165" s="441"/>
      <c r="Q165" s="66"/>
      <c r="R165" s="66"/>
      <c r="S165" s="66"/>
      <c r="T165" s="66"/>
    </row>
    <row r="166" spans="1:20" ht="15">
      <c r="A166" s="273">
        <v>162</v>
      </c>
      <c r="B166" s="307" t="s">
        <v>30</v>
      </c>
      <c r="C166" s="274">
        <v>40466</v>
      </c>
      <c r="D166" s="275" t="s">
        <v>23</v>
      </c>
      <c r="E166" s="276">
        <v>119</v>
      </c>
      <c r="F166" s="276">
        <v>1</v>
      </c>
      <c r="G166" s="276">
        <v>14</v>
      </c>
      <c r="H166" s="277">
        <v>558</v>
      </c>
      <c r="I166" s="278">
        <v>93</v>
      </c>
      <c r="J166" s="279">
        <f t="shared" si="28"/>
        <v>93</v>
      </c>
      <c r="K166" s="280">
        <f t="shared" si="29"/>
        <v>6</v>
      </c>
      <c r="L166" s="281">
        <v>2011379</v>
      </c>
      <c r="M166" s="282">
        <v>174565</v>
      </c>
      <c r="N166" s="308">
        <f t="shared" si="30"/>
        <v>11.522235270529603</v>
      </c>
      <c r="O166" s="315"/>
      <c r="P166" s="441"/>
      <c r="Q166" s="66"/>
      <c r="R166" s="66"/>
      <c r="S166" s="66"/>
      <c r="T166" s="66"/>
    </row>
    <row r="167" spans="1:20" ht="15">
      <c r="A167" s="273">
        <v>163</v>
      </c>
      <c r="B167" s="255" t="s">
        <v>30</v>
      </c>
      <c r="C167" s="173">
        <v>40466</v>
      </c>
      <c r="D167" s="174" t="s">
        <v>23</v>
      </c>
      <c r="E167" s="320">
        <v>119</v>
      </c>
      <c r="F167" s="320">
        <v>2</v>
      </c>
      <c r="G167" s="320">
        <v>13</v>
      </c>
      <c r="H167" s="231">
        <v>185</v>
      </c>
      <c r="I167" s="194">
        <v>40</v>
      </c>
      <c r="J167" s="175">
        <f t="shared" si="28"/>
        <v>20</v>
      </c>
      <c r="K167" s="232">
        <f t="shared" si="29"/>
        <v>4.625</v>
      </c>
      <c r="L167" s="233">
        <v>2010821</v>
      </c>
      <c r="M167" s="176">
        <v>174472</v>
      </c>
      <c r="N167" s="252">
        <f t="shared" si="30"/>
        <v>11.525178825255628</v>
      </c>
      <c r="O167" s="265"/>
      <c r="P167" s="441"/>
      <c r="Q167" s="66"/>
      <c r="R167" s="66"/>
      <c r="S167" s="66"/>
      <c r="T167" s="66"/>
    </row>
    <row r="168" spans="1:20" ht="15">
      <c r="A168" s="273">
        <v>164</v>
      </c>
      <c r="B168" s="311" t="s">
        <v>30</v>
      </c>
      <c r="C168" s="173">
        <v>40466</v>
      </c>
      <c r="D168" s="283" t="s">
        <v>23</v>
      </c>
      <c r="E168" s="284">
        <v>119</v>
      </c>
      <c r="F168" s="284">
        <v>1</v>
      </c>
      <c r="G168" s="284">
        <v>17</v>
      </c>
      <c r="H168" s="231">
        <v>168</v>
      </c>
      <c r="I168" s="194">
        <v>28</v>
      </c>
      <c r="J168" s="175">
        <f t="shared" si="28"/>
        <v>28</v>
      </c>
      <c r="K168" s="232">
        <f t="shared" si="29"/>
        <v>6</v>
      </c>
      <c r="L168" s="233">
        <v>2014279</v>
      </c>
      <c r="M168" s="176">
        <v>175347</v>
      </c>
      <c r="N168" s="252">
        <f t="shared" si="30"/>
        <v>11.487387865204424</v>
      </c>
      <c r="O168" s="356"/>
      <c r="P168" s="441"/>
      <c r="Q168" s="66"/>
      <c r="R168" s="66"/>
      <c r="S168" s="66"/>
      <c r="T168" s="66"/>
    </row>
    <row r="169" spans="1:20" ht="15">
      <c r="A169" s="273">
        <v>165</v>
      </c>
      <c r="B169" s="255" t="s">
        <v>30</v>
      </c>
      <c r="C169" s="173">
        <v>40466</v>
      </c>
      <c r="D169" s="319" t="s">
        <v>23</v>
      </c>
      <c r="E169" s="320">
        <v>119</v>
      </c>
      <c r="F169" s="320">
        <v>1</v>
      </c>
      <c r="G169" s="320">
        <v>16</v>
      </c>
      <c r="H169" s="231">
        <v>96</v>
      </c>
      <c r="I169" s="194">
        <v>16</v>
      </c>
      <c r="J169" s="175">
        <f t="shared" si="28"/>
        <v>16</v>
      </c>
      <c r="K169" s="232">
        <f t="shared" si="29"/>
        <v>6</v>
      </c>
      <c r="L169" s="233">
        <v>2014111</v>
      </c>
      <c r="M169" s="176">
        <v>175319</v>
      </c>
      <c r="N169" s="254">
        <f t="shared" si="30"/>
        <v>11.488264249739046</v>
      </c>
      <c r="O169" s="189"/>
      <c r="P169" s="441"/>
      <c r="Q169" s="66"/>
      <c r="R169" s="66"/>
      <c r="S169" s="66"/>
      <c r="T169" s="66"/>
    </row>
    <row r="170" spans="1:20" ht="15">
      <c r="A170" s="273">
        <v>166</v>
      </c>
      <c r="B170" s="307" t="s">
        <v>30</v>
      </c>
      <c r="C170" s="274">
        <v>40466</v>
      </c>
      <c r="D170" s="275" t="s">
        <v>23</v>
      </c>
      <c r="E170" s="276">
        <v>119</v>
      </c>
      <c r="F170" s="276">
        <v>1</v>
      </c>
      <c r="G170" s="276">
        <v>18</v>
      </c>
      <c r="H170" s="277">
        <v>66</v>
      </c>
      <c r="I170" s="278">
        <v>11</v>
      </c>
      <c r="J170" s="279">
        <f t="shared" si="28"/>
        <v>11</v>
      </c>
      <c r="K170" s="280">
        <f t="shared" si="29"/>
        <v>6</v>
      </c>
      <c r="L170" s="281">
        <v>2014345</v>
      </c>
      <c r="M170" s="282">
        <v>175358</v>
      </c>
      <c r="N170" s="308">
        <f t="shared" si="30"/>
        <v>11.487043647851824</v>
      </c>
      <c r="O170" s="315"/>
      <c r="P170" s="441"/>
      <c r="Q170" s="66"/>
      <c r="R170" s="66"/>
      <c r="S170" s="66"/>
      <c r="T170" s="66"/>
    </row>
    <row r="171" spans="1:20" ht="15">
      <c r="A171" s="273">
        <v>167</v>
      </c>
      <c r="B171" s="224" t="s">
        <v>29</v>
      </c>
      <c r="C171" s="169">
        <v>40494</v>
      </c>
      <c r="D171" s="170" t="s">
        <v>24</v>
      </c>
      <c r="E171" s="322">
        <v>144</v>
      </c>
      <c r="F171" s="322">
        <v>16</v>
      </c>
      <c r="G171" s="322">
        <v>8</v>
      </c>
      <c r="H171" s="201">
        <v>13943</v>
      </c>
      <c r="I171" s="192">
        <v>2193</v>
      </c>
      <c r="J171" s="172">
        <f t="shared" si="28"/>
        <v>137.0625</v>
      </c>
      <c r="K171" s="202">
        <f aca="true" t="shared" si="31" ref="K171:K176">H171/I171</f>
        <v>6.357957136342909</v>
      </c>
      <c r="L171" s="203">
        <v>6055992</v>
      </c>
      <c r="M171" s="171">
        <v>521768</v>
      </c>
      <c r="N171" s="225">
        <f t="shared" si="30"/>
        <v>11.606675763941062</v>
      </c>
      <c r="O171" s="191"/>
      <c r="P171" s="441"/>
      <c r="Q171" s="66"/>
      <c r="R171" s="66"/>
      <c r="S171" s="66"/>
      <c r="T171" s="66"/>
    </row>
    <row r="172" spans="1:20" ht="15">
      <c r="A172" s="273">
        <v>168</v>
      </c>
      <c r="B172" s="257" t="s">
        <v>29</v>
      </c>
      <c r="C172" s="169">
        <v>40494</v>
      </c>
      <c r="D172" s="286" t="s">
        <v>24</v>
      </c>
      <c r="E172" s="285">
        <v>144</v>
      </c>
      <c r="F172" s="285">
        <v>6</v>
      </c>
      <c r="G172" s="285">
        <v>10</v>
      </c>
      <c r="H172" s="234">
        <v>8265</v>
      </c>
      <c r="I172" s="192">
        <v>1244</v>
      </c>
      <c r="J172" s="172">
        <f t="shared" si="28"/>
        <v>207.33333333333334</v>
      </c>
      <c r="K172" s="235">
        <f t="shared" si="31"/>
        <v>6.643890675241158</v>
      </c>
      <c r="L172" s="236">
        <v>6066619</v>
      </c>
      <c r="M172" s="171">
        <v>523537</v>
      </c>
      <c r="N172" s="254">
        <f t="shared" si="30"/>
        <v>11.587755975222382</v>
      </c>
      <c r="O172" s="316"/>
      <c r="P172" s="441"/>
      <c r="Q172" s="66"/>
      <c r="R172" s="66"/>
      <c r="S172" s="66"/>
      <c r="T172" s="66"/>
    </row>
    <row r="173" spans="1:20" ht="15">
      <c r="A173" s="273">
        <v>169</v>
      </c>
      <c r="B173" s="224" t="s">
        <v>29</v>
      </c>
      <c r="C173" s="169">
        <v>40494</v>
      </c>
      <c r="D173" s="323" t="s">
        <v>24</v>
      </c>
      <c r="E173" s="322">
        <v>144</v>
      </c>
      <c r="F173" s="322">
        <v>3</v>
      </c>
      <c r="G173" s="322">
        <v>11</v>
      </c>
      <c r="H173" s="234">
        <v>2600</v>
      </c>
      <c r="I173" s="192">
        <v>454</v>
      </c>
      <c r="J173" s="172">
        <f t="shared" si="28"/>
        <v>151.33333333333334</v>
      </c>
      <c r="K173" s="235">
        <f t="shared" si="31"/>
        <v>5.726872246696035</v>
      </c>
      <c r="L173" s="236">
        <v>6069219</v>
      </c>
      <c r="M173" s="171">
        <v>523991</v>
      </c>
      <c r="N173" s="254">
        <f t="shared" si="30"/>
        <v>11.582677946758627</v>
      </c>
      <c r="O173" s="189"/>
      <c r="P173" s="441"/>
      <c r="Q173" s="66"/>
      <c r="R173" s="66"/>
      <c r="S173" s="66"/>
      <c r="T173" s="66"/>
    </row>
    <row r="174" spans="1:20" ht="15">
      <c r="A174" s="273">
        <v>170</v>
      </c>
      <c r="B174" s="253" t="s">
        <v>29</v>
      </c>
      <c r="C174" s="169">
        <v>40494</v>
      </c>
      <c r="D174" s="170" t="s">
        <v>24</v>
      </c>
      <c r="E174" s="322">
        <v>144</v>
      </c>
      <c r="F174" s="322">
        <v>3</v>
      </c>
      <c r="G174" s="322">
        <v>9</v>
      </c>
      <c r="H174" s="234">
        <v>2362</v>
      </c>
      <c r="I174" s="192">
        <v>525</v>
      </c>
      <c r="J174" s="172">
        <f t="shared" si="28"/>
        <v>175</v>
      </c>
      <c r="K174" s="235">
        <f t="shared" si="31"/>
        <v>4.499047619047619</v>
      </c>
      <c r="L174" s="236">
        <v>6058354</v>
      </c>
      <c r="M174" s="171">
        <v>522293</v>
      </c>
      <c r="N174" s="254">
        <f t="shared" si="30"/>
        <v>11.599531297566692</v>
      </c>
      <c r="O174" s="190"/>
      <c r="P174" s="441"/>
      <c r="Q174" s="66"/>
      <c r="R174" s="66"/>
      <c r="S174" s="66"/>
      <c r="T174" s="66"/>
    </row>
    <row r="175" spans="1:20" ht="15">
      <c r="A175" s="273">
        <v>171</v>
      </c>
      <c r="B175" s="257" t="s">
        <v>29</v>
      </c>
      <c r="C175" s="375">
        <v>40494</v>
      </c>
      <c r="D175" s="286" t="s">
        <v>24</v>
      </c>
      <c r="E175" s="285">
        <v>144</v>
      </c>
      <c r="F175" s="285">
        <v>1</v>
      </c>
      <c r="G175" s="285">
        <v>13</v>
      </c>
      <c r="H175" s="234">
        <v>2042</v>
      </c>
      <c r="I175" s="192">
        <v>495</v>
      </c>
      <c r="J175" s="172">
        <f t="shared" si="28"/>
        <v>495</v>
      </c>
      <c r="K175" s="235">
        <f t="shared" si="31"/>
        <v>4.125252525252526</v>
      </c>
      <c r="L175" s="236">
        <v>6072415</v>
      </c>
      <c r="M175" s="171">
        <v>524703</v>
      </c>
      <c r="N175" s="254">
        <f t="shared" si="30"/>
        <v>11.573051802638826</v>
      </c>
      <c r="O175" s="316"/>
      <c r="P175" s="441"/>
      <c r="Q175" s="66"/>
      <c r="R175" s="66"/>
      <c r="S175" s="66"/>
      <c r="T175" s="66"/>
    </row>
    <row r="176" spans="1:20" ht="15">
      <c r="A176" s="273">
        <v>172</v>
      </c>
      <c r="B176" s="253" t="s">
        <v>29</v>
      </c>
      <c r="C176" s="169">
        <v>40494</v>
      </c>
      <c r="D176" s="323" t="s">
        <v>24</v>
      </c>
      <c r="E176" s="322">
        <v>144</v>
      </c>
      <c r="F176" s="322">
        <v>1</v>
      </c>
      <c r="G176" s="322">
        <v>12</v>
      </c>
      <c r="H176" s="234">
        <v>1154</v>
      </c>
      <c r="I176" s="192">
        <v>217</v>
      </c>
      <c r="J176" s="172">
        <f t="shared" si="28"/>
        <v>217</v>
      </c>
      <c r="K176" s="235">
        <f t="shared" si="31"/>
        <v>5.317972350230415</v>
      </c>
      <c r="L176" s="236">
        <v>6070373</v>
      </c>
      <c r="M176" s="171">
        <v>524208</v>
      </c>
      <c r="N176" s="254">
        <f t="shared" si="30"/>
        <v>11.58008462289778</v>
      </c>
      <c r="O176" s="189"/>
      <c r="P176" s="441"/>
      <c r="Q176" s="66"/>
      <c r="R176" s="66"/>
      <c r="S176" s="66"/>
      <c r="T176" s="66"/>
    </row>
    <row r="177" spans="1:20" ht="15">
      <c r="A177" s="273">
        <v>173</v>
      </c>
      <c r="B177" s="220" t="s">
        <v>52</v>
      </c>
      <c r="C177" s="173">
        <v>40494</v>
      </c>
      <c r="D177" s="174" t="s">
        <v>23</v>
      </c>
      <c r="E177" s="320">
        <v>72</v>
      </c>
      <c r="F177" s="320">
        <v>2</v>
      </c>
      <c r="G177" s="320">
        <v>8</v>
      </c>
      <c r="H177" s="207">
        <v>1110</v>
      </c>
      <c r="I177" s="194">
        <v>180</v>
      </c>
      <c r="J177" s="175">
        <f t="shared" si="28"/>
        <v>90</v>
      </c>
      <c r="K177" s="208">
        <f>+H177/I177</f>
        <v>6.166666666666667</v>
      </c>
      <c r="L177" s="209">
        <v>906333</v>
      </c>
      <c r="M177" s="176">
        <v>84860</v>
      </c>
      <c r="N177" s="221">
        <f t="shared" si="30"/>
        <v>10.680332312043365</v>
      </c>
      <c r="O177" s="189">
        <v>1</v>
      </c>
      <c r="P177" s="441"/>
      <c r="Q177" s="66"/>
      <c r="R177" s="66"/>
      <c r="S177" s="66"/>
      <c r="T177" s="66"/>
    </row>
    <row r="178" spans="1:20" ht="15">
      <c r="A178" s="273">
        <v>174</v>
      </c>
      <c r="B178" s="255" t="s">
        <v>94</v>
      </c>
      <c r="C178" s="173">
        <v>40459</v>
      </c>
      <c r="D178" s="174" t="s">
        <v>23</v>
      </c>
      <c r="E178" s="320">
        <v>93</v>
      </c>
      <c r="F178" s="320">
        <v>1</v>
      </c>
      <c r="G178" s="320">
        <v>14</v>
      </c>
      <c r="H178" s="231">
        <v>2415</v>
      </c>
      <c r="I178" s="194">
        <v>875</v>
      </c>
      <c r="J178" s="175">
        <f t="shared" si="28"/>
        <v>875</v>
      </c>
      <c r="K178" s="232">
        <f>+H178/I178</f>
        <v>2.76</v>
      </c>
      <c r="L178" s="233">
        <v>1072374</v>
      </c>
      <c r="M178" s="175">
        <v>99383</v>
      </c>
      <c r="N178" s="252">
        <f t="shared" si="30"/>
        <v>10.790316251270339</v>
      </c>
      <c r="O178" s="265"/>
      <c r="P178" s="441"/>
      <c r="Q178" s="66"/>
      <c r="R178" s="66"/>
      <c r="S178" s="66"/>
      <c r="T178" s="66"/>
    </row>
    <row r="179" spans="1:20" ht="15">
      <c r="A179" s="273">
        <v>175</v>
      </c>
      <c r="B179" s="224" t="s">
        <v>59</v>
      </c>
      <c r="C179" s="169">
        <v>40529</v>
      </c>
      <c r="D179" s="170" t="s">
        <v>17</v>
      </c>
      <c r="E179" s="322">
        <v>134</v>
      </c>
      <c r="F179" s="322">
        <v>121</v>
      </c>
      <c r="G179" s="322">
        <v>3</v>
      </c>
      <c r="H179" s="216">
        <v>49789.5</v>
      </c>
      <c r="I179" s="197">
        <v>7079</v>
      </c>
      <c r="J179" s="179">
        <f aca="true" t="shared" si="32" ref="J179:J184">IF(H179&lt;&gt;0,I179/F179,"")</f>
        <v>58.50413223140496</v>
      </c>
      <c r="K179" s="211">
        <f aca="true" t="shared" si="33" ref="K179:K184">IF(H179&lt;&gt;0,H179/I179,"")</f>
        <v>7.0334086735414605</v>
      </c>
      <c r="L179" s="217">
        <f>244174+121219.5+H179</f>
        <v>415183</v>
      </c>
      <c r="M179" s="175">
        <f>29518+15718+I179</f>
        <v>52315</v>
      </c>
      <c r="N179" s="223">
        <f aca="true" t="shared" si="34" ref="N179:N184">IF(L179&lt;&gt;0,L179/M179,"")</f>
        <v>7.936213323138679</v>
      </c>
      <c r="O179" s="189"/>
      <c r="P179" s="441"/>
      <c r="Q179" s="66"/>
      <c r="R179" s="66"/>
      <c r="S179" s="66"/>
      <c r="T179" s="66"/>
    </row>
    <row r="180" spans="1:20" ht="15">
      <c r="A180" s="273">
        <v>176</v>
      </c>
      <c r="B180" s="253" t="s">
        <v>92</v>
      </c>
      <c r="C180" s="169">
        <v>40529</v>
      </c>
      <c r="D180" s="170" t="s">
        <v>17</v>
      </c>
      <c r="E180" s="322">
        <v>134</v>
      </c>
      <c r="F180" s="322">
        <v>12</v>
      </c>
      <c r="G180" s="322">
        <v>4</v>
      </c>
      <c r="H180" s="243">
        <v>3929</v>
      </c>
      <c r="I180" s="197">
        <v>638</v>
      </c>
      <c r="J180" s="179">
        <f t="shared" si="32"/>
        <v>53.166666666666664</v>
      </c>
      <c r="K180" s="241">
        <f t="shared" si="33"/>
        <v>6.158307210031348</v>
      </c>
      <c r="L180" s="244">
        <f>415183+3929</f>
        <v>419112</v>
      </c>
      <c r="M180" s="175">
        <f>52315+638</f>
        <v>52953</v>
      </c>
      <c r="N180" s="258">
        <f t="shared" si="34"/>
        <v>7.914792363038921</v>
      </c>
      <c r="O180" s="190">
        <v>1</v>
      </c>
      <c r="P180" s="441"/>
      <c r="Q180" s="66"/>
      <c r="R180" s="66"/>
      <c r="S180" s="66"/>
      <c r="T180" s="66"/>
    </row>
    <row r="181" spans="1:20" ht="15">
      <c r="A181" s="273">
        <v>177</v>
      </c>
      <c r="B181" s="257" t="s">
        <v>92</v>
      </c>
      <c r="C181" s="169">
        <v>40529</v>
      </c>
      <c r="D181" s="286" t="s">
        <v>17</v>
      </c>
      <c r="E181" s="285">
        <v>134</v>
      </c>
      <c r="F181" s="285">
        <v>8</v>
      </c>
      <c r="G181" s="285">
        <v>5</v>
      </c>
      <c r="H181" s="243">
        <v>3246</v>
      </c>
      <c r="I181" s="197">
        <v>476</v>
      </c>
      <c r="J181" s="179">
        <f t="shared" si="32"/>
        <v>59.5</v>
      </c>
      <c r="K181" s="241">
        <f t="shared" si="33"/>
        <v>6.819327731092437</v>
      </c>
      <c r="L181" s="244">
        <f>415183+3929+3246</f>
        <v>422358</v>
      </c>
      <c r="M181" s="175">
        <f>52315+638+476</f>
        <v>53429</v>
      </c>
      <c r="N181" s="258">
        <f t="shared" si="34"/>
        <v>7.9050328473301015</v>
      </c>
      <c r="O181" s="316">
        <v>1</v>
      </c>
      <c r="P181" s="441"/>
      <c r="Q181" s="66"/>
      <c r="R181" s="66"/>
      <c r="S181" s="66"/>
      <c r="T181" s="66"/>
    </row>
    <row r="182" spans="1:20" ht="15">
      <c r="A182" s="273">
        <v>178</v>
      </c>
      <c r="B182" s="224" t="s">
        <v>59</v>
      </c>
      <c r="C182" s="169">
        <v>40529</v>
      </c>
      <c r="D182" s="323" t="s">
        <v>17</v>
      </c>
      <c r="E182" s="322">
        <v>134</v>
      </c>
      <c r="F182" s="322">
        <v>6</v>
      </c>
      <c r="G182" s="322">
        <v>6</v>
      </c>
      <c r="H182" s="243">
        <v>2363</v>
      </c>
      <c r="I182" s="197">
        <v>361</v>
      </c>
      <c r="J182" s="179">
        <f t="shared" si="32"/>
        <v>60.166666666666664</v>
      </c>
      <c r="K182" s="241">
        <f t="shared" si="33"/>
        <v>6.545706371191136</v>
      </c>
      <c r="L182" s="244">
        <f>415183+3929+3246+2363</f>
        <v>424721</v>
      </c>
      <c r="M182" s="187">
        <f>52315+638+476+361</f>
        <v>53790</v>
      </c>
      <c r="N182" s="258">
        <f t="shared" si="34"/>
        <v>7.8959100204498975</v>
      </c>
      <c r="O182" s="190">
        <v>1</v>
      </c>
      <c r="P182" s="441"/>
      <c r="Q182" s="66"/>
      <c r="R182" s="66"/>
      <c r="S182" s="66"/>
      <c r="T182" s="66"/>
    </row>
    <row r="183" spans="1:20" ht="15">
      <c r="A183" s="273">
        <v>179</v>
      </c>
      <c r="B183" s="371" t="s">
        <v>59</v>
      </c>
      <c r="C183" s="169">
        <v>40529</v>
      </c>
      <c r="D183" s="323" t="s">
        <v>17</v>
      </c>
      <c r="E183" s="322">
        <v>134</v>
      </c>
      <c r="F183" s="322">
        <v>6</v>
      </c>
      <c r="G183" s="322">
        <v>6</v>
      </c>
      <c r="H183" s="243">
        <v>1074</v>
      </c>
      <c r="I183" s="197">
        <v>299</v>
      </c>
      <c r="J183" s="179">
        <f t="shared" si="32"/>
        <v>49.833333333333336</v>
      </c>
      <c r="K183" s="241">
        <f t="shared" si="33"/>
        <v>3.591973244147157</v>
      </c>
      <c r="L183" s="244">
        <f>415183+3929+3246+2363+1074</f>
        <v>425795</v>
      </c>
      <c r="M183" s="187">
        <f>52315+638+476+361+299</f>
        <v>54089</v>
      </c>
      <c r="N183" s="258">
        <f t="shared" si="34"/>
        <v>7.872118175599475</v>
      </c>
      <c r="O183" s="315">
        <v>1</v>
      </c>
      <c r="P183" s="441"/>
      <c r="Q183" s="66"/>
      <c r="R183" s="66"/>
      <c r="S183" s="66"/>
      <c r="T183" s="66"/>
    </row>
    <row r="184" spans="1:20" ht="15">
      <c r="A184" s="273">
        <v>180</v>
      </c>
      <c r="B184" s="257" t="s">
        <v>92</v>
      </c>
      <c r="C184" s="375">
        <v>40529</v>
      </c>
      <c r="D184" s="286" t="s">
        <v>17</v>
      </c>
      <c r="E184" s="285">
        <v>134</v>
      </c>
      <c r="F184" s="285">
        <v>1</v>
      </c>
      <c r="G184" s="285">
        <v>8</v>
      </c>
      <c r="H184" s="243">
        <v>230</v>
      </c>
      <c r="I184" s="197">
        <v>38</v>
      </c>
      <c r="J184" s="179">
        <f t="shared" si="32"/>
        <v>38</v>
      </c>
      <c r="K184" s="241">
        <f t="shared" si="33"/>
        <v>6.052631578947368</v>
      </c>
      <c r="L184" s="244">
        <f>415183+3929+3246+2363+1074+230</f>
        <v>426025</v>
      </c>
      <c r="M184" s="175">
        <f>52315+638+476+361+299+38</f>
        <v>54127</v>
      </c>
      <c r="N184" s="258">
        <f t="shared" si="34"/>
        <v>7.870840800339941</v>
      </c>
      <c r="O184" s="316">
        <v>1</v>
      </c>
      <c r="P184" s="441"/>
      <c r="Q184" s="66"/>
      <c r="R184" s="66"/>
      <c r="S184" s="66"/>
      <c r="T184" s="66"/>
    </row>
    <row r="185" spans="1:20" ht="15">
      <c r="A185" s="273">
        <v>181</v>
      </c>
      <c r="B185" s="311" t="s">
        <v>179</v>
      </c>
      <c r="C185" s="374">
        <v>40053</v>
      </c>
      <c r="D185" s="283" t="s">
        <v>120</v>
      </c>
      <c r="E185" s="378">
        <v>14</v>
      </c>
      <c r="F185" s="284">
        <v>1</v>
      </c>
      <c r="G185" s="378">
        <v>11</v>
      </c>
      <c r="H185" s="237">
        <v>952</v>
      </c>
      <c r="I185" s="193">
        <v>238</v>
      </c>
      <c r="J185" s="182">
        <f>(I185/F185)</f>
        <v>238</v>
      </c>
      <c r="K185" s="238">
        <f>H185/I185</f>
        <v>4</v>
      </c>
      <c r="L185" s="239">
        <f>46744+27773.5+29652+15092+1850+3126+1717.5+468+83+54+952</f>
        <v>127512</v>
      </c>
      <c r="M185" s="181">
        <f>3724+2772+2752+1903+308+472+380+135+20+18+238</f>
        <v>12722</v>
      </c>
      <c r="N185" s="256">
        <f>L185/M185</f>
        <v>10.022952365980192</v>
      </c>
      <c r="O185" s="316"/>
      <c r="P185" s="441"/>
      <c r="Q185" s="66"/>
      <c r="R185" s="66"/>
      <c r="S185" s="66"/>
      <c r="T185" s="66"/>
    </row>
    <row r="186" spans="1:20" ht="15">
      <c r="A186" s="273">
        <v>182</v>
      </c>
      <c r="B186" s="222" t="s">
        <v>158</v>
      </c>
      <c r="C186" s="169">
        <v>40529</v>
      </c>
      <c r="D186" s="177" t="s">
        <v>27</v>
      </c>
      <c r="E186" s="285">
        <v>32</v>
      </c>
      <c r="F186" s="285">
        <v>5</v>
      </c>
      <c r="G186" s="285">
        <v>3</v>
      </c>
      <c r="H186" s="210">
        <v>964</v>
      </c>
      <c r="I186" s="196">
        <v>140</v>
      </c>
      <c r="J186" s="179">
        <f>+I186/F186</f>
        <v>28</v>
      </c>
      <c r="K186" s="211">
        <f>+H186/I186</f>
        <v>6.885714285714286</v>
      </c>
      <c r="L186" s="212">
        <v>18563</v>
      </c>
      <c r="M186" s="178">
        <v>1767</v>
      </c>
      <c r="N186" s="223">
        <f>+L186/M186</f>
        <v>10.505376344086022</v>
      </c>
      <c r="O186" s="191"/>
      <c r="P186" s="441"/>
      <c r="Q186" s="66"/>
      <c r="R186" s="66"/>
      <c r="S186" s="66"/>
      <c r="T186" s="66"/>
    </row>
    <row r="187" spans="1:20" ht="15">
      <c r="A187" s="273">
        <v>183</v>
      </c>
      <c r="B187" s="257" t="s">
        <v>101</v>
      </c>
      <c r="C187" s="169">
        <v>40529</v>
      </c>
      <c r="D187" s="177" t="s">
        <v>27</v>
      </c>
      <c r="E187" s="285">
        <v>32</v>
      </c>
      <c r="F187" s="285">
        <v>1</v>
      </c>
      <c r="G187" s="285">
        <v>4</v>
      </c>
      <c r="H187" s="240">
        <v>523</v>
      </c>
      <c r="I187" s="196">
        <v>92</v>
      </c>
      <c r="J187" s="179">
        <f>+I187/F187</f>
        <v>92</v>
      </c>
      <c r="K187" s="241">
        <f>+H187/I187</f>
        <v>5.684782608695652</v>
      </c>
      <c r="L187" s="242">
        <v>19085</v>
      </c>
      <c r="M187" s="178">
        <v>1859</v>
      </c>
      <c r="N187" s="258">
        <f>+L187/M187</f>
        <v>10.266272189349113</v>
      </c>
      <c r="O187" s="190">
        <v>1</v>
      </c>
      <c r="P187" s="441"/>
      <c r="Q187" s="66"/>
      <c r="R187" s="66"/>
      <c r="S187" s="66"/>
      <c r="T187" s="66"/>
    </row>
    <row r="188" spans="1:20" ht="15">
      <c r="A188" s="273">
        <v>184</v>
      </c>
      <c r="B188" s="218" t="s">
        <v>8</v>
      </c>
      <c r="C188" s="173">
        <v>40347</v>
      </c>
      <c r="D188" s="283" t="s">
        <v>120</v>
      </c>
      <c r="E188" s="320">
        <v>2</v>
      </c>
      <c r="F188" s="320">
        <v>1</v>
      </c>
      <c r="G188" s="320">
        <v>20</v>
      </c>
      <c r="H188" s="204">
        <v>713</v>
      </c>
      <c r="I188" s="193">
        <v>178</v>
      </c>
      <c r="J188" s="182">
        <f>(I188/F188)</f>
        <v>178</v>
      </c>
      <c r="K188" s="205">
        <f>H188/I188</f>
        <v>4.00561797752809</v>
      </c>
      <c r="L188" s="206">
        <f>15693+762+1031+1133+707+492+1323.5+1397+447+357+524+229+713</f>
        <v>24808.5</v>
      </c>
      <c r="M188" s="181">
        <f>1559+119+194+179+86+57+150+195+165+58+85+48+178</f>
        <v>3073</v>
      </c>
      <c r="N188" s="219">
        <f>L188/M188</f>
        <v>8.073055645948584</v>
      </c>
      <c r="O188" s="189">
        <v>1</v>
      </c>
      <c r="P188" s="441"/>
      <c r="Q188" s="66"/>
      <c r="R188" s="66"/>
      <c r="S188" s="66"/>
      <c r="T188" s="66"/>
    </row>
    <row r="189" spans="1:20" ht="15">
      <c r="A189" s="273">
        <v>185</v>
      </c>
      <c r="B189" s="220" t="s">
        <v>71</v>
      </c>
      <c r="C189" s="173">
        <v>40536</v>
      </c>
      <c r="D189" s="174" t="s">
        <v>23</v>
      </c>
      <c r="E189" s="320">
        <v>112</v>
      </c>
      <c r="F189" s="320">
        <v>116</v>
      </c>
      <c r="G189" s="320">
        <v>2</v>
      </c>
      <c r="H189" s="207">
        <v>694227</v>
      </c>
      <c r="I189" s="194">
        <v>58647</v>
      </c>
      <c r="J189" s="175">
        <f aca="true" t="shared" si="35" ref="J189:J196">I189/F189</f>
        <v>505.57758620689657</v>
      </c>
      <c r="K189" s="208">
        <f aca="true" t="shared" si="36" ref="K189:K196">+H189/I189</f>
        <v>11.837382986342012</v>
      </c>
      <c r="L189" s="209">
        <v>1663782</v>
      </c>
      <c r="M189" s="176">
        <v>141056</v>
      </c>
      <c r="N189" s="221">
        <f aca="true" t="shared" si="37" ref="N189:N196">+L189/M189</f>
        <v>11.795187726860254</v>
      </c>
      <c r="O189" s="190"/>
      <c r="P189" s="441"/>
      <c r="Q189" s="66"/>
      <c r="R189" s="66"/>
      <c r="S189" s="66"/>
      <c r="T189" s="66"/>
    </row>
    <row r="190" spans="1:20" ht="15">
      <c r="A190" s="273">
        <v>186</v>
      </c>
      <c r="B190" s="255" t="s">
        <v>71</v>
      </c>
      <c r="C190" s="173">
        <v>40536</v>
      </c>
      <c r="D190" s="174" t="s">
        <v>23</v>
      </c>
      <c r="E190" s="320">
        <v>112</v>
      </c>
      <c r="F190" s="320">
        <v>114</v>
      </c>
      <c r="G190" s="320">
        <v>3</v>
      </c>
      <c r="H190" s="231">
        <v>439081</v>
      </c>
      <c r="I190" s="194">
        <v>38093</v>
      </c>
      <c r="J190" s="175">
        <f t="shared" si="35"/>
        <v>334.14912280701753</v>
      </c>
      <c r="K190" s="232">
        <f t="shared" si="36"/>
        <v>11.526553435014307</v>
      </c>
      <c r="L190" s="233">
        <v>2102863</v>
      </c>
      <c r="M190" s="176">
        <v>179149</v>
      </c>
      <c r="N190" s="252">
        <f t="shared" si="37"/>
        <v>11.738067195462994</v>
      </c>
      <c r="O190" s="265"/>
      <c r="P190" s="441"/>
      <c r="Q190" s="66"/>
      <c r="R190" s="66"/>
      <c r="S190" s="66"/>
      <c r="T190" s="66"/>
    </row>
    <row r="191" spans="1:20" ht="15">
      <c r="A191" s="273">
        <v>187</v>
      </c>
      <c r="B191" s="311" t="s">
        <v>71</v>
      </c>
      <c r="C191" s="173">
        <v>40536</v>
      </c>
      <c r="D191" s="283" t="s">
        <v>23</v>
      </c>
      <c r="E191" s="284">
        <v>112</v>
      </c>
      <c r="F191" s="284">
        <v>67</v>
      </c>
      <c r="G191" s="284">
        <v>7</v>
      </c>
      <c r="H191" s="231">
        <v>251883</v>
      </c>
      <c r="I191" s="194">
        <v>23368</v>
      </c>
      <c r="J191" s="175">
        <f t="shared" si="35"/>
        <v>348.7761194029851</v>
      </c>
      <c r="K191" s="232">
        <f t="shared" si="36"/>
        <v>10.778971242725094</v>
      </c>
      <c r="L191" s="233">
        <v>2567209</v>
      </c>
      <c r="M191" s="176">
        <v>225627</v>
      </c>
      <c r="N191" s="252">
        <f t="shared" si="37"/>
        <v>11.378110775749356</v>
      </c>
      <c r="O191" s="356"/>
      <c r="P191" s="441"/>
      <c r="Q191" s="66"/>
      <c r="R191" s="66"/>
      <c r="S191" s="66"/>
      <c r="T191" s="66"/>
    </row>
    <row r="192" spans="1:20" ht="15">
      <c r="A192" s="273">
        <v>188</v>
      </c>
      <c r="B192" s="307" t="s">
        <v>71</v>
      </c>
      <c r="C192" s="274">
        <v>40536</v>
      </c>
      <c r="D192" s="275" t="s">
        <v>23</v>
      </c>
      <c r="E192" s="276">
        <v>112</v>
      </c>
      <c r="F192" s="276">
        <v>51</v>
      </c>
      <c r="G192" s="276">
        <v>4</v>
      </c>
      <c r="H192" s="277">
        <v>136869</v>
      </c>
      <c r="I192" s="278">
        <v>12796</v>
      </c>
      <c r="J192" s="279">
        <f t="shared" si="35"/>
        <v>250.90196078431373</v>
      </c>
      <c r="K192" s="280">
        <f t="shared" si="36"/>
        <v>10.696233197874335</v>
      </c>
      <c r="L192" s="281">
        <v>2239732</v>
      </c>
      <c r="M192" s="282">
        <v>191945</v>
      </c>
      <c r="N192" s="308">
        <f t="shared" si="37"/>
        <v>11.668613404881606</v>
      </c>
      <c r="O192" s="315"/>
      <c r="P192" s="441"/>
      <c r="Q192" s="66"/>
      <c r="R192" s="66"/>
      <c r="S192" s="66"/>
      <c r="T192" s="66"/>
    </row>
    <row r="193" spans="1:20" ht="15">
      <c r="A193" s="273">
        <v>189</v>
      </c>
      <c r="B193" s="307" t="s">
        <v>71</v>
      </c>
      <c r="C193" s="274">
        <v>40536</v>
      </c>
      <c r="D193" s="275" t="s">
        <v>23</v>
      </c>
      <c r="E193" s="276">
        <v>112</v>
      </c>
      <c r="F193" s="276">
        <v>76</v>
      </c>
      <c r="G193" s="276">
        <v>8</v>
      </c>
      <c r="H193" s="277">
        <v>133175</v>
      </c>
      <c r="I193" s="278">
        <v>12385</v>
      </c>
      <c r="J193" s="279">
        <f t="shared" si="35"/>
        <v>162.96052631578948</v>
      </c>
      <c r="K193" s="280">
        <f t="shared" si="36"/>
        <v>10.752926927735164</v>
      </c>
      <c r="L193" s="281">
        <v>2700384</v>
      </c>
      <c r="M193" s="282">
        <v>238012</v>
      </c>
      <c r="N193" s="308">
        <f t="shared" si="37"/>
        <v>11.345579214493387</v>
      </c>
      <c r="O193" s="315"/>
      <c r="P193" s="441"/>
      <c r="Q193" s="66"/>
      <c r="R193" s="66"/>
      <c r="S193" s="66"/>
      <c r="T193" s="66"/>
    </row>
    <row r="194" spans="1:20" ht="15">
      <c r="A194" s="273">
        <v>190</v>
      </c>
      <c r="B194" s="255" t="s">
        <v>71</v>
      </c>
      <c r="C194" s="173">
        <v>40536</v>
      </c>
      <c r="D194" s="319" t="s">
        <v>23</v>
      </c>
      <c r="E194" s="320">
        <v>112</v>
      </c>
      <c r="F194" s="320">
        <v>16</v>
      </c>
      <c r="G194" s="320">
        <v>6</v>
      </c>
      <c r="H194" s="231">
        <v>40300</v>
      </c>
      <c r="I194" s="194">
        <v>4735</v>
      </c>
      <c r="J194" s="175">
        <f t="shared" si="35"/>
        <v>295.9375</v>
      </c>
      <c r="K194" s="232">
        <f t="shared" si="36"/>
        <v>8.511087645195353</v>
      </c>
      <c r="L194" s="233">
        <v>2315326</v>
      </c>
      <c r="M194" s="176">
        <v>202259</v>
      </c>
      <c r="N194" s="254">
        <f t="shared" si="37"/>
        <v>11.447332380759324</v>
      </c>
      <c r="O194" s="189"/>
      <c r="P194" s="441"/>
      <c r="Q194" s="66"/>
      <c r="R194" s="66"/>
      <c r="S194" s="66"/>
      <c r="T194" s="66"/>
    </row>
    <row r="195" spans="1:20" ht="15">
      <c r="A195" s="273">
        <v>191</v>
      </c>
      <c r="B195" s="220" t="s">
        <v>71</v>
      </c>
      <c r="C195" s="173">
        <v>40536</v>
      </c>
      <c r="D195" s="319" t="s">
        <v>23</v>
      </c>
      <c r="E195" s="320">
        <v>112</v>
      </c>
      <c r="F195" s="320">
        <v>26</v>
      </c>
      <c r="G195" s="320">
        <v>5</v>
      </c>
      <c r="H195" s="231">
        <v>35294</v>
      </c>
      <c r="I195" s="194">
        <v>5579</v>
      </c>
      <c r="J195" s="175">
        <f t="shared" si="35"/>
        <v>214.57692307692307</v>
      </c>
      <c r="K195" s="232">
        <f t="shared" si="36"/>
        <v>6.3262233375156836</v>
      </c>
      <c r="L195" s="233">
        <v>2275026</v>
      </c>
      <c r="M195" s="176">
        <v>197524</v>
      </c>
      <c r="N195" s="252">
        <f t="shared" si="37"/>
        <v>11.51771936574796</v>
      </c>
      <c r="O195" s="265"/>
      <c r="P195" s="441"/>
      <c r="Q195" s="66"/>
      <c r="R195" s="66"/>
      <c r="S195" s="66"/>
      <c r="T195" s="66"/>
    </row>
    <row r="196" spans="1:20" ht="15">
      <c r="A196" s="273">
        <v>192</v>
      </c>
      <c r="B196" s="311" t="s">
        <v>71</v>
      </c>
      <c r="C196" s="374">
        <v>40536</v>
      </c>
      <c r="D196" s="283" t="s">
        <v>23</v>
      </c>
      <c r="E196" s="284">
        <v>112</v>
      </c>
      <c r="F196" s="284">
        <v>21</v>
      </c>
      <c r="G196" s="284">
        <v>9</v>
      </c>
      <c r="H196" s="231">
        <v>25605</v>
      </c>
      <c r="I196" s="194">
        <v>2458</v>
      </c>
      <c r="J196" s="175">
        <f t="shared" si="35"/>
        <v>117.04761904761905</v>
      </c>
      <c r="K196" s="232">
        <f t="shared" si="36"/>
        <v>10.417005695687552</v>
      </c>
      <c r="L196" s="233">
        <v>2725989</v>
      </c>
      <c r="M196" s="176">
        <v>240471</v>
      </c>
      <c r="N196" s="252">
        <f t="shared" si="37"/>
        <v>11.33604052047856</v>
      </c>
      <c r="O196" s="316"/>
      <c r="P196" s="441"/>
      <c r="Q196" s="66"/>
      <c r="R196" s="66"/>
      <c r="S196" s="66"/>
      <c r="T196" s="66"/>
    </row>
    <row r="197" spans="1:20" ht="15">
      <c r="A197" s="273">
        <v>193</v>
      </c>
      <c r="B197" s="218" t="s">
        <v>63</v>
      </c>
      <c r="C197" s="173">
        <v>40529</v>
      </c>
      <c r="D197" s="180" t="s">
        <v>26</v>
      </c>
      <c r="E197" s="320">
        <v>5</v>
      </c>
      <c r="F197" s="320">
        <v>3</v>
      </c>
      <c r="G197" s="320">
        <v>3</v>
      </c>
      <c r="H197" s="207">
        <v>2915</v>
      </c>
      <c r="I197" s="194">
        <v>305</v>
      </c>
      <c r="J197" s="179">
        <f>IF(H197&lt;&gt;0,I197/F197,"")</f>
        <v>101.66666666666667</v>
      </c>
      <c r="K197" s="211">
        <f>IF(H197&lt;&gt;0,H197/I197,"")</f>
        <v>9.557377049180328</v>
      </c>
      <c r="L197" s="209">
        <f>9892.5+4913+2915</f>
        <v>17720.5</v>
      </c>
      <c r="M197" s="175">
        <f>1037+523+305</f>
        <v>1865</v>
      </c>
      <c r="N197" s="223">
        <f>IF(L197&lt;&gt;0,L197/M197,"")</f>
        <v>9.501608579088472</v>
      </c>
      <c r="O197" s="189"/>
      <c r="P197" s="441"/>
      <c r="Q197" s="66"/>
      <c r="R197" s="66"/>
      <c r="S197" s="66"/>
      <c r="T197" s="66"/>
    </row>
    <row r="198" spans="1:20" ht="15">
      <c r="A198" s="273">
        <v>194</v>
      </c>
      <c r="B198" s="218" t="s">
        <v>98</v>
      </c>
      <c r="C198" s="173">
        <v>40410</v>
      </c>
      <c r="D198" s="283" t="s">
        <v>120</v>
      </c>
      <c r="E198" s="320">
        <v>100</v>
      </c>
      <c r="F198" s="320">
        <v>1</v>
      </c>
      <c r="G198" s="320">
        <v>18</v>
      </c>
      <c r="H198" s="237">
        <v>1782</v>
      </c>
      <c r="I198" s="193">
        <v>445</v>
      </c>
      <c r="J198" s="182">
        <f aca="true" t="shared" si="38" ref="J198:J213">(I198/F198)</f>
        <v>445</v>
      </c>
      <c r="K198" s="238">
        <f aca="true" t="shared" si="39" ref="K198:K214">H198/I198</f>
        <v>4.004494382022472</v>
      </c>
      <c r="L198" s="239">
        <f>4793.5+233907+173006+95171+69286+22212.5+11921.5+10683+6473+5548+3621+5930+360+5346+2138.5+6058.5+4752+950.5+1782</f>
        <v>663940</v>
      </c>
      <c r="M198" s="181">
        <f>312+25267+17706+10642+10638+3791+2335+2134+1501+1673+635+1434+72+1336+534+1515+1188+238+445</f>
        <v>83396</v>
      </c>
      <c r="N198" s="256">
        <f aca="true" t="shared" si="40" ref="N198:N213">L198/M198</f>
        <v>7.9612931075830975</v>
      </c>
      <c r="O198" s="189"/>
      <c r="P198" s="441"/>
      <c r="Q198" s="66"/>
      <c r="R198" s="66"/>
      <c r="S198" s="66"/>
      <c r="T198" s="66"/>
    </row>
    <row r="199" spans="1:20" ht="15">
      <c r="A199" s="273">
        <v>195</v>
      </c>
      <c r="B199" s="251" t="s">
        <v>98</v>
      </c>
      <c r="C199" s="173">
        <v>40410</v>
      </c>
      <c r="D199" s="283" t="s">
        <v>120</v>
      </c>
      <c r="E199" s="320">
        <v>100</v>
      </c>
      <c r="F199" s="320">
        <v>1</v>
      </c>
      <c r="G199" s="320">
        <v>17</v>
      </c>
      <c r="H199" s="237">
        <v>950.5</v>
      </c>
      <c r="I199" s="193">
        <v>238</v>
      </c>
      <c r="J199" s="182">
        <f t="shared" si="38"/>
        <v>238</v>
      </c>
      <c r="K199" s="238">
        <f t="shared" si="39"/>
        <v>3.9936974789915967</v>
      </c>
      <c r="L199" s="239">
        <f>4793.5+233907+173006+95171+69286+22212.5+11921.5+10683+6473+5548+3621+5930+360+5346+2138.5+6058.5+4752+950.5</f>
        <v>662158</v>
      </c>
      <c r="M199" s="181">
        <f>312+25267+17706+10642+10638+3791+2335+2134+1501+1673+635+1434+72+1336+534+1515+1188+238</f>
        <v>82951</v>
      </c>
      <c r="N199" s="256">
        <f t="shared" si="40"/>
        <v>7.9825198008462825</v>
      </c>
      <c r="O199" s="191"/>
      <c r="P199" s="441"/>
      <c r="Q199" s="66"/>
      <c r="R199" s="66"/>
      <c r="S199" s="66"/>
      <c r="T199" s="66"/>
    </row>
    <row r="200" spans="1:20" ht="15">
      <c r="A200" s="273">
        <v>196</v>
      </c>
      <c r="B200" s="311" t="s">
        <v>180</v>
      </c>
      <c r="C200" s="374">
        <v>40039</v>
      </c>
      <c r="D200" s="283" t="s">
        <v>120</v>
      </c>
      <c r="E200" s="284">
        <v>8</v>
      </c>
      <c r="F200" s="284">
        <v>1</v>
      </c>
      <c r="G200" s="284">
        <v>11</v>
      </c>
      <c r="H200" s="237">
        <v>952</v>
      </c>
      <c r="I200" s="193">
        <v>238</v>
      </c>
      <c r="J200" s="182">
        <f t="shared" si="38"/>
        <v>238</v>
      </c>
      <c r="K200" s="238">
        <f t="shared" si="39"/>
        <v>4</v>
      </c>
      <c r="L200" s="239">
        <f>29121.25+9335.5+10783.5+6805.5+6780.5+3746+1541.5+84+273+1188+952</f>
        <v>70610.75</v>
      </c>
      <c r="M200" s="181">
        <f>2428+976+1509+1029+1087+466+273+24+62+297+238</f>
        <v>8389</v>
      </c>
      <c r="N200" s="256">
        <f t="shared" si="40"/>
        <v>8.417064012397187</v>
      </c>
      <c r="O200" s="316"/>
      <c r="P200" s="441"/>
      <c r="Q200" s="66"/>
      <c r="R200" s="66"/>
      <c r="S200" s="66"/>
      <c r="T200" s="66"/>
    </row>
    <row r="201" spans="1:20" ht="15">
      <c r="A201" s="273">
        <v>197</v>
      </c>
      <c r="B201" s="226" t="s">
        <v>2</v>
      </c>
      <c r="C201" s="173">
        <v>40522</v>
      </c>
      <c r="D201" s="283" t="s">
        <v>120</v>
      </c>
      <c r="E201" s="320">
        <v>127</v>
      </c>
      <c r="F201" s="320">
        <v>65</v>
      </c>
      <c r="G201" s="320">
        <v>4</v>
      </c>
      <c r="H201" s="204">
        <v>70165.5</v>
      </c>
      <c r="I201" s="193">
        <v>8841</v>
      </c>
      <c r="J201" s="182">
        <f t="shared" si="38"/>
        <v>136.01538461538462</v>
      </c>
      <c r="K201" s="205">
        <f t="shared" si="39"/>
        <v>7.9363759755683745</v>
      </c>
      <c r="L201" s="206">
        <f>1048675+809166.5+457718.5+70165.5</f>
        <v>2385725.5</v>
      </c>
      <c r="M201" s="181">
        <f>92481+73795+43350+8841</f>
        <v>218467</v>
      </c>
      <c r="N201" s="219">
        <f t="shared" si="40"/>
        <v>10.92030146429438</v>
      </c>
      <c r="O201" s="191">
        <v>1</v>
      </c>
      <c r="P201" s="441"/>
      <c r="Q201" s="66"/>
      <c r="R201" s="66"/>
      <c r="S201" s="66"/>
      <c r="T201" s="66"/>
    </row>
    <row r="202" spans="1:20" ht="15">
      <c r="A202" s="273">
        <v>198</v>
      </c>
      <c r="B202" s="259" t="s">
        <v>2</v>
      </c>
      <c r="C202" s="287">
        <v>40522</v>
      </c>
      <c r="D202" s="295" t="s">
        <v>120</v>
      </c>
      <c r="E202" s="288">
        <v>127</v>
      </c>
      <c r="F202" s="288">
        <v>11</v>
      </c>
      <c r="G202" s="288">
        <v>6</v>
      </c>
      <c r="H202" s="289">
        <v>12164</v>
      </c>
      <c r="I202" s="290">
        <v>2869</v>
      </c>
      <c r="J202" s="291">
        <f t="shared" si="38"/>
        <v>260.8181818181818</v>
      </c>
      <c r="K202" s="292">
        <f t="shared" si="39"/>
        <v>4.239804810038341</v>
      </c>
      <c r="L202" s="293">
        <f>1048675+809166.5+457718.5+70165.5+7102+12164</f>
        <v>2404991.5</v>
      </c>
      <c r="M202" s="294">
        <f>92481+73795+43350+8841+1153+2869</f>
        <v>222489</v>
      </c>
      <c r="N202" s="310">
        <f t="shared" si="40"/>
        <v>10.809484963301557</v>
      </c>
      <c r="O202" s="317"/>
      <c r="P202" s="441"/>
      <c r="Q202" s="66"/>
      <c r="R202" s="66"/>
      <c r="S202" s="66"/>
      <c r="T202" s="66"/>
    </row>
    <row r="203" spans="1:20" ht="15">
      <c r="A203" s="273">
        <v>199</v>
      </c>
      <c r="B203" s="259" t="s">
        <v>2</v>
      </c>
      <c r="C203" s="186">
        <v>40522</v>
      </c>
      <c r="D203" s="295" t="s">
        <v>120</v>
      </c>
      <c r="E203" s="320">
        <v>127</v>
      </c>
      <c r="F203" s="320">
        <v>8</v>
      </c>
      <c r="G203" s="320">
        <v>8</v>
      </c>
      <c r="H203" s="237">
        <v>11777.5</v>
      </c>
      <c r="I203" s="193">
        <v>2831</v>
      </c>
      <c r="J203" s="182">
        <f t="shared" si="38"/>
        <v>353.875</v>
      </c>
      <c r="K203" s="238">
        <f t="shared" si="39"/>
        <v>4.160190745319675</v>
      </c>
      <c r="L203" s="239">
        <f>1048675+809166.5+457718.5+70165.5+7102+12164+8619.5+11777.5</f>
        <v>2425388.5</v>
      </c>
      <c r="M203" s="181">
        <f>92481+73795+43350+8841+1153+2869+1615+2831</f>
        <v>226935</v>
      </c>
      <c r="N203" s="256">
        <f t="shared" si="40"/>
        <v>10.68759116046445</v>
      </c>
      <c r="O203" s="189"/>
      <c r="P203" s="441"/>
      <c r="Q203" s="66"/>
      <c r="R203" s="66"/>
      <c r="S203" s="66"/>
      <c r="T203" s="66"/>
    </row>
    <row r="204" spans="1:20" ht="15">
      <c r="A204" s="273">
        <v>200</v>
      </c>
      <c r="B204" s="311" t="s">
        <v>2</v>
      </c>
      <c r="C204" s="374">
        <v>40522</v>
      </c>
      <c r="D204" s="283" t="s">
        <v>120</v>
      </c>
      <c r="E204" s="284">
        <v>127</v>
      </c>
      <c r="F204" s="284">
        <v>10</v>
      </c>
      <c r="G204" s="284">
        <v>11</v>
      </c>
      <c r="H204" s="237">
        <v>10420.5</v>
      </c>
      <c r="I204" s="193">
        <v>2477</v>
      </c>
      <c r="J204" s="182">
        <f t="shared" si="38"/>
        <v>247.7</v>
      </c>
      <c r="K204" s="238">
        <f t="shared" si="39"/>
        <v>4.206903512313282</v>
      </c>
      <c r="L204" s="239">
        <f>1048675+809166.5+457718.5+70165.5+7102+12164+8619.5+11777.5+6559.5+3338.5+10420.5</f>
        <v>2445707</v>
      </c>
      <c r="M204" s="181">
        <f>92481+73795+43350+8841+1153+2869+1615+2831+1620+630+2477</f>
        <v>231662</v>
      </c>
      <c r="N204" s="256">
        <f t="shared" si="40"/>
        <v>10.557221296544103</v>
      </c>
      <c r="O204" s="316"/>
      <c r="P204" s="441"/>
      <c r="Q204" s="66"/>
      <c r="R204" s="66"/>
      <c r="S204" s="66"/>
      <c r="T204" s="66"/>
    </row>
    <row r="205" spans="1:20" ht="15">
      <c r="A205" s="273">
        <v>201</v>
      </c>
      <c r="B205" s="226" t="s">
        <v>2</v>
      </c>
      <c r="C205" s="173">
        <v>40522</v>
      </c>
      <c r="D205" s="283" t="s">
        <v>120</v>
      </c>
      <c r="E205" s="320">
        <v>127</v>
      </c>
      <c r="F205" s="320">
        <v>10</v>
      </c>
      <c r="G205" s="320">
        <v>7</v>
      </c>
      <c r="H205" s="237">
        <v>8619.5</v>
      </c>
      <c r="I205" s="193">
        <v>1615</v>
      </c>
      <c r="J205" s="182">
        <f t="shared" si="38"/>
        <v>161.5</v>
      </c>
      <c r="K205" s="238">
        <f t="shared" si="39"/>
        <v>5.337151702786378</v>
      </c>
      <c r="L205" s="239">
        <f>1048675+809166.5+457718.5+70165.5+7102+12164+8619.5</f>
        <v>2413611</v>
      </c>
      <c r="M205" s="181">
        <f>92481+73795+43350+8841+1153+2869+1615</f>
        <v>224104</v>
      </c>
      <c r="N205" s="256">
        <f t="shared" si="40"/>
        <v>10.770048727376576</v>
      </c>
      <c r="O205" s="189"/>
      <c r="P205" s="441"/>
      <c r="Q205" s="66"/>
      <c r="R205" s="66"/>
      <c r="S205" s="66"/>
      <c r="T205" s="66"/>
    </row>
    <row r="206" spans="1:20" ht="15">
      <c r="A206" s="273">
        <v>202</v>
      </c>
      <c r="B206" s="259" t="s">
        <v>2</v>
      </c>
      <c r="C206" s="173">
        <v>40522</v>
      </c>
      <c r="D206" s="283" t="s">
        <v>120</v>
      </c>
      <c r="E206" s="320">
        <v>127</v>
      </c>
      <c r="F206" s="320">
        <v>10</v>
      </c>
      <c r="G206" s="320">
        <v>5</v>
      </c>
      <c r="H206" s="237">
        <v>7102</v>
      </c>
      <c r="I206" s="193">
        <v>1153</v>
      </c>
      <c r="J206" s="182">
        <f t="shared" si="38"/>
        <v>115.3</v>
      </c>
      <c r="K206" s="238">
        <f t="shared" si="39"/>
        <v>6.159583694709454</v>
      </c>
      <c r="L206" s="239">
        <f>1048675+809166.5+457718.5+70165.5+7102</f>
        <v>2392827.5</v>
      </c>
      <c r="M206" s="181">
        <f>92481+73795+43350+8841+1153</f>
        <v>219620</v>
      </c>
      <c r="N206" s="256">
        <f t="shared" si="40"/>
        <v>10.8953078043894</v>
      </c>
      <c r="O206" s="191"/>
      <c r="P206" s="441"/>
      <c r="Q206" s="66"/>
      <c r="R206" s="66"/>
      <c r="S206" s="66"/>
      <c r="T206" s="66"/>
    </row>
    <row r="207" spans="1:20" ht="15">
      <c r="A207" s="273">
        <v>203</v>
      </c>
      <c r="B207" s="311" t="s">
        <v>2</v>
      </c>
      <c r="C207" s="173">
        <v>40522</v>
      </c>
      <c r="D207" s="283" t="s">
        <v>120</v>
      </c>
      <c r="E207" s="284">
        <v>127</v>
      </c>
      <c r="F207" s="284">
        <v>5</v>
      </c>
      <c r="G207" s="284">
        <v>9</v>
      </c>
      <c r="H207" s="237">
        <v>6559.5</v>
      </c>
      <c r="I207" s="193">
        <v>1620</v>
      </c>
      <c r="J207" s="182">
        <f t="shared" si="38"/>
        <v>324</v>
      </c>
      <c r="K207" s="238">
        <f t="shared" si="39"/>
        <v>4.049074074074074</v>
      </c>
      <c r="L207" s="239">
        <f>1048675+809166.5+457718.5+70165.5+7102+12164+8619.5+11777.5+6559.5</f>
        <v>2431948</v>
      </c>
      <c r="M207" s="181">
        <f>92481+73795+43350+8841+1153+2869+1615+2831+1620</f>
        <v>228555</v>
      </c>
      <c r="N207" s="256">
        <f t="shared" si="40"/>
        <v>10.640537288617619</v>
      </c>
      <c r="O207" s="356"/>
      <c r="P207" s="441"/>
      <c r="Q207" s="66"/>
      <c r="R207" s="66"/>
      <c r="S207" s="66"/>
      <c r="T207" s="66"/>
    </row>
    <row r="208" spans="1:20" ht="15">
      <c r="A208" s="273">
        <v>204</v>
      </c>
      <c r="B208" s="372" t="s">
        <v>2</v>
      </c>
      <c r="C208" s="287">
        <v>40522</v>
      </c>
      <c r="D208" s="283" t="s">
        <v>120</v>
      </c>
      <c r="E208" s="288">
        <v>127</v>
      </c>
      <c r="F208" s="288">
        <v>5</v>
      </c>
      <c r="G208" s="288">
        <v>10</v>
      </c>
      <c r="H208" s="289">
        <v>3338.5</v>
      </c>
      <c r="I208" s="290">
        <v>630</v>
      </c>
      <c r="J208" s="291">
        <f t="shared" si="38"/>
        <v>126</v>
      </c>
      <c r="K208" s="292">
        <f t="shared" si="39"/>
        <v>5.299206349206349</v>
      </c>
      <c r="L208" s="293">
        <f>1048675+809166.5+457718.5+70165.5+7102+12164+8619.5+11777.5+6559.5+3338.5</f>
        <v>2435286.5</v>
      </c>
      <c r="M208" s="294">
        <f>92481+73795+43350+8841+1153+2869+1615+2831+1620+630</f>
        <v>229185</v>
      </c>
      <c r="N208" s="310">
        <f t="shared" si="40"/>
        <v>10.625854658900016</v>
      </c>
      <c r="O208" s="315"/>
      <c r="P208" s="441"/>
      <c r="Q208" s="66"/>
      <c r="R208" s="66"/>
      <c r="S208" s="66"/>
      <c r="T208" s="66"/>
    </row>
    <row r="209" spans="1:15" ht="15">
      <c r="A209" s="273">
        <v>205</v>
      </c>
      <c r="B209" s="218" t="s">
        <v>157</v>
      </c>
      <c r="C209" s="173">
        <v>40529</v>
      </c>
      <c r="D209" s="283" t="s">
        <v>120</v>
      </c>
      <c r="E209" s="320">
        <v>27</v>
      </c>
      <c r="F209" s="320">
        <v>11</v>
      </c>
      <c r="G209" s="320">
        <v>3</v>
      </c>
      <c r="H209" s="204">
        <v>7073.5</v>
      </c>
      <c r="I209" s="193">
        <v>920</v>
      </c>
      <c r="J209" s="182">
        <f t="shared" si="38"/>
        <v>83.63636363636364</v>
      </c>
      <c r="K209" s="205">
        <f t="shared" si="39"/>
        <v>7.688586956521739</v>
      </c>
      <c r="L209" s="206">
        <f>68045+25663+7073.5</f>
        <v>100781.5</v>
      </c>
      <c r="M209" s="181">
        <f>5442+2277+920</f>
        <v>8639</v>
      </c>
      <c r="N209" s="219">
        <f t="shared" si="40"/>
        <v>11.665875680055562</v>
      </c>
      <c r="O209" s="189">
        <v>1</v>
      </c>
    </row>
    <row r="210" spans="1:15" ht="15">
      <c r="A210" s="273">
        <v>206</v>
      </c>
      <c r="B210" s="309" t="s">
        <v>106</v>
      </c>
      <c r="C210" s="287">
        <v>40529</v>
      </c>
      <c r="D210" s="283" t="s">
        <v>120</v>
      </c>
      <c r="E210" s="288">
        <v>27</v>
      </c>
      <c r="F210" s="288">
        <v>4</v>
      </c>
      <c r="G210" s="288">
        <v>4</v>
      </c>
      <c r="H210" s="237">
        <v>5233</v>
      </c>
      <c r="I210" s="193">
        <v>1185</v>
      </c>
      <c r="J210" s="182">
        <f t="shared" si="38"/>
        <v>296.25</v>
      </c>
      <c r="K210" s="238">
        <f t="shared" si="39"/>
        <v>4.4160337552742615</v>
      </c>
      <c r="L210" s="239">
        <f>68045+25663+7073.5+5233</f>
        <v>106014.5</v>
      </c>
      <c r="M210" s="181">
        <f>5442+2277+920+1185</f>
        <v>9824</v>
      </c>
      <c r="N210" s="256">
        <f t="shared" si="40"/>
        <v>10.79137825732899</v>
      </c>
      <c r="O210" s="191"/>
    </row>
    <row r="211" spans="1:15" ht="15">
      <c r="A211" s="273">
        <v>207</v>
      </c>
      <c r="B211" s="218" t="s">
        <v>106</v>
      </c>
      <c r="C211" s="173">
        <v>40529</v>
      </c>
      <c r="D211" s="283" t="s">
        <v>120</v>
      </c>
      <c r="E211" s="320">
        <v>27</v>
      </c>
      <c r="F211" s="320">
        <v>2</v>
      </c>
      <c r="G211" s="320">
        <v>5</v>
      </c>
      <c r="H211" s="237">
        <v>3859</v>
      </c>
      <c r="I211" s="193">
        <v>711</v>
      </c>
      <c r="J211" s="182">
        <f t="shared" si="38"/>
        <v>355.5</v>
      </c>
      <c r="K211" s="238">
        <f t="shared" si="39"/>
        <v>5.427566807313643</v>
      </c>
      <c r="L211" s="239">
        <f>68045+25663+7073.5+5233+3859</f>
        <v>109873.5</v>
      </c>
      <c r="M211" s="181">
        <f>5442+2277+920+1185+711</f>
        <v>10535</v>
      </c>
      <c r="N211" s="256">
        <f t="shared" si="40"/>
        <v>10.42937826293308</v>
      </c>
      <c r="O211" s="189"/>
    </row>
    <row r="212" spans="1:15" ht="15">
      <c r="A212" s="273">
        <v>208</v>
      </c>
      <c r="B212" s="309" t="s">
        <v>106</v>
      </c>
      <c r="C212" s="287">
        <v>40529</v>
      </c>
      <c r="D212" s="283" t="s">
        <v>120</v>
      </c>
      <c r="E212" s="288">
        <v>27</v>
      </c>
      <c r="F212" s="288">
        <v>1</v>
      </c>
      <c r="G212" s="288">
        <v>6</v>
      </c>
      <c r="H212" s="237">
        <v>470</v>
      </c>
      <c r="I212" s="193">
        <v>78</v>
      </c>
      <c r="J212" s="182">
        <f t="shared" si="38"/>
        <v>78</v>
      </c>
      <c r="K212" s="238">
        <f t="shared" si="39"/>
        <v>6.0256410256410255</v>
      </c>
      <c r="L212" s="239">
        <f>68045+25663+7073.5+5233+3859+470</f>
        <v>110343.5</v>
      </c>
      <c r="M212" s="181">
        <f>5442+2277+920+1185+711+78</f>
        <v>10613</v>
      </c>
      <c r="N212" s="256">
        <f t="shared" si="40"/>
        <v>10.397013097145011</v>
      </c>
      <c r="O212" s="315"/>
    </row>
    <row r="213" spans="1:15" ht="15">
      <c r="A213" s="273">
        <v>209</v>
      </c>
      <c r="B213" s="311" t="s">
        <v>106</v>
      </c>
      <c r="C213" s="374">
        <v>40529</v>
      </c>
      <c r="D213" s="283" t="s">
        <v>120</v>
      </c>
      <c r="E213" s="284">
        <v>27</v>
      </c>
      <c r="F213" s="284">
        <v>1</v>
      </c>
      <c r="G213" s="284">
        <v>7</v>
      </c>
      <c r="H213" s="237">
        <v>100</v>
      </c>
      <c r="I213" s="193">
        <v>13</v>
      </c>
      <c r="J213" s="182">
        <f t="shared" si="38"/>
        <v>13</v>
      </c>
      <c r="K213" s="238">
        <f t="shared" si="39"/>
        <v>7.6923076923076925</v>
      </c>
      <c r="L213" s="239">
        <f>68045+25663+7073.5+5233+3859+470+100</f>
        <v>110443.5</v>
      </c>
      <c r="M213" s="181">
        <f>5442+2277+920+1185+711+78+13</f>
        <v>10626</v>
      </c>
      <c r="N213" s="256">
        <f t="shared" si="40"/>
        <v>10.393704121964992</v>
      </c>
      <c r="O213" s="316"/>
    </row>
    <row r="214" spans="1:15" ht="15">
      <c r="A214" s="273">
        <v>210</v>
      </c>
      <c r="B214" s="257" t="s">
        <v>115</v>
      </c>
      <c r="C214" s="169">
        <v>40417</v>
      </c>
      <c r="D214" s="286" t="s">
        <v>24</v>
      </c>
      <c r="E214" s="285">
        <v>119</v>
      </c>
      <c r="F214" s="285">
        <v>1</v>
      </c>
      <c r="G214" s="285">
        <v>15</v>
      </c>
      <c r="H214" s="234">
        <v>941</v>
      </c>
      <c r="I214" s="192">
        <v>843</v>
      </c>
      <c r="J214" s="172">
        <f>I214/F214</f>
        <v>843</v>
      </c>
      <c r="K214" s="235">
        <f t="shared" si="39"/>
        <v>1.1162514827995256</v>
      </c>
      <c r="L214" s="236">
        <v>859853</v>
      </c>
      <c r="M214" s="171">
        <v>97516</v>
      </c>
      <c r="N214" s="254">
        <f aca="true" t="shared" si="41" ref="N214:N222">+L214/M214</f>
        <v>8.817558144304524</v>
      </c>
      <c r="O214" s="316"/>
    </row>
    <row r="215" spans="1:15" ht="15">
      <c r="A215" s="273">
        <v>211</v>
      </c>
      <c r="B215" s="222" t="s">
        <v>37</v>
      </c>
      <c r="C215" s="169">
        <v>40480</v>
      </c>
      <c r="D215" s="177" t="s">
        <v>27</v>
      </c>
      <c r="E215" s="285">
        <v>21</v>
      </c>
      <c r="F215" s="285">
        <v>12</v>
      </c>
      <c r="G215" s="285">
        <v>10</v>
      </c>
      <c r="H215" s="210">
        <v>8985</v>
      </c>
      <c r="I215" s="196">
        <v>1356</v>
      </c>
      <c r="J215" s="179">
        <f>+I215/F215</f>
        <v>113</v>
      </c>
      <c r="K215" s="211">
        <f>+H215/I215</f>
        <v>6.626106194690266</v>
      </c>
      <c r="L215" s="212">
        <v>295457</v>
      </c>
      <c r="M215" s="178">
        <v>26551</v>
      </c>
      <c r="N215" s="223">
        <f t="shared" si="41"/>
        <v>11.127904787013671</v>
      </c>
      <c r="O215" s="191"/>
    </row>
    <row r="216" spans="1:15" ht="15">
      <c r="A216" s="273">
        <v>212</v>
      </c>
      <c r="B216" s="257" t="s">
        <v>37</v>
      </c>
      <c r="C216" s="375">
        <v>40480</v>
      </c>
      <c r="D216" s="286" t="s">
        <v>27</v>
      </c>
      <c r="E216" s="285">
        <v>21</v>
      </c>
      <c r="F216" s="285">
        <v>3</v>
      </c>
      <c r="G216" s="285">
        <v>13</v>
      </c>
      <c r="H216" s="240">
        <v>2972</v>
      </c>
      <c r="I216" s="196">
        <v>535</v>
      </c>
      <c r="J216" s="179">
        <f>+I216/F216</f>
        <v>178.33333333333334</v>
      </c>
      <c r="K216" s="241">
        <f>+H216/I216</f>
        <v>5.555140186915888</v>
      </c>
      <c r="L216" s="242">
        <v>302074</v>
      </c>
      <c r="M216" s="178">
        <v>27572</v>
      </c>
      <c r="N216" s="258">
        <f t="shared" si="41"/>
        <v>10.95582474974612</v>
      </c>
      <c r="O216" s="316"/>
    </row>
    <row r="217" spans="1:15" ht="15">
      <c r="A217" s="273">
        <v>213</v>
      </c>
      <c r="B217" s="257" t="s">
        <v>37</v>
      </c>
      <c r="C217" s="169">
        <v>40480</v>
      </c>
      <c r="D217" s="324" t="s">
        <v>27</v>
      </c>
      <c r="E217" s="285">
        <v>21</v>
      </c>
      <c r="F217" s="285">
        <v>1</v>
      </c>
      <c r="G217" s="285">
        <v>12</v>
      </c>
      <c r="H217" s="240">
        <v>1139</v>
      </c>
      <c r="I217" s="196">
        <v>203</v>
      </c>
      <c r="J217" s="179">
        <f>+I217/F217</f>
        <v>203</v>
      </c>
      <c r="K217" s="241">
        <f>+H217/I217</f>
        <v>5.610837438423645</v>
      </c>
      <c r="L217" s="242">
        <v>299102</v>
      </c>
      <c r="M217" s="178">
        <v>27037</v>
      </c>
      <c r="N217" s="258">
        <f t="shared" si="41"/>
        <v>11.062691866701186</v>
      </c>
      <c r="O217" s="315"/>
    </row>
    <row r="218" spans="1:15" ht="15">
      <c r="A218" s="273">
        <v>214</v>
      </c>
      <c r="B218" s="257" t="s">
        <v>109</v>
      </c>
      <c r="C218" s="169">
        <v>37193</v>
      </c>
      <c r="D218" s="286" t="s">
        <v>27</v>
      </c>
      <c r="E218" s="285">
        <v>21</v>
      </c>
      <c r="F218" s="285">
        <v>1</v>
      </c>
      <c r="G218" s="285">
        <v>11</v>
      </c>
      <c r="H218" s="240">
        <v>2506</v>
      </c>
      <c r="I218" s="196">
        <v>283</v>
      </c>
      <c r="J218" s="179">
        <f>+I218/F218</f>
        <v>283</v>
      </c>
      <c r="K218" s="241">
        <f>+H218/I218</f>
        <v>8.855123674911662</v>
      </c>
      <c r="L218" s="242">
        <v>297963</v>
      </c>
      <c r="M218" s="178">
        <v>26834</v>
      </c>
      <c r="N218" s="258">
        <f t="shared" si="41"/>
        <v>11.103935305955131</v>
      </c>
      <c r="O218" s="316"/>
    </row>
    <row r="219" spans="1:15" ht="15">
      <c r="A219" s="273">
        <v>215</v>
      </c>
      <c r="B219" s="253" t="s">
        <v>132</v>
      </c>
      <c r="C219" s="169">
        <v>40473</v>
      </c>
      <c r="D219" s="323" t="s">
        <v>24</v>
      </c>
      <c r="E219" s="322">
        <v>74</v>
      </c>
      <c r="F219" s="322">
        <v>1</v>
      </c>
      <c r="G219" s="322">
        <v>9</v>
      </c>
      <c r="H219" s="234">
        <v>3572</v>
      </c>
      <c r="I219" s="192">
        <v>893</v>
      </c>
      <c r="J219" s="172">
        <f>I219/F219</f>
        <v>893</v>
      </c>
      <c r="K219" s="235">
        <f>H219/I219</f>
        <v>4</v>
      </c>
      <c r="L219" s="236">
        <v>981252</v>
      </c>
      <c r="M219" s="171">
        <v>84379</v>
      </c>
      <c r="N219" s="254">
        <f t="shared" si="41"/>
        <v>11.62910202775572</v>
      </c>
      <c r="O219" s="189"/>
    </row>
    <row r="220" spans="1:15" ht="15">
      <c r="A220" s="273">
        <v>216</v>
      </c>
      <c r="B220" s="222" t="s">
        <v>1</v>
      </c>
      <c r="C220" s="169">
        <v>40522</v>
      </c>
      <c r="D220" s="177" t="s">
        <v>27</v>
      </c>
      <c r="E220" s="285">
        <v>110</v>
      </c>
      <c r="F220" s="285">
        <v>110</v>
      </c>
      <c r="G220" s="285">
        <v>4</v>
      </c>
      <c r="H220" s="210">
        <v>694041</v>
      </c>
      <c r="I220" s="196">
        <v>64977</v>
      </c>
      <c r="J220" s="179">
        <f>+I220/F220</f>
        <v>590.7</v>
      </c>
      <c r="K220" s="211">
        <f>+H220/I220</f>
        <v>10.681333394893578</v>
      </c>
      <c r="L220" s="212">
        <v>4602088</v>
      </c>
      <c r="M220" s="178">
        <v>434759</v>
      </c>
      <c r="N220" s="223">
        <f t="shared" si="41"/>
        <v>10.5853771859812</v>
      </c>
      <c r="O220" s="191"/>
    </row>
    <row r="221" spans="1:15" ht="15">
      <c r="A221" s="273">
        <v>217</v>
      </c>
      <c r="B221" s="257" t="s">
        <v>1</v>
      </c>
      <c r="C221" s="169">
        <v>40522</v>
      </c>
      <c r="D221" s="177" t="s">
        <v>27</v>
      </c>
      <c r="E221" s="285">
        <v>110</v>
      </c>
      <c r="F221" s="285">
        <v>71</v>
      </c>
      <c r="G221" s="285">
        <v>5</v>
      </c>
      <c r="H221" s="240">
        <v>224162</v>
      </c>
      <c r="I221" s="196">
        <v>19224</v>
      </c>
      <c r="J221" s="179">
        <f>+I221/F221</f>
        <v>270.76056338028167</v>
      </c>
      <c r="K221" s="241">
        <f>+H221/I221</f>
        <v>11.660528506034124</v>
      </c>
      <c r="L221" s="242">
        <v>4826250</v>
      </c>
      <c r="M221" s="178">
        <v>453983</v>
      </c>
      <c r="N221" s="258">
        <f t="shared" si="41"/>
        <v>10.63090468145283</v>
      </c>
      <c r="O221" s="190"/>
    </row>
    <row r="222" spans="1:15" ht="15">
      <c r="A222" s="273">
        <v>218</v>
      </c>
      <c r="B222" s="257" t="s">
        <v>1</v>
      </c>
      <c r="C222" s="169">
        <v>40522</v>
      </c>
      <c r="D222" s="286" t="s">
        <v>27</v>
      </c>
      <c r="E222" s="285">
        <v>110</v>
      </c>
      <c r="F222" s="285">
        <v>66</v>
      </c>
      <c r="G222" s="285">
        <v>6</v>
      </c>
      <c r="H222" s="240">
        <v>118638</v>
      </c>
      <c r="I222" s="196">
        <v>12477</v>
      </c>
      <c r="J222" s="179">
        <f>+I222/F222</f>
        <v>189.04545454545453</v>
      </c>
      <c r="K222" s="241">
        <f>+H222/I222</f>
        <v>9.508535705698485</v>
      </c>
      <c r="L222" s="242">
        <v>4944888</v>
      </c>
      <c r="M222" s="178">
        <v>466460</v>
      </c>
      <c r="N222" s="258">
        <f t="shared" si="41"/>
        <v>10.600883248295673</v>
      </c>
      <c r="O222" s="316"/>
    </row>
    <row r="223" spans="1:15" ht="15">
      <c r="A223" s="273">
        <v>219</v>
      </c>
      <c r="B223" s="222" t="s">
        <v>1</v>
      </c>
      <c r="C223" s="169">
        <v>40522</v>
      </c>
      <c r="D223" s="324" t="s">
        <v>27</v>
      </c>
      <c r="E223" s="285">
        <v>110</v>
      </c>
      <c r="F223" s="285">
        <v>32</v>
      </c>
      <c r="G223" s="285">
        <v>7</v>
      </c>
      <c r="H223" s="240">
        <v>51075</v>
      </c>
      <c r="I223" s="196">
        <v>6840</v>
      </c>
      <c r="J223" s="182">
        <f>(I223/F223)</f>
        <v>213.75</v>
      </c>
      <c r="K223" s="238">
        <f>H223/I223</f>
        <v>7.467105263157895</v>
      </c>
      <c r="L223" s="242">
        <v>4995963</v>
      </c>
      <c r="M223" s="178">
        <v>473300</v>
      </c>
      <c r="N223" s="256">
        <f>L223/M223</f>
        <v>10.55559476019438</v>
      </c>
      <c r="O223" s="189"/>
    </row>
    <row r="224" spans="1:15" ht="15">
      <c r="A224" s="273">
        <v>220</v>
      </c>
      <c r="B224" s="257" t="s">
        <v>1</v>
      </c>
      <c r="C224" s="169">
        <v>40522</v>
      </c>
      <c r="D224" s="324" t="s">
        <v>27</v>
      </c>
      <c r="E224" s="285">
        <v>110</v>
      </c>
      <c r="F224" s="285">
        <v>6</v>
      </c>
      <c r="G224" s="285">
        <v>10</v>
      </c>
      <c r="H224" s="240">
        <v>4744</v>
      </c>
      <c r="I224" s="196">
        <v>1467</v>
      </c>
      <c r="J224" s="179">
        <f>+I224/F224</f>
        <v>244.5</v>
      </c>
      <c r="K224" s="241">
        <f>+H224/I224</f>
        <v>3.2338104976141784</v>
      </c>
      <c r="L224" s="242">
        <v>5008119</v>
      </c>
      <c r="M224" s="178">
        <v>476107</v>
      </c>
      <c r="N224" s="258">
        <f aca="true" t="shared" si="42" ref="N224:N235">+L224/M224</f>
        <v>10.518893862094025</v>
      </c>
      <c r="O224" s="315"/>
    </row>
    <row r="225" spans="1:15" ht="15">
      <c r="A225" s="273">
        <v>221</v>
      </c>
      <c r="B225" s="257" t="s">
        <v>1</v>
      </c>
      <c r="C225" s="169">
        <v>40522</v>
      </c>
      <c r="D225" s="286" t="s">
        <v>27</v>
      </c>
      <c r="E225" s="285">
        <v>110</v>
      </c>
      <c r="F225" s="285">
        <v>6</v>
      </c>
      <c r="G225" s="285">
        <v>9</v>
      </c>
      <c r="H225" s="240">
        <v>4075</v>
      </c>
      <c r="I225" s="196">
        <v>848</v>
      </c>
      <c r="J225" s="179">
        <f>+I225/F225</f>
        <v>141.33333333333334</v>
      </c>
      <c r="K225" s="241">
        <f>+H225/I225</f>
        <v>4.805424528301887</v>
      </c>
      <c r="L225" s="242">
        <v>5003375</v>
      </c>
      <c r="M225" s="178">
        <v>474640</v>
      </c>
      <c r="N225" s="258">
        <f t="shared" si="42"/>
        <v>10.541410332041126</v>
      </c>
      <c r="O225" s="356"/>
    </row>
    <row r="226" spans="1:15" ht="15">
      <c r="A226" s="273">
        <v>222</v>
      </c>
      <c r="B226" s="257" t="s">
        <v>1</v>
      </c>
      <c r="C226" s="375">
        <v>40522</v>
      </c>
      <c r="D226" s="286" t="s">
        <v>27</v>
      </c>
      <c r="E226" s="285">
        <v>110</v>
      </c>
      <c r="F226" s="285">
        <v>9</v>
      </c>
      <c r="G226" s="285">
        <v>11</v>
      </c>
      <c r="H226" s="240">
        <v>3734</v>
      </c>
      <c r="I226" s="196">
        <v>594</v>
      </c>
      <c r="J226" s="179">
        <f>+I226/F226</f>
        <v>66</v>
      </c>
      <c r="K226" s="241">
        <f>+H226/I226</f>
        <v>6.286195286195286</v>
      </c>
      <c r="L226" s="242">
        <v>5011853</v>
      </c>
      <c r="M226" s="178">
        <v>476701</v>
      </c>
      <c r="N226" s="258">
        <f t="shared" si="42"/>
        <v>10.513619648374977</v>
      </c>
      <c r="O226" s="316"/>
    </row>
    <row r="227" spans="1:15" ht="15">
      <c r="A227" s="273">
        <v>223</v>
      </c>
      <c r="B227" s="257" t="s">
        <v>1</v>
      </c>
      <c r="C227" s="169">
        <v>40522</v>
      </c>
      <c r="D227" s="324" t="s">
        <v>27</v>
      </c>
      <c r="E227" s="285">
        <v>110</v>
      </c>
      <c r="F227" s="285">
        <v>7</v>
      </c>
      <c r="G227" s="285">
        <v>8</v>
      </c>
      <c r="H227" s="240">
        <v>3338</v>
      </c>
      <c r="I227" s="196">
        <v>492</v>
      </c>
      <c r="J227" s="179">
        <f>+I227/F227</f>
        <v>70.28571428571429</v>
      </c>
      <c r="K227" s="241">
        <f>+H227/I227</f>
        <v>6.784552845528455</v>
      </c>
      <c r="L227" s="242">
        <v>4999300</v>
      </c>
      <c r="M227" s="178">
        <v>473792</v>
      </c>
      <c r="N227" s="254">
        <f t="shared" si="42"/>
        <v>10.551676685127651</v>
      </c>
      <c r="O227" s="189"/>
    </row>
    <row r="228" spans="1:15" ht="15">
      <c r="A228" s="273">
        <v>224</v>
      </c>
      <c r="B228" s="224" t="s">
        <v>73</v>
      </c>
      <c r="C228" s="169">
        <v>40536</v>
      </c>
      <c r="D228" s="170" t="s">
        <v>24</v>
      </c>
      <c r="E228" s="322">
        <v>48</v>
      </c>
      <c r="F228" s="322">
        <v>48</v>
      </c>
      <c r="G228" s="322">
        <v>2</v>
      </c>
      <c r="H228" s="201">
        <v>281047</v>
      </c>
      <c r="I228" s="192">
        <v>23436</v>
      </c>
      <c r="J228" s="172">
        <f aca="true" t="shared" si="43" ref="J228:J235">I228/F228</f>
        <v>488.25</v>
      </c>
      <c r="K228" s="208">
        <f>+H228/I228</f>
        <v>11.992106161461</v>
      </c>
      <c r="L228" s="203">
        <v>605758</v>
      </c>
      <c r="M228" s="171">
        <v>52142</v>
      </c>
      <c r="N228" s="225">
        <f t="shared" si="42"/>
        <v>11.61746768440029</v>
      </c>
      <c r="O228" s="198"/>
    </row>
    <row r="229" spans="1:15" ht="15">
      <c r="A229" s="273">
        <v>225</v>
      </c>
      <c r="B229" s="253" t="s">
        <v>73</v>
      </c>
      <c r="C229" s="169">
        <v>40536</v>
      </c>
      <c r="D229" s="170" t="s">
        <v>24</v>
      </c>
      <c r="E229" s="322">
        <v>48</v>
      </c>
      <c r="F229" s="322">
        <v>36</v>
      </c>
      <c r="G229" s="322">
        <v>3</v>
      </c>
      <c r="H229" s="234">
        <v>66790</v>
      </c>
      <c r="I229" s="192">
        <v>5435</v>
      </c>
      <c r="J229" s="172">
        <f t="shared" si="43"/>
        <v>150.97222222222223</v>
      </c>
      <c r="K229" s="235">
        <f aca="true" t="shared" si="44" ref="K229:K248">H229/I229</f>
        <v>12.288868445262189</v>
      </c>
      <c r="L229" s="236">
        <v>672548</v>
      </c>
      <c r="M229" s="171">
        <v>57577</v>
      </c>
      <c r="N229" s="254">
        <f t="shared" si="42"/>
        <v>11.6808447817705</v>
      </c>
      <c r="O229" s="190"/>
    </row>
    <row r="230" spans="1:15" ht="15">
      <c r="A230" s="273">
        <v>226</v>
      </c>
      <c r="B230" s="224" t="s">
        <v>73</v>
      </c>
      <c r="C230" s="169">
        <v>40536</v>
      </c>
      <c r="D230" s="323" t="s">
        <v>24</v>
      </c>
      <c r="E230" s="322">
        <v>48</v>
      </c>
      <c r="F230" s="322">
        <v>10</v>
      </c>
      <c r="G230" s="322">
        <v>5</v>
      </c>
      <c r="H230" s="234">
        <v>11003</v>
      </c>
      <c r="I230" s="192">
        <v>1816</v>
      </c>
      <c r="J230" s="172">
        <f t="shared" si="43"/>
        <v>181.6</v>
      </c>
      <c r="K230" s="235">
        <f t="shared" si="44"/>
        <v>6.058920704845815</v>
      </c>
      <c r="L230" s="236">
        <v>691927</v>
      </c>
      <c r="M230" s="171">
        <v>60452</v>
      </c>
      <c r="N230" s="254">
        <f t="shared" si="42"/>
        <v>11.445890954807119</v>
      </c>
      <c r="O230" s="189"/>
    </row>
    <row r="231" spans="1:15" ht="15">
      <c r="A231" s="273">
        <v>227</v>
      </c>
      <c r="B231" s="257" t="s">
        <v>73</v>
      </c>
      <c r="C231" s="169">
        <v>40536</v>
      </c>
      <c r="D231" s="286" t="s">
        <v>24</v>
      </c>
      <c r="E231" s="285">
        <v>48</v>
      </c>
      <c r="F231" s="285">
        <v>7</v>
      </c>
      <c r="G231" s="285">
        <v>4</v>
      </c>
      <c r="H231" s="234">
        <v>8376</v>
      </c>
      <c r="I231" s="192">
        <v>1059</v>
      </c>
      <c r="J231" s="172">
        <f t="shared" si="43"/>
        <v>151.28571428571428</v>
      </c>
      <c r="K231" s="235">
        <f t="shared" si="44"/>
        <v>7.909348441926346</v>
      </c>
      <c r="L231" s="236">
        <v>680924</v>
      </c>
      <c r="M231" s="171">
        <v>58636</v>
      </c>
      <c r="N231" s="254">
        <f t="shared" si="42"/>
        <v>11.612729381267481</v>
      </c>
      <c r="O231" s="316"/>
    </row>
    <row r="232" spans="1:15" ht="15">
      <c r="A232" s="273">
        <v>228</v>
      </c>
      <c r="B232" s="257" t="s">
        <v>73</v>
      </c>
      <c r="C232" s="375">
        <v>40536</v>
      </c>
      <c r="D232" s="286" t="s">
        <v>24</v>
      </c>
      <c r="E232" s="285">
        <v>48</v>
      </c>
      <c r="F232" s="285">
        <v>4</v>
      </c>
      <c r="G232" s="285">
        <v>9</v>
      </c>
      <c r="H232" s="234">
        <v>3417</v>
      </c>
      <c r="I232" s="192">
        <v>493</v>
      </c>
      <c r="J232" s="172">
        <f t="shared" si="43"/>
        <v>123.25</v>
      </c>
      <c r="K232" s="235">
        <f t="shared" si="44"/>
        <v>6.931034482758621</v>
      </c>
      <c r="L232" s="236">
        <v>702704</v>
      </c>
      <c r="M232" s="171">
        <v>62786</v>
      </c>
      <c r="N232" s="254">
        <f t="shared" si="42"/>
        <v>11.192049182938872</v>
      </c>
      <c r="O232" s="316"/>
    </row>
    <row r="233" spans="1:15" ht="15">
      <c r="A233" s="273">
        <v>229</v>
      </c>
      <c r="B233" s="253" t="s">
        <v>73</v>
      </c>
      <c r="C233" s="169">
        <v>40536</v>
      </c>
      <c r="D233" s="323" t="s">
        <v>24</v>
      </c>
      <c r="E233" s="322">
        <v>48</v>
      </c>
      <c r="F233" s="322">
        <v>5</v>
      </c>
      <c r="G233" s="322">
        <v>8</v>
      </c>
      <c r="H233" s="234">
        <v>2592</v>
      </c>
      <c r="I233" s="192">
        <v>363</v>
      </c>
      <c r="J233" s="172">
        <f t="shared" si="43"/>
        <v>72.6</v>
      </c>
      <c r="K233" s="235">
        <f t="shared" si="44"/>
        <v>7.140495867768595</v>
      </c>
      <c r="L233" s="236">
        <v>699287</v>
      </c>
      <c r="M233" s="171">
        <v>62293</v>
      </c>
      <c r="N233" s="254">
        <f t="shared" si="42"/>
        <v>11.225771756056057</v>
      </c>
      <c r="O233" s="315"/>
    </row>
    <row r="234" spans="1:15" ht="15">
      <c r="A234" s="273">
        <v>230</v>
      </c>
      <c r="B234" s="257" t="s">
        <v>73</v>
      </c>
      <c r="C234" s="169">
        <v>40536</v>
      </c>
      <c r="D234" s="286" t="s">
        <v>24</v>
      </c>
      <c r="E234" s="285">
        <v>48</v>
      </c>
      <c r="F234" s="285">
        <v>2</v>
      </c>
      <c r="G234" s="285">
        <v>7</v>
      </c>
      <c r="H234" s="234">
        <v>2498</v>
      </c>
      <c r="I234" s="192">
        <v>822</v>
      </c>
      <c r="J234" s="172">
        <f t="shared" si="43"/>
        <v>411</v>
      </c>
      <c r="K234" s="235">
        <f t="shared" si="44"/>
        <v>3.0389294403892944</v>
      </c>
      <c r="L234" s="236">
        <v>696695</v>
      </c>
      <c r="M234" s="171">
        <v>61930</v>
      </c>
      <c r="N234" s="254">
        <f t="shared" si="42"/>
        <v>11.249717422896818</v>
      </c>
      <c r="O234" s="356"/>
    </row>
    <row r="235" spans="1:15" ht="15">
      <c r="A235" s="273">
        <v>231</v>
      </c>
      <c r="B235" s="253" t="s">
        <v>73</v>
      </c>
      <c r="C235" s="169">
        <v>40536</v>
      </c>
      <c r="D235" s="323" t="s">
        <v>24</v>
      </c>
      <c r="E235" s="322">
        <v>48</v>
      </c>
      <c r="F235" s="322">
        <v>3</v>
      </c>
      <c r="G235" s="322">
        <v>6</v>
      </c>
      <c r="H235" s="234">
        <v>2270</v>
      </c>
      <c r="I235" s="192">
        <v>656</v>
      </c>
      <c r="J235" s="172">
        <f t="shared" si="43"/>
        <v>218.66666666666666</v>
      </c>
      <c r="K235" s="235">
        <f t="shared" si="44"/>
        <v>3.4603658536585367</v>
      </c>
      <c r="L235" s="236">
        <v>694197</v>
      </c>
      <c r="M235" s="171">
        <v>61108</v>
      </c>
      <c r="N235" s="254">
        <f t="shared" si="42"/>
        <v>11.360165608430975</v>
      </c>
      <c r="O235" s="189"/>
    </row>
    <row r="236" spans="1:15" ht="15">
      <c r="A236" s="273">
        <v>232</v>
      </c>
      <c r="B236" s="218" t="s">
        <v>65</v>
      </c>
      <c r="C236" s="173">
        <v>40508</v>
      </c>
      <c r="D236" s="283" t="s">
        <v>120</v>
      </c>
      <c r="E236" s="320">
        <v>44</v>
      </c>
      <c r="F236" s="320">
        <v>2</v>
      </c>
      <c r="G236" s="320">
        <v>6</v>
      </c>
      <c r="H236" s="204">
        <v>1171.5</v>
      </c>
      <c r="I236" s="193">
        <v>282</v>
      </c>
      <c r="J236" s="182">
        <f aca="true" t="shared" si="45" ref="J236:J248">(I236/F236)</f>
        <v>141</v>
      </c>
      <c r="K236" s="205">
        <f t="shared" si="44"/>
        <v>4.154255319148936</v>
      </c>
      <c r="L236" s="206">
        <f>49086+11854+1926+2212.5+1180+1171.5</f>
        <v>67430</v>
      </c>
      <c r="M236" s="181">
        <f>5689+1635+274+420+165+282</f>
        <v>8465</v>
      </c>
      <c r="N236" s="219">
        <f aca="true" t="shared" si="46" ref="N236:N248">L236/M236</f>
        <v>7.96574128765505</v>
      </c>
      <c r="O236" s="191"/>
    </row>
    <row r="237" spans="1:15" ht="15">
      <c r="A237" s="273">
        <v>233</v>
      </c>
      <c r="B237" s="262" t="s">
        <v>3</v>
      </c>
      <c r="C237" s="188">
        <v>40473</v>
      </c>
      <c r="D237" s="283" t="s">
        <v>120</v>
      </c>
      <c r="E237" s="329">
        <v>2</v>
      </c>
      <c r="F237" s="329">
        <v>1</v>
      </c>
      <c r="G237" s="329">
        <v>7</v>
      </c>
      <c r="H237" s="237">
        <v>396</v>
      </c>
      <c r="I237" s="193">
        <v>89</v>
      </c>
      <c r="J237" s="182">
        <f t="shared" si="45"/>
        <v>89</v>
      </c>
      <c r="K237" s="238">
        <f t="shared" si="44"/>
        <v>4.449438202247191</v>
      </c>
      <c r="L237" s="239">
        <f>6832+2665+3612+1330+1973+129+396</f>
        <v>16937</v>
      </c>
      <c r="M237" s="181">
        <f>659+312+817+151+365+14+89</f>
        <v>2407</v>
      </c>
      <c r="N237" s="256">
        <f t="shared" si="46"/>
        <v>7.036560033236394</v>
      </c>
      <c r="O237" s="191"/>
    </row>
    <row r="238" spans="1:15" ht="15">
      <c r="A238" s="273">
        <v>234</v>
      </c>
      <c r="B238" s="228" t="s">
        <v>3</v>
      </c>
      <c r="C238" s="188">
        <v>40473</v>
      </c>
      <c r="D238" s="283" t="s">
        <v>120</v>
      </c>
      <c r="E238" s="329">
        <v>2</v>
      </c>
      <c r="F238" s="329">
        <v>1</v>
      </c>
      <c r="G238" s="329">
        <v>6</v>
      </c>
      <c r="H238" s="204">
        <v>129</v>
      </c>
      <c r="I238" s="193">
        <v>14</v>
      </c>
      <c r="J238" s="182">
        <f t="shared" si="45"/>
        <v>14</v>
      </c>
      <c r="K238" s="205">
        <f t="shared" si="44"/>
        <v>9.214285714285714</v>
      </c>
      <c r="L238" s="206">
        <f>6832+2665+3612+1330+1973+129</f>
        <v>16541</v>
      </c>
      <c r="M238" s="181">
        <f>659+312+817+151+365+14</f>
        <v>2318</v>
      </c>
      <c r="N238" s="219">
        <f t="shared" si="46"/>
        <v>7.135893011216566</v>
      </c>
      <c r="O238" s="189"/>
    </row>
    <row r="239" spans="1:15" ht="15">
      <c r="A239" s="273">
        <v>235</v>
      </c>
      <c r="B239" s="218" t="s">
        <v>53</v>
      </c>
      <c r="C239" s="173">
        <v>40494</v>
      </c>
      <c r="D239" s="283" t="s">
        <v>120</v>
      </c>
      <c r="E239" s="320">
        <v>80</v>
      </c>
      <c r="F239" s="320">
        <v>13</v>
      </c>
      <c r="G239" s="320">
        <v>8</v>
      </c>
      <c r="H239" s="204">
        <v>11751.5</v>
      </c>
      <c r="I239" s="193">
        <v>2055</v>
      </c>
      <c r="J239" s="182">
        <f t="shared" si="45"/>
        <v>158.07692307692307</v>
      </c>
      <c r="K239" s="205">
        <f t="shared" si="44"/>
        <v>5.718491484184915</v>
      </c>
      <c r="L239" s="206">
        <f>400584.5+260220.5+91588.5+26738.5+6598.5+10112.5+8832+11751.5</f>
        <v>816426.5</v>
      </c>
      <c r="M239" s="181">
        <f>34427+24318+9929+5066+1310+1866+1322+2055</f>
        <v>80293</v>
      </c>
      <c r="N239" s="219">
        <f t="shared" si="46"/>
        <v>10.168090618111167</v>
      </c>
      <c r="O239" s="191"/>
    </row>
    <row r="240" spans="1:15" ht="15">
      <c r="A240" s="273">
        <v>236</v>
      </c>
      <c r="B240" s="218" t="s">
        <v>53</v>
      </c>
      <c r="C240" s="173">
        <v>40494</v>
      </c>
      <c r="D240" s="283" t="s">
        <v>120</v>
      </c>
      <c r="E240" s="320">
        <v>80</v>
      </c>
      <c r="F240" s="320">
        <v>1</v>
      </c>
      <c r="G240" s="320">
        <v>11</v>
      </c>
      <c r="H240" s="237">
        <v>3564</v>
      </c>
      <c r="I240" s="193">
        <v>891</v>
      </c>
      <c r="J240" s="182">
        <f t="shared" si="45"/>
        <v>891</v>
      </c>
      <c r="K240" s="238">
        <f t="shared" si="44"/>
        <v>4</v>
      </c>
      <c r="L240" s="239">
        <f>400584.5+260220.5+91588.5+26738.5+6598.5+10112.5+8832+11751.5+1782+1570.5+3564</f>
        <v>823343</v>
      </c>
      <c r="M240" s="181">
        <f>34427+24318+9929+5066+1310+1866+1322+2055+445+470+891</f>
        <v>82099</v>
      </c>
      <c r="N240" s="256">
        <f t="shared" si="46"/>
        <v>10.02866051961656</v>
      </c>
      <c r="O240" s="189"/>
    </row>
    <row r="241" spans="1:15" ht="15">
      <c r="A241" s="273">
        <v>237</v>
      </c>
      <c r="B241" s="251" t="s">
        <v>53</v>
      </c>
      <c r="C241" s="173">
        <v>40494</v>
      </c>
      <c r="D241" s="283" t="s">
        <v>120</v>
      </c>
      <c r="E241" s="320">
        <v>80</v>
      </c>
      <c r="F241" s="320">
        <v>1</v>
      </c>
      <c r="G241" s="320">
        <v>9</v>
      </c>
      <c r="H241" s="237">
        <v>1782</v>
      </c>
      <c r="I241" s="193">
        <v>445</v>
      </c>
      <c r="J241" s="182">
        <f t="shared" si="45"/>
        <v>445</v>
      </c>
      <c r="K241" s="238">
        <f t="shared" si="44"/>
        <v>4.004494382022472</v>
      </c>
      <c r="L241" s="239">
        <f>400584.5+260220.5+91588.5+26738.5+6598.5+10112.5+8832+11751.5+1782</f>
        <v>818208.5</v>
      </c>
      <c r="M241" s="181">
        <f>34427+24318+9929+5066+1310+1866+1322+2055+445</f>
        <v>80738</v>
      </c>
      <c r="N241" s="256">
        <f t="shared" si="46"/>
        <v>10.134119002204661</v>
      </c>
      <c r="O241" s="191"/>
    </row>
    <row r="242" spans="1:15" ht="15">
      <c r="A242" s="273">
        <v>238</v>
      </c>
      <c r="B242" s="309" t="s">
        <v>53</v>
      </c>
      <c r="C242" s="287">
        <v>40494</v>
      </c>
      <c r="D242" s="283" t="s">
        <v>120</v>
      </c>
      <c r="E242" s="288">
        <v>80</v>
      </c>
      <c r="F242" s="288">
        <v>2</v>
      </c>
      <c r="G242" s="288">
        <v>10</v>
      </c>
      <c r="H242" s="289">
        <v>1570.5</v>
      </c>
      <c r="I242" s="290">
        <v>470</v>
      </c>
      <c r="J242" s="291">
        <f t="shared" si="45"/>
        <v>235</v>
      </c>
      <c r="K242" s="292">
        <f t="shared" si="44"/>
        <v>3.3414893617021275</v>
      </c>
      <c r="L242" s="293">
        <f>400584.5+260220.5+91588.5+26738.5+6598.5+10112.5+8832+11751.5+1782+1570.5</f>
        <v>819779</v>
      </c>
      <c r="M242" s="294">
        <f>34427+24318+9929+5066+1310+1866+1322+2055+445+470</f>
        <v>81208</v>
      </c>
      <c r="N242" s="310">
        <f t="shared" si="46"/>
        <v>10.094805930450201</v>
      </c>
      <c r="O242" s="317"/>
    </row>
    <row r="243" spans="1:15" ht="15">
      <c r="A243" s="273">
        <v>239</v>
      </c>
      <c r="B243" s="251" t="s">
        <v>134</v>
      </c>
      <c r="C243" s="173">
        <v>40445</v>
      </c>
      <c r="D243" s="283" t="s">
        <v>120</v>
      </c>
      <c r="E243" s="320">
        <v>99</v>
      </c>
      <c r="F243" s="320">
        <v>1</v>
      </c>
      <c r="G243" s="320">
        <v>13</v>
      </c>
      <c r="H243" s="237">
        <v>966</v>
      </c>
      <c r="I243" s="193">
        <v>317</v>
      </c>
      <c r="J243" s="182">
        <f t="shared" si="45"/>
        <v>317</v>
      </c>
      <c r="K243" s="238">
        <f t="shared" si="44"/>
        <v>3.047318611987382</v>
      </c>
      <c r="L243" s="239">
        <f>321502+248658+168337.5+120626.5+93787.5+82596.5+8900+14133+4789+1421+2440+594+966</f>
        <v>1068751</v>
      </c>
      <c r="M243" s="181">
        <f>37510+29635+22309+17930+15012+11746+1292+2243+804+260+600+115+317</f>
        <v>139773</v>
      </c>
      <c r="N243" s="256">
        <f t="shared" si="46"/>
        <v>7.64633369821067</v>
      </c>
      <c r="O243" s="189">
        <v>1</v>
      </c>
    </row>
    <row r="244" spans="1:15" ht="15">
      <c r="A244" s="273">
        <v>240</v>
      </c>
      <c r="B244" s="311" t="s">
        <v>181</v>
      </c>
      <c r="C244" s="374">
        <v>40445</v>
      </c>
      <c r="D244" s="283" t="s">
        <v>120</v>
      </c>
      <c r="E244" s="284">
        <v>99</v>
      </c>
      <c r="F244" s="284">
        <v>1</v>
      </c>
      <c r="G244" s="284">
        <v>14</v>
      </c>
      <c r="H244" s="237">
        <v>678</v>
      </c>
      <c r="I244" s="193">
        <v>102</v>
      </c>
      <c r="J244" s="182">
        <f t="shared" si="45"/>
        <v>102</v>
      </c>
      <c r="K244" s="238">
        <f t="shared" si="44"/>
        <v>6.647058823529412</v>
      </c>
      <c r="L244" s="239">
        <f>321502+248658+168337.5+120626.5+93787.5+82596.5+8900+14133+4789+1421+2440+594+966+678</f>
        <v>1069429</v>
      </c>
      <c r="M244" s="181">
        <f>37510+29635+22309+17930+15012+11746+1292+2243+804+260+600+115+317+102</f>
        <v>139875</v>
      </c>
      <c r="N244" s="256">
        <f t="shared" si="46"/>
        <v>7.645605004468275</v>
      </c>
      <c r="O244" s="316">
        <v>1</v>
      </c>
    </row>
    <row r="245" spans="1:15" ht="15">
      <c r="A245" s="273">
        <v>241</v>
      </c>
      <c r="B245" s="251" t="s">
        <v>100</v>
      </c>
      <c r="C245" s="173">
        <v>40445</v>
      </c>
      <c r="D245" s="283" t="s">
        <v>120</v>
      </c>
      <c r="E245" s="320">
        <v>99</v>
      </c>
      <c r="F245" s="320">
        <v>1</v>
      </c>
      <c r="G245" s="320">
        <v>12</v>
      </c>
      <c r="H245" s="237">
        <v>594</v>
      </c>
      <c r="I245" s="193">
        <v>115</v>
      </c>
      <c r="J245" s="182">
        <f t="shared" si="45"/>
        <v>115</v>
      </c>
      <c r="K245" s="238">
        <f t="shared" si="44"/>
        <v>5.165217391304348</v>
      </c>
      <c r="L245" s="239">
        <f>321502+248658+168337.5+120626.5+93787.5+82596.5+8900+14133+4789+1421+2440+594</f>
        <v>1067785</v>
      </c>
      <c r="M245" s="181">
        <f>37510+29635+22309+17930+15012+11746+1292+2243+804+260+600+115</f>
        <v>139456</v>
      </c>
      <c r="N245" s="256">
        <f t="shared" si="46"/>
        <v>7.65678780403855</v>
      </c>
      <c r="O245" s="191">
        <v>1</v>
      </c>
    </row>
    <row r="246" spans="1:15" ht="15">
      <c r="A246" s="273">
        <v>242</v>
      </c>
      <c r="B246" s="218" t="s">
        <v>35</v>
      </c>
      <c r="C246" s="173">
        <v>40508</v>
      </c>
      <c r="D246" s="283" t="s">
        <v>120</v>
      </c>
      <c r="E246" s="320">
        <v>34</v>
      </c>
      <c r="F246" s="320">
        <v>17</v>
      </c>
      <c r="G246" s="320">
        <v>6</v>
      </c>
      <c r="H246" s="204">
        <v>14630.5</v>
      </c>
      <c r="I246" s="193">
        <v>2283</v>
      </c>
      <c r="J246" s="182">
        <f t="shared" si="45"/>
        <v>134.2941176470588</v>
      </c>
      <c r="K246" s="205">
        <f t="shared" si="44"/>
        <v>6.408453788874288</v>
      </c>
      <c r="L246" s="206">
        <f>122173+87330+23120+25637+29159.5+14630.5</f>
        <v>302050</v>
      </c>
      <c r="M246" s="181">
        <f>10588+8153+2702+3877+4807+2283</f>
        <v>32410</v>
      </c>
      <c r="N246" s="219">
        <f t="shared" si="46"/>
        <v>9.319654427645789</v>
      </c>
      <c r="O246" s="190"/>
    </row>
    <row r="247" spans="1:15" ht="15">
      <c r="A247" s="273">
        <v>243</v>
      </c>
      <c r="B247" s="218" t="s">
        <v>35</v>
      </c>
      <c r="C247" s="173">
        <v>40508</v>
      </c>
      <c r="D247" s="283" t="s">
        <v>120</v>
      </c>
      <c r="E247" s="320">
        <v>34</v>
      </c>
      <c r="F247" s="320">
        <v>2</v>
      </c>
      <c r="G247" s="320">
        <v>8</v>
      </c>
      <c r="H247" s="237">
        <v>1246</v>
      </c>
      <c r="I247" s="193">
        <v>199</v>
      </c>
      <c r="J247" s="182">
        <f t="shared" si="45"/>
        <v>99.5</v>
      </c>
      <c r="K247" s="238">
        <f t="shared" si="44"/>
        <v>6.261306532663316</v>
      </c>
      <c r="L247" s="239">
        <f>122173+87330+23120+25637+29159.5+14630.5+403+1246</f>
        <v>303699</v>
      </c>
      <c r="M247" s="181">
        <f>10588+8153+2702+3877+4807+2283+58+199</f>
        <v>32667</v>
      </c>
      <c r="N247" s="256">
        <f t="shared" si="46"/>
        <v>9.296813297823492</v>
      </c>
      <c r="O247" s="189"/>
    </row>
    <row r="248" spans="1:15" ht="15">
      <c r="A248" s="273">
        <v>244</v>
      </c>
      <c r="B248" s="251" t="s">
        <v>35</v>
      </c>
      <c r="C248" s="173">
        <v>40508</v>
      </c>
      <c r="D248" s="283" t="s">
        <v>120</v>
      </c>
      <c r="E248" s="320">
        <v>34</v>
      </c>
      <c r="F248" s="320">
        <v>1</v>
      </c>
      <c r="G248" s="320">
        <v>7</v>
      </c>
      <c r="H248" s="237">
        <v>403</v>
      </c>
      <c r="I248" s="193">
        <v>58</v>
      </c>
      <c r="J248" s="182">
        <f t="shared" si="45"/>
        <v>58</v>
      </c>
      <c r="K248" s="238">
        <f t="shared" si="44"/>
        <v>6.948275862068965</v>
      </c>
      <c r="L248" s="239">
        <f>122173+87330+23120+25637+29159.5+14630.5+403</f>
        <v>302453</v>
      </c>
      <c r="M248" s="181">
        <f>10588+8153+2702+3877+4807+2283+58</f>
        <v>32468</v>
      </c>
      <c r="N248" s="256">
        <f t="shared" si="46"/>
        <v>9.315418257977084</v>
      </c>
      <c r="O248" s="191"/>
    </row>
    <row r="249" spans="1:15" ht="15">
      <c r="A249" s="273">
        <v>245</v>
      </c>
      <c r="B249" s="311" t="s">
        <v>111</v>
      </c>
      <c r="C249" s="173">
        <v>40487</v>
      </c>
      <c r="D249" s="283" t="s">
        <v>26</v>
      </c>
      <c r="E249" s="284">
        <v>162</v>
      </c>
      <c r="F249" s="284">
        <v>2</v>
      </c>
      <c r="G249" s="284">
        <v>10</v>
      </c>
      <c r="H249" s="231">
        <v>1340</v>
      </c>
      <c r="I249" s="194">
        <v>198</v>
      </c>
      <c r="J249" s="179">
        <f>IF(H249&lt;&gt;0,I249/F249,"")</f>
        <v>99</v>
      </c>
      <c r="K249" s="241">
        <f>IF(H249&lt;&gt;0,H249/I249,"")</f>
        <v>6.767676767676767</v>
      </c>
      <c r="L249" s="233">
        <f>525983.5+915356-20+520720.5+229861+37809.5+41066.5+9062.5+5020+8527+1340</f>
        <v>2294726.5</v>
      </c>
      <c r="M249" s="175">
        <f>56225+93965-2+58841+28041+5233+5910+1474+785+1182+198</f>
        <v>251852</v>
      </c>
      <c r="N249" s="258">
        <f>IF(L249&lt;&gt;0,L249/M249,"")</f>
        <v>9.111408684465479</v>
      </c>
      <c r="O249" s="316"/>
    </row>
    <row r="250" spans="1:15" ht="15">
      <c r="A250" s="273">
        <v>246</v>
      </c>
      <c r="B250" s="218" t="s">
        <v>76</v>
      </c>
      <c r="C250" s="173">
        <v>40487</v>
      </c>
      <c r="D250" s="180" t="s">
        <v>26</v>
      </c>
      <c r="E250" s="320">
        <v>162</v>
      </c>
      <c r="F250" s="320">
        <v>8</v>
      </c>
      <c r="G250" s="320">
        <v>9</v>
      </c>
      <c r="H250" s="207">
        <v>8527</v>
      </c>
      <c r="I250" s="194">
        <v>1182</v>
      </c>
      <c r="J250" s="179">
        <f>IF(H250&lt;&gt;0,I250/F250,"")</f>
        <v>147.75</v>
      </c>
      <c r="K250" s="211">
        <f>IF(H250&lt;&gt;0,H250/I250,"")</f>
        <v>7.214043993231811</v>
      </c>
      <c r="L250" s="209">
        <f>525983.5+915356-20+520720.5+229861+37809.5+41066.5+9062.5+5020+8527</f>
        <v>2293386.5</v>
      </c>
      <c r="M250" s="175">
        <f>56225+93965-2+58841+28041+5233+5910+1474+785+1182</f>
        <v>251654</v>
      </c>
      <c r="N250" s="223">
        <f>IF(L250&lt;&gt;0,L250/M250,"")</f>
        <v>9.11325272000445</v>
      </c>
      <c r="O250" s="189"/>
    </row>
    <row r="251" spans="1:15" ht="15">
      <c r="A251" s="273">
        <v>247</v>
      </c>
      <c r="B251" s="251" t="s">
        <v>76</v>
      </c>
      <c r="C251" s="173">
        <v>40487</v>
      </c>
      <c r="D251" s="321" t="s">
        <v>26</v>
      </c>
      <c r="E251" s="320">
        <v>162</v>
      </c>
      <c r="F251" s="320">
        <v>1</v>
      </c>
      <c r="G251" s="320">
        <v>12</v>
      </c>
      <c r="H251" s="231">
        <v>1941</v>
      </c>
      <c r="I251" s="194">
        <v>388</v>
      </c>
      <c r="J251" s="175">
        <f>I251/F251</f>
        <v>388</v>
      </c>
      <c r="K251" s="232">
        <f>+H251/I251</f>
        <v>5.002577319587629</v>
      </c>
      <c r="L251" s="233">
        <f>525983.5+915356-20+520720.5+229861+37809.5+41066.5+9062.5+5020+8527+1340+1644+1941</f>
        <v>2298311.5</v>
      </c>
      <c r="M251" s="175">
        <f>56225+93965-2+58841+28041+5233+5910+1474+785+1182+198+319+388</f>
        <v>252559</v>
      </c>
      <c r="N251" s="254">
        <f>+L251/M251</f>
        <v>9.100097402983065</v>
      </c>
      <c r="O251" s="189">
        <v>1</v>
      </c>
    </row>
    <row r="252" spans="1:15" ht="15">
      <c r="A252" s="273">
        <v>248</v>
      </c>
      <c r="B252" s="218" t="s">
        <v>125</v>
      </c>
      <c r="C252" s="173">
        <v>40487</v>
      </c>
      <c r="D252" s="321" t="s">
        <v>26</v>
      </c>
      <c r="E252" s="320">
        <v>162</v>
      </c>
      <c r="F252" s="320">
        <v>3</v>
      </c>
      <c r="G252" s="320">
        <v>11</v>
      </c>
      <c r="H252" s="231">
        <v>1644</v>
      </c>
      <c r="I252" s="194">
        <v>319</v>
      </c>
      <c r="J252" s="182">
        <f>(I252/F252)</f>
        <v>106.33333333333333</v>
      </c>
      <c r="K252" s="238">
        <f>H252/I252</f>
        <v>5.153605015673981</v>
      </c>
      <c r="L252" s="233">
        <f>525983.5+915356-20+520720.5+229861+37809.5+41066.5+9062.5+5020+8527+1340+1644</f>
        <v>2296370.5</v>
      </c>
      <c r="M252" s="175">
        <f>56225+93965-2+58841+28041+5233+5910+1474+785+1182+198+319</f>
        <v>252171</v>
      </c>
      <c r="N252" s="256">
        <f>L252/M252</f>
        <v>9.106402004988679</v>
      </c>
      <c r="O252" s="189">
        <v>1</v>
      </c>
    </row>
    <row r="253" spans="1:15" ht="15">
      <c r="A253" s="273">
        <v>249</v>
      </c>
      <c r="B253" s="307" t="s">
        <v>125</v>
      </c>
      <c r="C253" s="358">
        <v>40487</v>
      </c>
      <c r="D253" s="357" t="s">
        <v>26</v>
      </c>
      <c r="E253" s="276">
        <v>162</v>
      </c>
      <c r="F253" s="276">
        <v>1</v>
      </c>
      <c r="G253" s="276">
        <v>13</v>
      </c>
      <c r="H253" s="359">
        <v>1056</v>
      </c>
      <c r="I253" s="278">
        <v>171</v>
      </c>
      <c r="J253" s="282">
        <f>I253/F253</f>
        <v>171</v>
      </c>
      <c r="K253" s="360">
        <f>H253/I253</f>
        <v>6.175438596491228</v>
      </c>
      <c r="L253" s="361">
        <f>525983.5+915356-20+520720.5+229861+37809.5+41066.5+9062.5+5020+8527+1340+1644+1941+1056</f>
        <v>2299367.5</v>
      </c>
      <c r="M253" s="279">
        <f>56225+93965-2+58841+28041+5233+5910+1474+785+1182+198+319+388+171</f>
        <v>252730</v>
      </c>
      <c r="N253" s="370">
        <f>L253/M253</f>
        <v>9.098118545483322</v>
      </c>
      <c r="O253" s="315">
        <v>1</v>
      </c>
    </row>
    <row r="254" spans="1:15" ht="15">
      <c r="A254" s="273">
        <v>250</v>
      </c>
      <c r="B254" s="311" t="s">
        <v>76</v>
      </c>
      <c r="C254" s="374">
        <v>40487</v>
      </c>
      <c r="D254" s="283" t="s">
        <v>26</v>
      </c>
      <c r="E254" s="284">
        <v>162</v>
      </c>
      <c r="F254" s="284">
        <v>1</v>
      </c>
      <c r="G254" s="284">
        <v>14</v>
      </c>
      <c r="H254" s="231">
        <v>313</v>
      </c>
      <c r="I254" s="194">
        <v>52</v>
      </c>
      <c r="J254" s="179">
        <f>+I254/F254</f>
        <v>52</v>
      </c>
      <c r="K254" s="241">
        <f>+H254/I254</f>
        <v>6.019230769230769</v>
      </c>
      <c r="L254" s="233">
        <f>525983.5+915356-20+520720.5+229861+37809.5+41066.5+9062.5+5020+8527+1340+1644+1941+1056+313</f>
        <v>2299680.5</v>
      </c>
      <c r="M254" s="175">
        <f>56225+93965-2+58841+28041+5233+5910+1474+785+1182+198+319+388+171+52</f>
        <v>252782</v>
      </c>
      <c r="N254" s="258">
        <f>+L254/M254</f>
        <v>9.097485184862846</v>
      </c>
      <c r="O254" s="316">
        <v>1</v>
      </c>
    </row>
    <row r="255" spans="1:15" ht="15">
      <c r="A255" s="273">
        <v>251</v>
      </c>
      <c r="B255" s="251" t="s">
        <v>137</v>
      </c>
      <c r="C255" s="173">
        <v>40235</v>
      </c>
      <c r="D255" s="283" t="s">
        <v>120</v>
      </c>
      <c r="E255" s="320">
        <v>227</v>
      </c>
      <c r="F255" s="320">
        <v>1</v>
      </c>
      <c r="G255" s="320">
        <v>30</v>
      </c>
      <c r="H255" s="237">
        <v>950.5</v>
      </c>
      <c r="I255" s="193">
        <v>238</v>
      </c>
      <c r="J255" s="182">
        <f aca="true" t="shared" si="47" ref="J255:J261">(I255/F255)</f>
        <v>238</v>
      </c>
      <c r="K255" s="238">
        <f aca="true" t="shared" si="48" ref="K255:K261">H255/I255</f>
        <v>3.9936974789915967</v>
      </c>
      <c r="L255" s="239">
        <f>8240207.5+202+255+7892+2376+1782+1782+2376+950.5</f>
        <v>8257823</v>
      </c>
      <c r="M255" s="181">
        <f>1023896+40+51+1967+594+445+445+594+238</f>
        <v>1028270</v>
      </c>
      <c r="N255" s="256">
        <f aca="true" t="shared" si="49" ref="N255:N261">L255/M255</f>
        <v>8.030792496134284</v>
      </c>
      <c r="O255" s="189">
        <v>1</v>
      </c>
    </row>
    <row r="256" spans="1:15" ht="15">
      <c r="A256" s="273">
        <v>252</v>
      </c>
      <c r="B256" s="309" t="s">
        <v>21</v>
      </c>
      <c r="C256" s="287">
        <v>40480</v>
      </c>
      <c r="D256" s="283" t="s">
        <v>120</v>
      </c>
      <c r="E256" s="288">
        <v>100</v>
      </c>
      <c r="F256" s="288">
        <v>4</v>
      </c>
      <c r="G256" s="288">
        <v>15</v>
      </c>
      <c r="H256" s="289">
        <v>8910</v>
      </c>
      <c r="I256" s="290">
        <v>2228</v>
      </c>
      <c r="J256" s="291">
        <f t="shared" si="47"/>
        <v>557</v>
      </c>
      <c r="K256" s="292">
        <f t="shared" si="48"/>
        <v>3.9991023339317775</v>
      </c>
      <c r="L256" s="293">
        <f>1221166+429124.5+378100+240009.5+108018.5+26890.5+15319+16968+7345.5+4160+1262+1510+3920.5+2732.5+8910</f>
        <v>2465436.5</v>
      </c>
      <c r="M256" s="294">
        <f>114702+40612+35598+23284+12543+4168+3055+2661+1161+850+210+377+981+684+2228</f>
        <v>243114</v>
      </c>
      <c r="N256" s="310">
        <f t="shared" si="49"/>
        <v>10.141071678307297</v>
      </c>
      <c r="O256" s="315"/>
    </row>
    <row r="257" spans="1:15" ht="15">
      <c r="A257" s="273">
        <v>253</v>
      </c>
      <c r="B257" s="218" t="s">
        <v>21</v>
      </c>
      <c r="C257" s="173">
        <v>40480</v>
      </c>
      <c r="D257" s="283" t="s">
        <v>120</v>
      </c>
      <c r="E257" s="320">
        <v>100</v>
      </c>
      <c r="F257" s="320">
        <v>11</v>
      </c>
      <c r="G257" s="320">
        <v>10</v>
      </c>
      <c r="H257" s="204">
        <v>4160</v>
      </c>
      <c r="I257" s="193">
        <v>850</v>
      </c>
      <c r="J257" s="182">
        <f t="shared" si="47"/>
        <v>77.27272727272727</v>
      </c>
      <c r="K257" s="205">
        <f t="shared" si="48"/>
        <v>4.894117647058824</v>
      </c>
      <c r="L257" s="206">
        <f>1221166+429124.5+378100+240009.5+108018.5+26890.5+15319+16968+7345.5+4160</f>
        <v>2447101.5</v>
      </c>
      <c r="M257" s="181">
        <f>114702+40612+35598+23284+12543+4168+3055+2661+1161+850</f>
        <v>238634</v>
      </c>
      <c r="N257" s="219">
        <f t="shared" si="49"/>
        <v>10.254622141019302</v>
      </c>
      <c r="O257" s="189">
        <v>1</v>
      </c>
    </row>
    <row r="258" spans="1:15" ht="15">
      <c r="A258" s="273">
        <v>254</v>
      </c>
      <c r="B258" s="251" t="s">
        <v>21</v>
      </c>
      <c r="C258" s="173">
        <v>40480</v>
      </c>
      <c r="D258" s="283" t="s">
        <v>120</v>
      </c>
      <c r="E258" s="320">
        <v>100</v>
      </c>
      <c r="F258" s="320">
        <v>2</v>
      </c>
      <c r="G258" s="320">
        <v>13</v>
      </c>
      <c r="H258" s="237">
        <v>3920.5</v>
      </c>
      <c r="I258" s="193">
        <v>982</v>
      </c>
      <c r="J258" s="182">
        <f t="shared" si="47"/>
        <v>491</v>
      </c>
      <c r="K258" s="238">
        <f t="shared" si="48"/>
        <v>3.9923625254582484</v>
      </c>
      <c r="L258" s="239">
        <f>1221166+429124.5+378100+240009.5+108018.5+26890.5+15319+16968+7345.5+4160+1262+1510+3920.5</f>
        <v>2453794</v>
      </c>
      <c r="M258" s="181">
        <f>114702+40612+35598+23284+12543+4168+3055+2661+1161+850+210+377+982</f>
        <v>240203</v>
      </c>
      <c r="N258" s="256">
        <f t="shared" si="49"/>
        <v>10.215501055357343</v>
      </c>
      <c r="O258" s="189"/>
    </row>
    <row r="259" spans="1:15" ht="15">
      <c r="A259" s="273">
        <v>255</v>
      </c>
      <c r="B259" s="311" t="s">
        <v>21</v>
      </c>
      <c r="C259" s="173">
        <v>40480</v>
      </c>
      <c r="D259" s="283" t="s">
        <v>120</v>
      </c>
      <c r="E259" s="284">
        <v>100</v>
      </c>
      <c r="F259" s="284">
        <v>2</v>
      </c>
      <c r="G259" s="284">
        <v>14</v>
      </c>
      <c r="H259" s="237">
        <v>2732.5</v>
      </c>
      <c r="I259" s="193">
        <v>684</v>
      </c>
      <c r="J259" s="182">
        <f t="shared" si="47"/>
        <v>342</v>
      </c>
      <c r="K259" s="238">
        <f t="shared" si="48"/>
        <v>3.9948830409356724</v>
      </c>
      <c r="L259" s="239">
        <f>1221166+429124.5+378100+240009.5+108018.5+26890.5+15319+16968+7345.5+4160+1262+1510+3920.5+2732.5</f>
        <v>2456526.5</v>
      </c>
      <c r="M259" s="181">
        <f>114702+40612+35598+23284+12543+4168+3055+2661+1161+850+210+377+981+684</f>
        <v>240886</v>
      </c>
      <c r="N259" s="256">
        <f t="shared" si="49"/>
        <v>10.197879909998921</v>
      </c>
      <c r="O259" s="356"/>
    </row>
    <row r="260" spans="1:15" ht="15">
      <c r="A260" s="273">
        <v>256</v>
      </c>
      <c r="B260" s="309" t="s">
        <v>21</v>
      </c>
      <c r="C260" s="287">
        <v>40480</v>
      </c>
      <c r="D260" s="283" t="s">
        <v>120</v>
      </c>
      <c r="E260" s="288">
        <v>100</v>
      </c>
      <c r="F260" s="288">
        <v>1</v>
      </c>
      <c r="G260" s="288">
        <v>12</v>
      </c>
      <c r="H260" s="289">
        <v>1510</v>
      </c>
      <c r="I260" s="290">
        <v>377</v>
      </c>
      <c r="J260" s="291">
        <f t="shared" si="47"/>
        <v>377</v>
      </c>
      <c r="K260" s="292">
        <f t="shared" si="48"/>
        <v>4.005305039787799</v>
      </c>
      <c r="L260" s="293">
        <f>1221166+429124.5+378100+240009.5+108018.5+26890.5+15319+16968+7345.5+4160+1262+1510</f>
        <v>2449873.5</v>
      </c>
      <c r="M260" s="294">
        <f>114702+40612+35598+23284+12543+4168+3055+2661+1161+850+210+377</f>
        <v>239221</v>
      </c>
      <c r="N260" s="310">
        <f t="shared" si="49"/>
        <v>10.24104698166131</v>
      </c>
      <c r="O260" s="317"/>
    </row>
    <row r="261" spans="1:15" ht="15">
      <c r="A261" s="273">
        <v>257</v>
      </c>
      <c r="B261" s="251" t="s">
        <v>21</v>
      </c>
      <c r="C261" s="173">
        <v>40480</v>
      </c>
      <c r="D261" s="283" t="s">
        <v>120</v>
      </c>
      <c r="E261" s="320">
        <v>100</v>
      </c>
      <c r="F261" s="320">
        <v>2</v>
      </c>
      <c r="G261" s="320">
        <v>11</v>
      </c>
      <c r="H261" s="237">
        <v>1262</v>
      </c>
      <c r="I261" s="193">
        <v>210</v>
      </c>
      <c r="J261" s="182">
        <f t="shared" si="47"/>
        <v>105</v>
      </c>
      <c r="K261" s="238">
        <f t="shared" si="48"/>
        <v>6.0095238095238095</v>
      </c>
      <c r="L261" s="239">
        <f>1221166+429124.5+378100+240009.5+108018.5+26890.5+15319+16968+7345.5+4160+1262</f>
        <v>2448363.5</v>
      </c>
      <c r="M261" s="181">
        <f>114702+40612+35598+23284+12543+4168+3055+2661+1161+850+210</f>
        <v>238844</v>
      </c>
      <c r="N261" s="256">
        <f t="shared" si="49"/>
        <v>10.250889702064946</v>
      </c>
      <c r="O261" s="191"/>
    </row>
    <row r="262" spans="1:15" ht="15">
      <c r="A262" s="273">
        <v>258</v>
      </c>
      <c r="B262" s="220" t="s">
        <v>36</v>
      </c>
      <c r="C262" s="173">
        <v>40508</v>
      </c>
      <c r="D262" s="174" t="s">
        <v>23</v>
      </c>
      <c r="E262" s="320">
        <v>11</v>
      </c>
      <c r="F262" s="320">
        <v>3</v>
      </c>
      <c r="G262" s="320">
        <v>6</v>
      </c>
      <c r="H262" s="207">
        <v>3343</v>
      </c>
      <c r="I262" s="194">
        <v>754</v>
      </c>
      <c r="J262" s="175">
        <f>I262/F262</f>
        <v>251.33333333333334</v>
      </c>
      <c r="K262" s="208">
        <f>+H262/I262</f>
        <v>4.43368700265252</v>
      </c>
      <c r="L262" s="209">
        <v>107677</v>
      </c>
      <c r="M262" s="176">
        <v>8838</v>
      </c>
      <c r="N262" s="221">
        <f>+L262/M262</f>
        <v>12.183412536773025</v>
      </c>
      <c r="O262" s="189">
        <v>1</v>
      </c>
    </row>
    <row r="263" spans="1:15" ht="15.75" thickBot="1">
      <c r="A263" s="273">
        <v>259</v>
      </c>
      <c r="B263" s="339" t="s">
        <v>36</v>
      </c>
      <c r="C263" s="340">
        <v>40508</v>
      </c>
      <c r="D263" s="341" t="s">
        <v>23</v>
      </c>
      <c r="E263" s="342">
        <v>11</v>
      </c>
      <c r="F263" s="342">
        <v>1</v>
      </c>
      <c r="G263" s="342">
        <v>9</v>
      </c>
      <c r="H263" s="343">
        <v>1240</v>
      </c>
      <c r="I263" s="344">
        <v>164</v>
      </c>
      <c r="J263" s="345">
        <f>I263/F263</f>
        <v>164</v>
      </c>
      <c r="K263" s="346">
        <f>+H263/I263</f>
        <v>7.560975609756097</v>
      </c>
      <c r="L263" s="347">
        <v>108917</v>
      </c>
      <c r="M263" s="348">
        <v>9002</v>
      </c>
      <c r="N263" s="349">
        <f>+L263/M263</f>
        <v>12.09920017773828</v>
      </c>
      <c r="O263" s="315"/>
    </row>
  </sheetData>
  <sheetProtection/>
  <mergeCells count="9">
    <mergeCell ref="H3:K3"/>
    <mergeCell ref="L3:N3"/>
    <mergeCell ref="A2:N2"/>
    <mergeCell ref="E3:E4"/>
    <mergeCell ref="B3:B4"/>
    <mergeCell ref="C3:C4"/>
    <mergeCell ref="D3:D4"/>
    <mergeCell ref="F3:F4"/>
    <mergeCell ref="G3:G4"/>
  </mergeCells>
  <printOptions/>
  <pageMargins left="0.75" right="0.75" top="1" bottom="1" header="0.5" footer="0.5"/>
  <pageSetup orientation="portrait" paperSize="9"/>
  <ignoredErrors>
    <ignoredError sqref="R25:S25 R5:S8 R4:S4 L5:M20 L30:M50 L51:M55" unlockedFormula="1"/>
    <ignoredError sqref="R27:S27 R31:S31 R32:S32 R26:S26 L56:M70" formula="1" unlockedFormula="1"/>
    <ignoredError sqref="N43 J43 K56:K70 N56:N7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2010-11-23T10:11:42Z</cp:lastPrinted>
  <dcterms:created xsi:type="dcterms:W3CDTF">2006-03-17T12:24:26Z</dcterms:created>
  <dcterms:modified xsi:type="dcterms:W3CDTF">2011-02-26T21:00:08Z</dcterms:modified>
  <cp:category/>
  <cp:version/>
  <cp:contentType/>
  <cp:contentStatus/>
</cp:coreProperties>
</file>