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0" windowWidth="20610" windowHeight="11640" tabRatio="867" activeTab="0"/>
  </bookViews>
  <sheets>
    <sheet name="14-20 Jan' 11 (WK 03)" sheetId="1" r:id="rId1"/>
    <sheet name="31 Dec' 10-20 Jan' 11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'14-20 Jan'' 11 (WK 03)'!$A$1:$N$60</definedName>
    <definedName name="_xlnm.Print_Area" localSheetId="1">'31 Dec' 10-20 Jan' 11 (Annual)'!#REF!</definedName>
  </definedNames>
  <calcPr fullCalcOnLoad="1"/>
</workbook>
</file>

<file path=xl/sharedStrings.xml><?xml version="1.0" encoding="utf-8"?>
<sst xmlns="http://schemas.openxmlformats.org/spreadsheetml/2006/main" count="445" uniqueCount="140">
  <si>
    <t>RESIDENT EVIL: AFTERLIFE</t>
  </si>
  <si>
    <t>THE TOURIST</t>
  </si>
  <si>
    <t>THE CHRONICLES OF NARNIA: THE VOVAYE OF THE DAWN TREADER</t>
  </si>
  <si>
    <t>UNCLE BOONMEE WHO CAN RECALL HIS PAST LIVES</t>
  </si>
  <si>
    <t>BLACK HEAVEN</t>
  </si>
  <si>
    <t>Admission</t>
  </si>
  <si>
    <t>Title</t>
  </si>
  <si>
    <t>G.B.O. YTL</t>
  </si>
  <si>
    <t>TALE 52</t>
  </si>
  <si>
    <t>LE CONCERT</t>
  </si>
  <si>
    <t>EAT PRAY LOVE</t>
  </si>
  <si>
    <t>MY SOUL TO TAKE</t>
  </si>
  <si>
    <t>AYLA</t>
  </si>
  <si>
    <t>PARANORMAL ACTIVITY 2</t>
  </si>
  <si>
    <t>CENTURION</t>
  </si>
  <si>
    <t>L'AGE DE RAISON</t>
  </si>
  <si>
    <t>AFTER.LIFE</t>
  </si>
  <si>
    <t>MEDYAVİZYON</t>
  </si>
  <si>
    <t>HARRY POTTER 7a</t>
  </si>
  <si>
    <t>OPEN SEASON 3</t>
  </si>
  <si>
    <t>GARFIELD'S PET FORCE</t>
  </si>
  <si>
    <t>WINX CLUB 3D: MAGICAL ADVENTURE</t>
  </si>
  <si>
    <t>INHALE</t>
  </si>
  <si>
    <t>UIP TÜRKİYE</t>
  </si>
  <si>
    <t>WARNER BROS. TÜRKİYE</t>
  </si>
  <si>
    <t>TİGLON FİLM</t>
  </si>
  <si>
    <t>CINE FILM</t>
  </si>
  <si>
    <t>ÖZEN FİLM</t>
  </si>
  <si>
    <t>PİNEMA</t>
  </si>
  <si>
    <t>"Turkey's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</si>
  <si>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SAW 3D</t>
  </si>
  <si>
    <t>SAMMY'S ADVENTURES</t>
  </si>
  <si>
    <t>MFP-CINEGROUP</t>
  </si>
  <si>
    <t>Weeks in Release</t>
  </si>
  <si>
    <t>Distributor</t>
  </si>
  <si>
    <t>DUE DATE</t>
  </si>
  <si>
    <t>VAMPIRES SUCK</t>
  </si>
  <si>
    <t>YOU AGAIN</t>
  </si>
  <si>
    <t>THE LAST EXORCISM</t>
  </si>
  <si>
    <t>Screen Avg. (Adm.)</t>
  </si>
  <si>
    <t>Release Date</t>
  </si>
  <si>
    <t>Week in Release</t>
  </si>
  <si>
    <t>Avg. Ticket Price</t>
  </si>
  <si>
    <t>Türkiye Distributor</t>
  </si>
  <si>
    <t>Release
Date</t>
  </si>
  <si>
    <t># of
Prints</t>
  </si>
  <si>
    <t>Week</t>
  </si>
  <si>
    <t>Cumulative</t>
  </si>
  <si>
    <t>G.B.O.</t>
  </si>
  <si>
    <t>Adm.</t>
  </si>
  <si>
    <t>Avg.
Ticket</t>
  </si>
  <si>
    <t xml:space="preserve">Avg.
Ticket </t>
  </si>
  <si>
    <t># of
Screen</t>
  </si>
  <si>
    <t>SKYLINE</t>
  </si>
  <si>
    <t>UNSTOPPABLE</t>
  </si>
  <si>
    <r>
      <t>Yukarıdaki Turkey's Weekend Market Datas adlı tablo Türkiye'deki film da</t>
    </r>
    <r>
      <rPr>
        <i/>
        <sz val="9"/>
        <color indexed="23"/>
        <rFont val="Didot"/>
        <family val="0"/>
      </rPr>
      <t>ğ</t>
    </r>
    <r>
      <rPr>
        <i/>
        <sz val="9"/>
        <color indexed="23"/>
        <rFont val="Administer"/>
        <family val="0"/>
      </rPr>
      <t xml:space="preserve">ıtıcısı </t>
    </r>
    <r>
      <rPr>
        <i/>
        <sz val="9"/>
        <color indexed="23"/>
        <rFont val="Didot"/>
        <family val="0"/>
      </rPr>
      <t>ş</t>
    </r>
    <r>
      <rPr>
        <i/>
        <sz val="9"/>
        <color indexed="23"/>
        <rFont val="Administer"/>
        <family val="0"/>
      </rPr>
      <t>irketlerin ülkemizde yukarıda belirtilen haftalarda da</t>
    </r>
    <r>
      <rPr>
        <i/>
        <sz val="9"/>
        <color indexed="23"/>
        <rFont val="Didot"/>
        <family val="0"/>
      </rPr>
      <t>ğ</t>
    </r>
    <r>
      <rPr>
        <i/>
        <sz val="9"/>
        <color indexed="23"/>
        <rFont val="Administer"/>
        <family val="0"/>
      </rPr>
      <t>ıttıkları sinema filmlerinin gene yukarıda belirttikleri haftalarda ula</t>
    </r>
    <r>
      <rPr>
        <i/>
        <sz val="9"/>
        <color indexed="23"/>
        <rFont val="Didot"/>
        <family val="0"/>
      </rPr>
      <t>ş</t>
    </r>
    <r>
      <rPr>
        <i/>
        <sz val="9"/>
        <color indexed="23"/>
        <rFont val="Administer"/>
        <family val="0"/>
      </rPr>
      <t>tıkları seyirci sayısını ve yaptıkları hasılatı göstermektedir. Liste ve ekinde bulunan di</t>
    </r>
    <r>
      <rPr>
        <i/>
        <sz val="9"/>
        <color indexed="23"/>
        <rFont val="Didot"/>
        <family val="0"/>
      </rPr>
      <t>ğ</t>
    </r>
    <r>
      <rPr>
        <i/>
        <sz val="9"/>
        <color indexed="23"/>
        <rFont val="Administer"/>
        <family val="0"/>
      </rPr>
      <t>er sayfalar bütün da</t>
    </r>
    <r>
      <rPr>
        <i/>
        <sz val="9"/>
        <color indexed="23"/>
        <rFont val="Didot"/>
        <family val="0"/>
      </rPr>
      <t>ğ</t>
    </r>
    <r>
      <rPr>
        <i/>
        <sz val="9"/>
        <color indexed="23"/>
        <rFont val="Administer"/>
        <family val="0"/>
      </rPr>
      <t>ıtıcıların ortak görü</t>
    </r>
    <r>
      <rPr>
        <i/>
        <sz val="9"/>
        <color indexed="23"/>
        <rFont val="Didot"/>
        <family val="0"/>
      </rPr>
      <t>ş</t>
    </r>
    <r>
      <rPr>
        <i/>
        <sz val="9"/>
        <color indexed="23"/>
        <rFont val="Administer"/>
        <family val="0"/>
      </rPr>
      <t>ü sonucunda Haftalık Antrakt Sinema Gazetesi'ne hazırlattırılmaktadır. Haftalık Antrakt Sinema Gazetesi yukarıdaki ve ekindeki tabloları da</t>
    </r>
    <r>
      <rPr>
        <i/>
        <sz val="9"/>
        <color indexed="23"/>
        <rFont val="Didot"/>
        <family val="0"/>
      </rPr>
      <t>ğ</t>
    </r>
    <r>
      <rPr>
        <i/>
        <sz val="9"/>
        <color indexed="23"/>
        <rFont val="Administer"/>
        <family val="0"/>
      </rPr>
      <t>ıtımcı firmalardan gönderilen özel bilgileri bir araya getirerek olu</t>
    </r>
    <r>
      <rPr>
        <i/>
        <sz val="9"/>
        <color indexed="23"/>
        <rFont val="Didot"/>
        <family val="0"/>
      </rPr>
      <t>ş</t>
    </r>
    <r>
      <rPr>
        <i/>
        <sz val="9"/>
        <color indexed="23"/>
        <rFont val="Administer"/>
        <family val="0"/>
      </rPr>
      <t>turmaktadır. Yukarıdaki ve ekindeki tabloların içerdi</t>
    </r>
    <r>
      <rPr>
        <i/>
        <sz val="9"/>
        <color indexed="23"/>
        <rFont val="Didot"/>
        <family val="0"/>
      </rPr>
      <t>ğ</t>
    </r>
    <r>
      <rPr>
        <i/>
        <sz val="9"/>
        <color indexed="23"/>
        <rFont val="Administer"/>
        <family val="0"/>
      </rPr>
      <t>i veriler ço</t>
    </r>
    <r>
      <rPr>
        <i/>
        <sz val="9"/>
        <color indexed="23"/>
        <rFont val="Didot"/>
        <family val="0"/>
      </rPr>
      <t>ğ</t>
    </r>
    <r>
      <rPr>
        <i/>
        <sz val="9"/>
        <color indexed="23"/>
        <rFont val="Administer"/>
        <family val="0"/>
      </rPr>
      <t>altılamaz, satılamaz. Alıntı veya kopyalama yapılırken Haftalık Antrakt Sinema Gazetesi'nden izin alınmalıdır.</t>
    </r>
  </si>
  <si>
    <r>
      <t>*Sorted according to cumulative G.B.O. - Toplam hasılat sütununa göre sıralanmı</t>
    </r>
    <r>
      <rPr>
        <i/>
        <sz val="9"/>
        <color indexed="23"/>
        <rFont val="Didot"/>
        <family val="0"/>
      </rPr>
      <t>ş</t>
    </r>
    <r>
      <rPr>
        <i/>
        <sz val="9"/>
        <color indexed="23"/>
        <rFont val="Administer"/>
        <family val="0"/>
      </rPr>
      <t>tır.</t>
    </r>
  </si>
  <si>
    <r>
      <t>*Sorted according to Weekend Total G.B.O. - Haftalık toplam hasılat sütununa göre sıralanmı</t>
    </r>
    <r>
      <rPr>
        <i/>
        <sz val="9"/>
        <color indexed="23"/>
        <rFont val="Didot"/>
        <family val="0"/>
      </rPr>
      <t>ş</t>
    </r>
    <r>
      <rPr>
        <i/>
        <sz val="9"/>
        <color indexed="23"/>
        <rFont val="Administer"/>
        <family val="0"/>
      </rPr>
      <t>tır.</t>
    </r>
  </si>
  <si>
    <r>
      <t xml:space="preserve">ÇAKALLARLA DANS </t>
    </r>
    <r>
      <rPr>
        <b/>
        <sz val="10"/>
        <color indexed="10"/>
        <rFont val="Trebuchet MS"/>
        <family val="2"/>
      </rPr>
      <t>(LOCAL)</t>
    </r>
  </si>
  <si>
    <t>LIFE AS WE KNOW IT</t>
  </si>
  <si>
    <r>
      <t xml:space="preserve">SULTANIN SIRRI </t>
    </r>
    <r>
      <rPr>
        <b/>
        <sz val="10"/>
        <color indexed="10"/>
        <rFont val="Trebuchet MS"/>
        <family val="2"/>
      </rPr>
      <t>(LOCAL)</t>
    </r>
  </si>
  <si>
    <t>GULLIVER'S TRAVELS</t>
  </si>
  <si>
    <r>
      <t xml:space="preserve">MEMLEKETTE DEMOKRASİ VAR </t>
    </r>
    <r>
      <rPr>
        <b/>
        <sz val="10"/>
        <color indexed="10"/>
        <rFont val="Trebuchet MS"/>
        <family val="2"/>
      </rPr>
      <t>(LOCAL)</t>
    </r>
  </si>
  <si>
    <r>
      <t xml:space="preserve">ÇOĞUNLUK </t>
    </r>
    <r>
      <rPr>
        <b/>
        <sz val="10"/>
        <color indexed="10"/>
        <rFont val="Trebuchet MS"/>
        <family val="2"/>
      </rPr>
      <t>(LOCAL)</t>
    </r>
  </si>
  <si>
    <r>
      <t>TESLİMİYET</t>
    </r>
    <r>
      <rPr>
        <b/>
        <sz val="10"/>
        <color indexed="10"/>
        <rFont val="Trebuchet MS"/>
        <family val="2"/>
      </rPr>
      <t xml:space="preserve"> (LOCAL)</t>
    </r>
  </si>
  <si>
    <r>
      <t xml:space="preserve">CEHENNEM 3D </t>
    </r>
    <r>
      <rPr>
        <b/>
        <sz val="10"/>
        <color indexed="10"/>
        <rFont val="Trebuchet MS"/>
        <family val="2"/>
      </rPr>
      <t>(LOCAL)</t>
    </r>
  </si>
  <si>
    <r>
      <t xml:space="preserve">UÇAN MELEKLER </t>
    </r>
    <r>
      <rPr>
        <b/>
        <sz val="10"/>
        <color indexed="10"/>
        <rFont val="Trebuchet MS"/>
        <family val="2"/>
      </rPr>
      <t>(LOCAL)</t>
    </r>
  </si>
  <si>
    <r>
      <t xml:space="preserve">KAVŞAK </t>
    </r>
    <r>
      <rPr>
        <b/>
        <sz val="10"/>
        <color indexed="10"/>
        <rFont val="Trebuchet MS"/>
        <family val="2"/>
      </rPr>
      <t>(LOCAL)</t>
    </r>
  </si>
  <si>
    <r>
      <t xml:space="preserve">ÇAKAL </t>
    </r>
    <r>
      <rPr>
        <b/>
        <sz val="10"/>
        <color indexed="10"/>
        <rFont val="Trebuchet MS"/>
        <family val="2"/>
      </rPr>
      <t>(LOCAL)</t>
    </r>
  </si>
  <si>
    <r>
      <t xml:space="preserve">PRENSESİN UYKUSU </t>
    </r>
    <r>
      <rPr>
        <b/>
        <sz val="10"/>
        <color indexed="10"/>
        <rFont val="Trebuchet MS"/>
        <family val="2"/>
      </rPr>
      <t>(LOCAL)</t>
    </r>
  </si>
  <si>
    <r>
      <t xml:space="preserve">http://www.antraktsinema.com - </t>
    </r>
    <r>
      <rPr>
        <sz val="12"/>
        <color indexed="47"/>
        <rFont val="Gadget"/>
        <family val="0"/>
      </rPr>
      <t xml:space="preserve">Weekly Movie Magazine Antrakt presents - Haftalık Antrakt Sinema Gazetesi sunar </t>
    </r>
    <r>
      <rPr>
        <sz val="12"/>
        <color indexed="9"/>
        <rFont val="Gadget"/>
        <family val="0"/>
      </rPr>
      <t>- http://www.antraktsinema.com</t>
    </r>
  </si>
  <si>
    <r>
      <t>AV MEVSİMİ</t>
    </r>
    <r>
      <rPr>
        <b/>
        <sz val="10"/>
        <color indexed="10"/>
        <rFont val="Trebuchet MS"/>
        <family val="2"/>
      </rPr>
      <t xml:space="preserve"> (LOCAL)</t>
    </r>
  </si>
  <si>
    <t>TANGLED</t>
  </si>
  <si>
    <t>LITTLE FOCKERS</t>
  </si>
  <si>
    <t>THE TOWN</t>
  </si>
  <si>
    <t>23</t>
  </si>
  <si>
    <r>
      <t>NEW YORK'TA BEŞ MİNARE</t>
    </r>
    <r>
      <rPr>
        <b/>
        <sz val="10"/>
        <color indexed="10"/>
        <rFont val="Trebuchet MS"/>
        <family val="2"/>
      </rPr>
      <t xml:space="preserve"> (LOCAL)</t>
    </r>
  </si>
  <si>
    <t>M3</t>
  </si>
  <si>
    <r>
      <t xml:space="preserve">VAY ARKADAŞ </t>
    </r>
    <r>
      <rPr>
        <b/>
        <sz val="10"/>
        <color indexed="10"/>
        <rFont val="Trebuchet MS"/>
        <family val="2"/>
      </rPr>
      <t>(LOCAL)</t>
    </r>
  </si>
  <si>
    <t>GIRL WHO PLAYED WITH FIRE, THE</t>
  </si>
  <si>
    <r>
      <t xml:space="preserve">PAK PANTER </t>
    </r>
    <r>
      <rPr>
        <b/>
        <sz val="10"/>
        <color indexed="10"/>
        <rFont val="Trebuchet MS"/>
        <family val="2"/>
      </rPr>
      <t>(LOCAL)</t>
    </r>
  </si>
  <si>
    <r>
      <t xml:space="preserve">POLİS </t>
    </r>
    <r>
      <rPr>
        <b/>
        <sz val="10"/>
        <color indexed="10"/>
        <rFont val="Trebuchet MS"/>
        <family val="2"/>
      </rPr>
      <t>(LOCAL)</t>
    </r>
  </si>
  <si>
    <r>
      <t xml:space="preserve">AŞKIN İKİNCİ YARISI </t>
    </r>
    <r>
      <rPr>
        <b/>
        <sz val="10"/>
        <color indexed="10"/>
        <rFont val="Trebuchet MS"/>
        <family val="2"/>
      </rPr>
      <t>(LOCAL)</t>
    </r>
  </si>
  <si>
    <r>
      <t>ŞENLİKNAME BİR İSTANBUL MASALI</t>
    </r>
    <r>
      <rPr>
        <b/>
        <sz val="10"/>
        <color indexed="10"/>
        <rFont val="Trebuchet MS"/>
        <family val="2"/>
      </rPr>
      <t xml:space="preserve"> (LOCAL)</t>
    </r>
  </si>
  <si>
    <r>
      <t>NENE HATUN</t>
    </r>
    <r>
      <rPr>
        <b/>
        <sz val="10"/>
        <color indexed="10"/>
        <rFont val="Trebuchet MS"/>
        <family val="2"/>
      </rPr>
      <t xml:space="preserve"> (LOCAL)</t>
    </r>
  </si>
  <si>
    <r>
      <t xml:space="preserve">KUBİLAY </t>
    </r>
    <r>
      <rPr>
        <b/>
        <sz val="10"/>
        <color indexed="10"/>
        <rFont val="Trebuchet MS"/>
        <family val="2"/>
      </rPr>
      <t>(LOCAL)</t>
    </r>
  </si>
  <si>
    <r>
      <t xml:space="preserve">O KUL </t>
    </r>
    <r>
      <rPr>
        <b/>
        <sz val="10"/>
        <color indexed="10"/>
        <rFont val="Trebuchet MS"/>
        <family val="2"/>
      </rPr>
      <t>(LOCAL)</t>
    </r>
  </si>
  <si>
    <r>
      <t xml:space="preserve">http://www.antraktsinema.com - </t>
    </r>
    <r>
      <rPr>
        <sz val="12"/>
        <color indexed="47"/>
        <rFont val="Gadget"/>
        <family val="0"/>
      </rPr>
      <t>Weekly Movie Magazine Antrakt presents - Haftalık Antrakt Sinema Gazetesi sunar</t>
    </r>
  </si>
  <si>
    <r>
      <t xml:space="preserve">http://www.antraktsinema.com - </t>
    </r>
    <r>
      <rPr>
        <sz val="12"/>
        <color indexed="47"/>
        <rFont val="Gadget"/>
        <family val="0"/>
      </rPr>
      <t>Weekly Movie Magazine Antrakt presents - Haftalık Antrakt Sinema Gazetesi sunar</t>
    </r>
    <r>
      <rPr>
        <sz val="12"/>
        <color indexed="9"/>
        <rFont val="Gadget"/>
        <family val="0"/>
      </rPr>
      <t xml:space="preserve"> - http://www.antraktsinema.com</t>
    </r>
  </si>
  <si>
    <r>
      <t xml:space="preserve">KUKURİKU: KADIN KRALLIĞI </t>
    </r>
    <r>
      <rPr>
        <b/>
        <sz val="10"/>
        <color indexed="10"/>
        <rFont val="Trebuchet MS"/>
        <family val="2"/>
      </rPr>
      <t>(LOCAL)</t>
    </r>
  </si>
  <si>
    <t>SPREAD</t>
  </si>
  <si>
    <r>
      <t xml:space="preserve">MEMLEKET MESELESİ </t>
    </r>
    <r>
      <rPr>
        <b/>
        <sz val="10"/>
        <color indexed="10"/>
        <rFont val="Trebuchet MS"/>
        <family val="2"/>
      </rPr>
      <t>(LOCAL)</t>
    </r>
  </si>
  <si>
    <t>CERTIFIED COPY</t>
  </si>
  <si>
    <r>
      <t xml:space="preserve">AV MEVSİMİ </t>
    </r>
    <r>
      <rPr>
        <b/>
        <sz val="10"/>
        <color indexed="10"/>
        <rFont val="Trebuchet MS"/>
        <family val="2"/>
      </rPr>
      <t>(LOCAL)</t>
    </r>
  </si>
  <si>
    <r>
      <t>ÇAKALLARLA DANS</t>
    </r>
    <r>
      <rPr>
        <b/>
        <sz val="10"/>
        <color indexed="10"/>
        <rFont val="Trebuchet MS"/>
        <family val="2"/>
      </rPr>
      <t xml:space="preserve"> (LOCAL)</t>
    </r>
  </si>
  <si>
    <t>THE EXPERIMENT</t>
  </si>
  <si>
    <t>M3 FİLM</t>
  </si>
  <si>
    <r>
      <t xml:space="preserve">NEW YORK'TA BEŞ MİNARE </t>
    </r>
    <r>
      <rPr>
        <b/>
        <sz val="10"/>
        <color indexed="10"/>
        <rFont val="Trebuchet MS"/>
        <family val="2"/>
      </rPr>
      <t>(LOCAL)</t>
    </r>
  </si>
  <si>
    <r>
      <t>HAYDE BRE</t>
    </r>
    <r>
      <rPr>
        <b/>
        <sz val="10"/>
        <color indexed="10"/>
        <rFont val="Trebuchet MS"/>
        <family val="2"/>
      </rPr>
      <t xml:space="preserve"> (LOCAL)</t>
    </r>
  </si>
  <si>
    <r>
      <t>SULTANIN SIRRI</t>
    </r>
    <r>
      <rPr>
        <b/>
        <sz val="10"/>
        <color indexed="10"/>
        <rFont val="Trebuchet MS"/>
        <family val="2"/>
      </rPr>
      <t xml:space="preserve"> (LOCAL)</t>
    </r>
  </si>
  <si>
    <t>PLANET 51</t>
  </si>
  <si>
    <t>STONE</t>
  </si>
  <si>
    <t>DIARY OF A WIMPY KID</t>
  </si>
  <si>
    <t>DESPICABLE ME</t>
  </si>
  <si>
    <t>JOHN RABE</t>
  </si>
  <si>
    <t>THE A TEAM</t>
  </si>
  <si>
    <r>
      <t>ÇOĞUNLUK</t>
    </r>
    <r>
      <rPr>
        <b/>
        <sz val="10"/>
        <color indexed="10"/>
        <rFont val="Trebuchet MS"/>
        <family val="2"/>
      </rPr>
      <t xml:space="preserve"> (LOCAL)</t>
    </r>
  </si>
  <si>
    <r>
      <t>ÜÇ HARFLİLER: MARİD</t>
    </r>
    <r>
      <rPr>
        <sz val="10"/>
        <color indexed="10"/>
        <rFont val="Trebuchet MS"/>
        <family val="2"/>
      </rPr>
      <t xml:space="preserve"> </t>
    </r>
    <r>
      <rPr>
        <b/>
        <sz val="10"/>
        <color indexed="10"/>
        <rFont val="Trebuchet MS"/>
        <family val="2"/>
      </rPr>
      <t>(LOCAL)</t>
    </r>
  </si>
  <si>
    <r>
      <t xml:space="preserve">ŞENLİKNAME: BİR İSTANBUL MASALI </t>
    </r>
    <r>
      <rPr>
        <b/>
        <sz val="10"/>
        <color indexed="10"/>
        <rFont val="Trebuchet MS"/>
        <family val="2"/>
      </rPr>
      <t>(LOCAL)</t>
    </r>
  </si>
  <si>
    <r>
      <t xml:space="preserve">HÜR ADAM </t>
    </r>
    <r>
      <rPr>
        <b/>
        <sz val="10"/>
        <color indexed="10"/>
        <rFont val="Trebuchet MS"/>
        <family val="2"/>
      </rPr>
      <t>(LOCAL)</t>
    </r>
  </si>
  <si>
    <t>CIRKUS COLUMBIA</t>
  </si>
  <si>
    <r>
      <t>EYYVAH EYVAH 2</t>
    </r>
    <r>
      <rPr>
        <b/>
        <sz val="10"/>
        <color indexed="10"/>
        <rFont val="Trebuchet MS"/>
        <family val="2"/>
      </rPr>
      <t xml:space="preserve"> (LOCAL)</t>
    </r>
  </si>
  <si>
    <t>HÜR ADAM</t>
  </si>
  <si>
    <r>
      <t xml:space="preserve">SEASON OF THE WITCH </t>
    </r>
    <r>
      <rPr>
        <b/>
        <sz val="10"/>
        <color indexed="12"/>
        <rFont val="Trebuchet MS"/>
        <family val="2"/>
      </rPr>
      <t>(NEW)</t>
    </r>
  </si>
  <si>
    <r>
      <t xml:space="preserve">MEGAMIND </t>
    </r>
    <r>
      <rPr>
        <b/>
        <sz val="10"/>
        <color indexed="12"/>
        <rFont val="Trebuchet MS"/>
        <family val="2"/>
      </rPr>
      <t>(NEW)</t>
    </r>
  </si>
  <si>
    <r>
      <t xml:space="preserve">LOVE &amp; OTHER DRUGS </t>
    </r>
    <r>
      <rPr>
        <b/>
        <sz val="10"/>
        <color indexed="12"/>
        <rFont val="Trebuchet MS"/>
        <family val="2"/>
      </rPr>
      <t>(NEW)</t>
    </r>
  </si>
  <si>
    <r>
      <t>KAĞIT</t>
    </r>
    <r>
      <rPr>
        <b/>
        <sz val="10"/>
        <color indexed="10"/>
        <rFont val="Trebuchet MS"/>
        <family val="2"/>
      </rPr>
      <t xml:space="preserve"> (LOCAL) </t>
    </r>
    <r>
      <rPr>
        <b/>
        <sz val="10"/>
        <color indexed="12"/>
        <rFont val="Trebuchet MS"/>
        <family val="2"/>
      </rPr>
      <t>(NEW)</t>
    </r>
  </si>
  <si>
    <r>
      <t>I AM LOVE</t>
    </r>
    <r>
      <rPr>
        <b/>
        <sz val="10"/>
        <rFont val="Trebuchet MS"/>
        <family val="2"/>
      </rPr>
      <t xml:space="preserve"> </t>
    </r>
    <r>
      <rPr>
        <b/>
        <sz val="10"/>
        <color indexed="12"/>
        <rFont val="Trebuchet MS"/>
        <family val="2"/>
      </rPr>
      <t>(NEW)</t>
    </r>
  </si>
  <si>
    <r>
      <t xml:space="preserve">KITES </t>
    </r>
    <r>
      <rPr>
        <b/>
        <sz val="10"/>
        <color indexed="12"/>
        <rFont val="Trebuchet MS"/>
        <family val="2"/>
      </rPr>
      <t>(NEW)</t>
    </r>
  </si>
  <si>
    <t>CHANTIER FILMS</t>
  </si>
  <si>
    <t>DUKA FİLM</t>
  </si>
  <si>
    <t>10</t>
  </si>
  <si>
    <t>3</t>
  </si>
  <si>
    <t>THE GIRL WHO PLAYED WITH FIRE</t>
  </si>
  <si>
    <r>
      <t xml:space="preserve">AY LAV YU </t>
    </r>
    <r>
      <rPr>
        <b/>
        <sz val="10"/>
        <color indexed="10"/>
        <rFont val="Trebuchet MS"/>
        <family val="2"/>
      </rPr>
      <t>(LOCAL)</t>
    </r>
  </si>
  <si>
    <t>JOURNEY TO THE CENTER OF THE EARTH</t>
  </si>
  <si>
    <t>THE LAST EXORCİSM</t>
  </si>
  <si>
    <t>L'ILLUSIONNIST</t>
  </si>
  <si>
    <t>VAY ARKADAŞ</t>
  </si>
  <si>
    <t>MOTHER AND CHILD</t>
  </si>
  <si>
    <r>
      <t>PRENSESİN UYKUSU</t>
    </r>
    <r>
      <rPr>
        <b/>
        <sz val="10"/>
        <color indexed="10"/>
        <rFont val="Trebuchet MS"/>
        <family val="2"/>
      </rPr>
      <t xml:space="preserve"> (LOCAL)</t>
    </r>
  </si>
  <si>
    <t>AN EDUCATION</t>
  </si>
  <si>
    <t>THE KARATE KID</t>
  </si>
  <si>
    <t>DETOUR</t>
  </si>
  <si>
    <t>SEASON OF THE WITCH</t>
  </si>
  <si>
    <t>MEGAMIND</t>
  </si>
  <si>
    <t>LOVE &amp; OTHER DRUGS</t>
  </si>
  <si>
    <r>
      <t>KAĞIT</t>
    </r>
    <r>
      <rPr>
        <b/>
        <sz val="10"/>
        <color indexed="10"/>
        <rFont val="Trebuchet MS"/>
        <family val="2"/>
      </rPr>
      <t xml:space="preserve"> (LOCAL)</t>
    </r>
  </si>
  <si>
    <r>
      <t>I AM LOVE</t>
    </r>
  </si>
  <si>
    <t xml:space="preserve">KITES </t>
  </si>
</sst>
</file>

<file path=xl/styles.xml><?xml version="1.0" encoding="utf-8"?>
<styleSheet xmlns="http://schemas.openxmlformats.org/spreadsheetml/2006/main">
  <numFmts count="5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 numFmtId="210" formatCode="#,##0.00\ _T_L"/>
    <numFmt numFmtId="211" formatCode="#,##0.00\ _Y_T_L"/>
    <numFmt numFmtId="212" formatCode="[$-F400]h:mm:ss\ AM/PM"/>
    <numFmt numFmtId="213" formatCode="#,##0.00\ &quot;TL&quot;"/>
  </numFmts>
  <fonts count="99">
    <font>
      <sz val="10"/>
      <name val="Arial"/>
      <family val="0"/>
    </font>
    <font>
      <u val="single"/>
      <sz val="8"/>
      <color indexed="36"/>
      <name val="Arial"/>
      <family val="2"/>
    </font>
    <font>
      <u val="single"/>
      <sz val="8"/>
      <color indexed="12"/>
      <name val="Arial"/>
      <family val="2"/>
    </font>
    <font>
      <sz val="14"/>
      <name val="Impact"/>
      <family val="2"/>
    </font>
    <font>
      <sz val="10"/>
      <name val="Impact"/>
      <family val="2"/>
    </font>
    <font>
      <sz val="14"/>
      <name val="Arial"/>
      <family val="2"/>
    </font>
    <font>
      <sz val="8"/>
      <name val="Trebuchet MS"/>
      <family val="0"/>
    </font>
    <font>
      <sz val="20"/>
      <name val="Impact"/>
      <family val="2"/>
    </font>
    <font>
      <sz val="10"/>
      <color indexed="9"/>
      <name val="Trebuchet MS"/>
      <family val="2"/>
    </font>
    <font>
      <sz val="10"/>
      <color indexed="9"/>
      <name val="Arial"/>
      <family val="0"/>
    </font>
    <font>
      <sz val="8"/>
      <name val="Arial"/>
      <family val="2"/>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0"/>
    </font>
    <font>
      <b/>
      <sz val="8"/>
      <color indexed="18"/>
      <name val="Verdana"/>
      <family val="2"/>
    </font>
    <font>
      <b/>
      <sz val="14"/>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9"/>
      <name val="Verdana"/>
      <family val="2"/>
    </font>
    <font>
      <sz val="9"/>
      <name val="Verdana"/>
      <family val="2"/>
    </font>
    <font>
      <b/>
      <sz val="9"/>
      <color indexed="9"/>
      <name val="Verdana"/>
      <family val="2"/>
    </font>
    <font>
      <sz val="9"/>
      <color indexed="9"/>
      <name val="Verdana"/>
      <family val="2"/>
    </font>
    <font>
      <b/>
      <sz val="10"/>
      <color indexed="9"/>
      <name val="Arial"/>
      <family val="0"/>
    </font>
    <font>
      <sz val="8"/>
      <color indexed="9"/>
      <name val="Trebuchet MS"/>
      <family val="2"/>
    </font>
    <font>
      <sz val="14"/>
      <color indexed="9"/>
      <name val="Impact"/>
      <family val="2"/>
    </font>
    <font>
      <sz val="20"/>
      <color indexed="9"/>
      <name val="Impact"/>
      <family val="2"/>
    </font>
    <font>
      <sz val="14"/>
      <color indexed="9"/>
      <name val="Arial"/>
      <family val="2"/>
    </font>
    <font>
      <b/>
      <sz val="10"/>
      <name val="Arial"/>
      <family val="2"/>
    </font>
    <font>
      <b/>
      <sz val="9"/>
      <color indexed="9"/>
      <name val="Garamond"/>
      <family val="1"/>
    </font>
    <font>
      <sz val="12"/>
      <color indexed="47"/>
      <name val="Gadget"/>
      <family val="0"/>
    </font>
    <font>
      <sz val="10"/>
      <name val="Administer"/>
      <family val="0"/>
    </font>
    <font>
      <b/>
      <sz val="10"/>
      <name val="Administer"/>
      <family val="0"/>
    </font>
    <font>
      <b/>
      <sz val="10"/>
      <color indexed="9"/>
      <name val="Administer"/>
      <family val="0"/>
    </font>
    <font>
      <i/>
      <sz val="9"/>
      <color indexed="23"/>
      <name val="Administer"/>
      <family val="0"/>
    </font>
    <font>
      <i/>
      <sz val="9"/>
      <color indexed="23"/>
      <name val="Arial"/>
      <family val="0"/>
    </font>
    <font>
      <b/>
      <sz val="10"/>
      <color indexed="9"/>
      <name val="Trebuchet MS"/>
      <family val="2"/>
    </font>
    <font>
      <sz val="10"/>
      <color indexed="10"/>
      <name val="Administer"/>
      <family val="0"/>
    </font>
    <font>
      <sz val="10"/>
      <color indexed="10"/>
      <name val="Arial"/>
      <family val="0"/>
    </font>
    <font>
      <sz val="12"/>
      <color indexed="9"/>
      <name val="Impact"/>
      <family val="2"/>
    </font>
    <font>
      <i/>
      <sz val="9"/>
      <color indexed="9"/>
      <name val="Arial"/>
      <family val="0"/>
    </font>
    <font>
      <i/>
      <sz val="9"/>
      <color indexed="23"/>
      <name val="Didot"/>
      <family val="0"/>
    </font>
    <font>
      <b/>
      <sz val="10"/>
      <color indexed="12"/>
      <name val="Trebuchet MS"/>
      <family val="2"/>
    </font>
    <font>
      <sz val="12"/>
      <color indexed="9"/>
      <name val="Gadget"/>
      <family val="0"/>
    </font>
    <font>
      <sz val="10"/>
      <name val="Trebuchet MS"/>
      <family val="2"/>
    </font>
    <font>
      <b/>
      <sz val="10"/>
      <color indexed="10"/>
      <name val="Trebuchet MS"/>
      <family val="2"/>
    </font>
    <font>
      <b/>
      <sz val="10"/>
      <name val="Trebuchet MS"/>
      <family val="2"/>
    </font>
    <font>
      <sz val="10"/>
      <color indexed="10"/>
      <name val="Trebuchet MS"/>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24"/>
      <color indexed="8"/>
      <name val="AcidSansRegular"/>
      <family val="0"/>
    </font>
    <font>
      <b/>
      <sz val="24"/>
      <color indexed="8"/>
      <name val="Arial"/>
      <family val="0"/>
    </font>
    <font>
      <b/>
      <sz val="20"/>
      <color indexed="8"/>
      <name val="AcidSans-Light"/>
      <family val="0"/>
    </font>
    <font>
      <sz val="20"/>
      <color indexed="8"/>
      <name val="AcidSans-Regular"/>
      <family val="0"/>
    </font>
    <font>
      <b/>
      <sz val="20"/>
      <color indexed="16"/>
      <name val="Administer"/>
      <family val="0"/>
    </font>
    <font>
      <sz val="20"/>
      <color indexed="8"/>
      <name val="Administer"/>
      <family val="0"/>
    </font>
    <font>
      <b/>
      <sz val="20"/>
      <color indexed="8"/>
      <name val="AcidSansRegular"/>
      <family val="0"/>
    </font>
    <font>
      <b/>
      <sz val="20"/>
      <color indexed="8"/>
      <name val="Arial"/>
      <family val="0"/>
    </font>
    <font>
      <sz val="16"/>
      <color indexed="8"/>
      <name val="AcidSans-Regular"/>
      <family val="0"/>
    </font>
    <font>
      <sz val="20"/>
      <color indexed="16"/>
      <name val="Administer"/>
      <family val="0"/>
    </font>
    <font>
      <sz val="16"/>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5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hair"/>
      <right style="hair"/>
      <top style="medium"/>
      <bottom style="hair"/>
    </border>
    <border>
      <left style="hair"/>
      <right>
        <color indexed="63"/>
      </right>
      <top style="medium"/>
      <bottom style="hair"/>
    </border>
    <border>
      <left style="hair"/>
      <right>
        <color indexed="63"/>
      </right>
      <top>
        <color indexed="63"/>
      </top>
      <bottom style="hair"/>
    </border>
    <border>
      <left style="hair"/>
      <right>
        <color indexed="63"/>
      </right>
      <top style="hair"/>
      <bottom style="hair"/>
    </border>
    <border>
      <left style="medium"/>
      <right style="hair"/>
      <top style="medium"/>
      <bottom style="hair"/>
    </border>
    <border>
      <left>
        <color indexed="63"/>
      </left>
      <right>
        <color indexed="63"/>
      </right>
      <top style="hair"/>
      <bottom style="hair"/>
    </border>
    <border>
      <left style="medium"/>
      <right>
        <color indexed="63"/>
      </right>
      <top style="medium"/>
      <bottom style="hair"/>
    </border>
    <border>
      <left style="medium"/>
      <right>
        <color indexed="63"/>
      </right>
      <top style="hair"/>
      <bottom style="hair"/>
    </border>
    <border>
      <left style="thin"/>
      <right style="thin"/>
      <top style="thin"/>
      <bottom style="medium"/>
    </border>
    <border>
      <left style="thin"/>
      <right style="medium"/>
      <top style="thin"/>
      <bottom style="medium"/>
    </border>
    <border>
      <left style="medium"/>
      <right>
        <color indexed="63"/>
      </right>
      <top style="hair"/>
      <bottom style="thin"/>
    </border>
    <border>
      <left style="medium"/>
      <right>
        <color indexed="63"/>
      </right>
      <top>
        <color indexed="63"/>
      </top>
      <bottom style="hair"/>
    </border>
    <border>
      <left style="medium"/>
      <right style="hair"/>
      <top style="medium"/>
      <bottom>
        <color indexed="63"/>
      </bottom>
    </border>
    <border>
      <left style="hair"/>
      <right style="hair"/>
      <top style="medium"/>
      <bottom>
        <color indexed="63"/>
      </bottom>
    </border>
    <border>
      <left style="hair"/>
      <right>
        <color indexed="63"/>
      </right>
      <top style="medium"/>
      <bottom>
        <color indexed="63"/>
      </bottom>
    </border>
    <border>
      <left style="medium"/>
      <right>
        <color indexed="63"/>
      </right>
      <top style="hair"/>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hair"/>
      <top style="hair"/>
      <bottom style="hair"/>
    </border>
    <border>
      <left>
        <color indexed="63"/>
      </left>
      <right style="hair"/>
      <top>
        <color indexed="63"/>
      </top>
      <bottom style="hair"/>
    </border>
    <border>
      <left style="hair"/>
      <right style="hair"/>
      <top style="hair"/>
      <bottom style="thin"/>
    </border>
    <border>
      <left style="medium"/>
      <right style="hair"/>
      <top style="hair"/>
      <bottom style="hair"/>
    </border>
    <border>
      <left style="hair"/>
      <right style="medium"/>
      <top style="hair"/>
      <bottom style="hair"/>
    </border>
    <border>
      <left style="hair"/>
      <right style="medium"/>
      <top style="medium"/>
      <bottom style="hair"/>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color indexed="63"/>
      </left>
      <right style="hair"/>
      <top style="hair"/>
      <bottom>
        <color indexed="63"/>
      </bottom>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medium"/>
      <top style="hair"/>
      <bottom style="thin"/>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color indexed="63"/>
      </left>
      <right style="medium"/>
      <top>
        <color indexed="63"/>
      </top>
      <bottom>
        <color indexed="63"/>
      </bottom>
    </border>
    <border>
      <left>
        <color indexed="63"/>
      </left>
      <right>
        <color indexed="63"/>
      </right>
      <top>
        <color indexed="63"/>
      </top>
      <bottom style="medium"/>
    </border>
    <border>
      <left style="medium"/>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1" applyNumberFormat="0" applyFill="0" applyAlignment="0" applyProtection="0"/>
    <xf numFmtId="0" fontId="87" fillId="0" borderId="2" applyNumberFormat="0" applyFill="0" applyAlignment="0" applyProtection="0"/>
    <xf numFmtId="0" fontId="88" fillId="0" borderId="3" applyNumberFormat="0" applyFill="0" applyAlignment="0" applyProtection="0"/>
    <xf numFmtId="0" fontId="89" fillId="0" borderId="4" applyNumberFormat="0" applyFill="0" applyAlignment="0" applyProtection="0"/>
    <xf numFmtId="0" fontId="8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0" fillId="20" borderId="5" applyNumberFormat="0" applyAlignment="0" applyProtection="0"/>
    <xf numFmtId="0" fontId="91" fillId="21" borderId="6" applyNumberFormat="0" applyAlignment="0" applyProtection="0"/>
    <xf numFmtId="0" fontId="92" fillId="20" borderId="6" applyNumberFormat="0" applyAlignment="0" applyProtection="0"/>
    <xf numFmtId="0" fontId="93" fillId="22" borderId="7" applyNumberFormat="0" applyAlignment="0" applyProtection="0"/>
    <xf numFmtId="0" fontId="94"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95" fillId="24" borderId="0" applyNumberFormat="0" applyBorder="0" applyAlignment="0" applyProtection="0"/>
    <xf numFmtId="0" fontId="0" fillId="0" borderId="0">
      <alignment/>
      <protection/>
    </xf>
    <xf numFmtId="0" fontId="0" fillId="0" borderId="0">
      <alignment/>
      <protection/>
    </xf>
    <xf numFmtId="0" fontId="0" fillId="25" borderId="8" applyNumberFormat="0" applyFont="0" applyAlignment="0" applyProtection="0"/>
    <xf numFmtId="0" fontId="9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7" fillId="0" borderId="9" applyNumberFormat="0" applyFill="0" applyAlignment="0" applyProtection="0"/>
    <xf numFmtId="0" fontId="98" fillId="0" borderId="0" applyNumberFormat="0" applyFill="0" applyBorder="0" applyAlignment="0" applyProtection="0"/>
    <xf numFmtId="0" fontId="83" fillId="27"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83" fillId="31" borderId="0" applyNumberFormat="0" applyBorder="0" applyAlignment="0" applyProtection="0"/>
    <xf numFmtId="0" fontId="83" fillId="32" borderId="0" applyNumberFormat="0" applyBorder="0" applyAlignment="0" applyProtection="0"/>
    <xf numFmtId="9" fontId="0" fillId="0" borderId="0" applyFont="0" applyFill="0" applyBorder="0" applyAlignment="0" applyProtection="0"/>
  </cellStyleXfs>
  <cellXfs count="485">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184" fontId="8" fillId="33" borderId="10" xfId="0" applyNumberFormat="1" applyFont="1" applyFill="1" applyBorder="1" applyAlignment="1">
      <alignment horizontal="center" vertical="center"/>
    </xf>
    <xf numFmtId="0" fontId="8" fillId="33" borderId="10" xfId="0" applyFont="1" applyFill="1" applyBorder="1" applyAlignment="1">
      <alignment horizontal="left" vertical="center"/>
    </xf>
    <xf numFmtId="0" fontId="9" fillId="0" borderId="0" xfId="0" applyFont="1" applyFill="1" applyAlignment="1">
      <alignment/>
    </xf>
    <xf numFmtId="200" fontId="17" fillId="33" borderId="10" xfId="0" applyNumberFormat="1" applyFont="1" applyFill="1" applyBorder="1" applyAlignment="1">
      <alignment horizontal="right" vertical="center"/>
    </xf>
    <xf numFmtId="193" fontId="17" fillId="33" borderId="10" xfId="0" applyNumberFormat="1" applyFont="1" applyFill="1" applyBorder="1" applyAlignment="1">
      <alignment horizontal="right" vertical="center"/>
    </xf>
    <xf numFmtId="0" fontId="11" fillId="0" borderId="0" xfId="0" applyFont="1" applyAlignment="1">
      <alignment/>
    </xf>
    <xf numFmtId="0" fontId="22" fillId="0" borderId="0" xfId="0" applyFont="1" applyAlignment="1">
      <alignment/>
    </xf>
    <xf numFmtId="193" fontId="27" fillId="33" borderId="10" xfId="0" applyNumberFormat="1" applyFont="1" applyFill="1" applyBorder="1" applyAlignment="1">
      <alignment horizontal="right" vertical="center"/>
    </xf>
    <xf numFmtId="192" fontId="28" fillId="33" borderId="10" xfId="0" applyNumberFormat="1" applyFont="1" applyFill="1" applyBorder="1" applyAlignment="1">
      <alignment horizontal="right" vertical="center"/>
    </xf>
    <xf numFmtId="200" fontId="28" fillId="33" borderId="10" xfId="0" applyNumberFormat="1" applyFont="1" applyFill="1" applyBorder="1" applyAlignment="1">
      <alignment horizontal="right" vertical="center"/>
    </xf>
    <xf numFmtId="193" fontId="28" fillId="33" borderId="10" xfId="0" applyNumberFormat="1" applyFont="1" applyFill="1" applyBorder="1" applyAlignment="1">
      <alignment horizontal="right" vertical="center"/>
    </xf>
    <xf numFmtId="0" fontId="11" fillId="0" borderId="0" xfId="0" applyFont="1" applyAlignment="1">
      <alignment horizontal="center"/>
    </xf>
    <xf numFmtId="3" fontId="26" fillId="0" borderId="0" xfId="0" applyNumberFormat="1" applyFont="1" applyAlignment="1">
      <alignment horizontal="right"/>
    </xf>
    <xf numFmtId="2" fontId="26" fillId="0" borderId="0" xfId="0" applyNumberFormat="1" applyFont="1" applyAlignment="1">
      <alignment/>
    </xf>
    <xf numFmtId="4" fontId="26" fillId="0" borderId="0" xfId="0" applyNumberFormat="1" applyFont="1" applyAlignment="1">
      <alignment horizontal="right"/>
    </xf>
    <xf numFmtId="0" fontId="24" fillId="33" borderId="10" xfId="0" applyFont="1" applyFill="1" applyBorder="1" applyAlignment="1">
      <alignment horizontal="right" vertical="center"/>
    </xf>
    <xf numFmtId="3" fontId="24" fillId="33" borderId="10" xfId="0" applyNumberFormat="1" applyFont="1" applyFill="1" applyBorder="1" applyAlignment="1">
      <alignment horizontal="right" vertical="center"/>
    </xf>
    <xf numFmtId="0" fontId="14" fillId="0" borderId="11" xfId="0" applyFont="1" applyBorder="1" applyAlignment="1">
      <alignment horizontal="right" vertical="center"/>
    </xf>
    <xf numFmtId="0" fontId="23" fillId="0" borderId="11" xfId="0" applyFont="1" applyFill="1" applyBorder="1" applyAlignment="1" applyProtection="1">
      <alignment vertical="center"/>
      <protection locked="0"/>
    </xf>
    <xf numFmtId="184"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left" vertical="center"/>
      <protection locked="0"/>
    </xf>
    <xf numFmtId="0" fontId="14" fillId="0" borderId="11" xfId="0" applyNumberFormat="1" applyFont="1" applyFill="1" applyBorder="1" applyAlignment="1" applyProtection="1">
      <alignment horizontal="right" vertical="center"/>
      <protection locked="0"/>
    </xf>
    <xf numFmtId="200" fontId="18" fillId="0" borderId="11" xfId="0" applyNumberFormat="1" applyFont="1" applyFill="1" applyBorder="1" applyAlignment="1" applyProtection="1">
      <alignment horizontal="right" vertical="center"/>
      <protection locked="0"/>
    </xf>
    <xf numFmtId="193" fontId="15" fillId="0" borderId="11" xfId="0" applyNumberFormat="1" applyFont="1" applyFill="1" applyBorder="1" applyAlignment="1" applyProtection="1">
      <alignment horizontal="right" vertical="center"/>
      <protection locked="0"/>
    </xf>
    <xf numFmtId="193" fontId="25" fillId="0" borderId="11" xfId="0" applyNumberFormat="1" applyFont="1" applyFill="1" applyBorder="1" applyAlignment="1" applyProtection="1">
      <alignment horizontal="right" vertical="center"/>
      <protection locked="0"/>
    </xf>
    <xf numFmtId="192" fontId="26" fillId="0" borderId="11" xfId="0" applyNumberFormat="1" applyFont="1" applyFill="1" applyBorder="1" applyAlignment="1" applyProtection="1">
      <alignment horizontal="right" vertical="center"/>
      <protection locked="0"/>
    </xf>
    <xf numFmtId="200" fontId="26" fillId="0" borderId="11" xfId="40" applyNumberFormat="1" applyFont="1" applyFill="1" applyBorder="1" applyAlignment="1" applyProtection="1">
      <alignment horizontal="right" vertical="center"/>
      <protection/>
    </xf>
    <xf numFmtId="193" fontId="26" fillId="0" borderId="11" xfId="0" applyNumberFormat="1" applyFont="1" applyFill="1" applyBorder="1" applyAlignment="1" applyProtection="1">
      <alignment horizontal="right" vertical="center"/>
      <protection locked="0"/>
    </xf>
    <xf numFmtId="0" fontId="22" fillId="0" borderId="11" xfId="0" applyFont="1" applyBorder="1" applyAlignment="1">
      <alignment/>
    </xf>
    <xf numFmtId="0" fontId="22" fillId="0" borderId="11" xfId="0" applyFont="1" applyBorder="1" applyAlignment="1">
      <alignment vertical="center" readingOrder="1"/>
    </xf>
    <xf numFmtId="184" fontId="0" fillId="0" borderId="11" xfId="0" applyNumberFormat="1" applyBorder="1" applyAlignment="1">
      <alignment horizontal="center" vertical="center"/>
    </xf>
    <xf numFmtId="0" fontId="0" fillId="0" borderId="11" xfId="0" applyBorder="1" applyAlignment="1">
      <alignment horizontal="left" vertical="center"/>
    </xf>
    <xf numFmtId="200" fontId="12" fillId="0" borderId="11" xfId="0" applyNumberFormat="1" applyFont="1" applyBorder="1" applyAlignment="1">
      <alignment horizontal="right" vertical="center"/>
    </xf>
    <xf numFmtId="193" fontId="12" fillId="0" borderId="11" xfId="0" applyNumberFormat="1" applyFont="1" applyBorder="1" applyAlignment="1">
      <alignment horizontal="right" vertical="center"/>
    </xf>
    <xf numFmtId="193" fontId="25" fillId="0" borderId="11" xfId="0" applyNumberFormat="1" applyFont="1" applyBorder="1" applyAlignment="1">
      <alignment horizontal="right" vertical="center"/>
    </xf>
    <xf numFmtId="192" fontId="26" fillId="0" borderId="11" xfId="0" applyNumberFormat="1" applyFont="1" applyBorder="1" applyAlignment="1">
      <alignment horizontal="right" vertical="center"/>
    </xf>
    <xf numFmtId="200" fontId="26" fillId="0" borderId="11" xfId="0" applyNumberFormat="1" applyFont="1" applyBorder="1" applyAlignment="1">
      <alignment horizontal="right" vertical="center"/>
    </xf>
    <xf numFmtId="193" fontId="26" fillId="0" borderId="11" xfId="0" applyNumberFormat="1" applyFont="1" applyBorder="1" applyAlignment="1">
      <alignment horizontal="right" vertical="center"/>
    </xf>
    <xf numFmtId="200" fontId="16" fillId="0" borderId="11" xfId="0" applyNumberFormat="1" applyFont="1" applyFill="1" applyBorder="1" applyAlignment="1" applyProtection="1">
      <alignment horizontal="right" vertical="center"/>
      <protection locked="0"/>
    </xf>
    <xf numFmtId="193" fontId="19" fillId="0" borderId="11" xfId="0" applyNumberFormat="1" applyFont="1" applyFill="1" applyBorder="1" applyAlignment="1" applyProtection="1">
      <alignment horizontal="right" vertical="center"/>
      <protection locked="0"/>
    </xf>
    <xf numFmtId="200" fontId="26" fillId="0" borderId="11" xfId="0" applyNumberFormat="1" applyFont="1" applyFill="1" applyBorder="1" applyAlignment="1" applyProtection="1">
      <alignment horizontal="right" vertical="center"/>
      <protection locked="0"/>
    </xf>
    <xf numFmtId="0" fontId="21" fillId="0" borderId="11" xfId="0" applyFont="1" applyFill="1" applyBorder="1" applyAlignment="1" applyProtection="1">
      <alignment vertical="center"/>
      <protection locked="0"/>
    </xf>
    <xf numFmtId="184" fontId="5" fillId="0" borderId="11"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left" vertical="center"/>
      <protection locked="0"/>
    </xf>
    <xf numFmtId="43" fontId="21" fillId="0" borderId="12" xfId="40" applyFont="1" applyFill="1" applyBorder="1" applyAlignment="1" applyProtection="1">
      <alignment vertical="center"/>
      <protection/>
    </xf>
    <xf numFmtId="184" fontId="3" fillId="0" borderId="12" xfId="0" applyNumberFormat="1" applyFont="1" applyFill="1" applyBorder="1" applyAlignment="1" applyProtection="1">
      <alignment horizontal="center" vertical="center"/>
      <protection/>
    </xf>
    <xf numFmtId="0" fontId="3" fillId="0" borderId="12" xfId="0" applyFont="1" applyFill="1" applyBorder="1" applyAlignment="1" applyProtection="1">
      <alignment horizontal="left" vertical="center"/>
      <protection/>
    </xf>
    <xf numFmtId="0" fontId="14" fillId="0" borderId="12" xfId="0" applyNumberFormat="1" applyFont="1" applyFill="1" applyBorder="1" applyAlignment="1" applyProtection="1">
      <alignment horizontal="right" vertical="center"/>
      <protection/>
    </xf>
    <xf numFmtId="200" fontId="16" fillId="0" borderId="12" xfId="0" applyNumberFormat="1" applyFont="1" applyFill="1" applyBorder="1" applyAlignment="1" applyProtection="1">
      <alignment horizontal="right" vertical="center"/>
      <protection/>
    </xf>
    <xf numFmtId="193" fontId="19" fillId="0" borderId="12" xfId="0" applyNumberFormat="1" applyFont="1" applyFill="1" applyBorder="1" applyAlignment="1" applyProtection="1">
      <alignment horizontal="right" vertical="center"/>
      <protection/>
    </xf>
    <xf numFmtId="193" fontId="25" fillId="0" borderId="12" xfId="0" applyNumberFormat="1" applyFont="1" applyFill="1" applyBorder="1" applyAlignment="1" applyProtection="1">
      <alignment horizontal="right" vertical="center"/>
      <protection/>
    </xf>
    <xf numFmtId="192" fontId="26" fillId="0" borderId="12" xfId="0" applyNumberFormat="1" applyFont="1" applyFill="1" applyBorder="1" applyAlignment="1" applyProtection="1">
      <alignment horizontal="right" vertical="center"/>
      <protection/>
    </xf>
    <xf numFmtId="200" fontId="26" fillId="0" borderId="12" xfId="0" applyNumberFormat="1" applyFont="1" applyFill="1" applyBorder="1" applyAlignment="1" applyProtection="1">
      <alignment horizontal="right" vertical="center"/>
      <protection/>
    </xf>
    <xf numFmtId="193" fontId="26" fillId="0" borderId="12" xfId="0" applyNumberFormat="1" applyFont="1" applyFill="1" applyBorder="1" applyAlignment="1" applyProtection="1">
      <alignment horizontal="right" vertical="center"/>
      <protection/>
    </xf>
    <xf numFmtId="192" fontId="26" fillId="0" borderId="13" xfId="0" applyNumberFormat="1" applyFont="1" applyFill="1" applyBorder="1" applyAlignment="1" applyProtection="1">
      <alignment horizontal="right" vertical="center"/>
      <protection/>
    </xf>
    <xf numFmtId="192" fontId="28" fillId="33" borderId="14" xfId="0" applyNumberFormat="1" applyFont="1" applyFill="1" applyBorder="1" applyAlignment="1">
      <alignment horizontal="right" vertical="center"/>
    </xf>
    <xf numFmtId="192" fontId="26" fillId="0" borderId="15" xfId="0" applyNumberFormat="1" applyFont="1" applyFill="1" applyBorder="1" applyAlignment="1" applyProtection="1">
      <alignment horizontal="right" vertical="center"/>
      <protection locked="0"/>
    </xf>
    <xf numFmtId="2" fontId="26" fillId="0" borderId="0" xfId="0" applyNumberFormat="1" applyFont="1" applyAlignment="1">
      <alignment/>
    </xf>
    <xf numFmtId="0" fontId="31" fillId="0" borderId="0" xfId="0" applyFont="1" applyFill="1" applyBorder="1" applyAlignment="1" applyProtection="1">
      <alignment vertical="center"/>
      <protection locked="0"/>
    </xf>
    <xf numFmtId="0" fontId="32" fillId="0" borderId="0" xfId="0"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0" fillId="0" borderId="11" xfId="0" applyBorder="1" applyAlignment="1">
      <alignment/>
    </xf>
    <xf numFmtId="0" fontId="11" fillId="0" borderId="11" xfId="0" applyFont="1" applyBorder="1" applyAlignment="1">
      <alignment/>
    </xf>
    <xf numFmtId="4" fontId="0" fillId="0" borderId="11" xfId="0" applyNumberFormat="1" applyBorder="1" applyAlignment="1">
      <alignment vertical="center"/>
    </xf>
    <xf numFmtId="3" fontId="0" fillId="0" borderId="11" xfId="0" applyNumberFormat="1" applyBorder="1" applyAlignment="1">
      <alignment vertical="center"/>
    </xf>
    <xf numFmtId="0" fontId="0" fillId="0" borderId="11" xfId="0" applyBorder="1" applyAlignment="1">
      <alignment vertical="center"/>
    </xf>
    <xf numFmtId="0" fontId="10" fillId="0" borderId="11" xfId="0" applyFont="1" applyBorder="1" applyAlignment="1">
      <alignment horizontal="center" vertical="center"/>
    </xf>
    <xf numFmtId="193" fontId="12" fillId="0" borderId="11" xfId="0" applyNumberFormat="1" applyFont="1" applyBorder="1" applyAlignment="1">
      <alignment horizontal="right" vertical="center" indent="1"/>
    </xf>
    <xf numFmtId="192" fontId="13" fillId="0" borderId="11" xfId="0" applyNumberFormat="1" applyFont="1" applyBorder="1" applyAlignment="1">
      <alignment horizontal="right" vertical="center" indent="1"/>
    </xf>
    <xf numFmtId="0" fontId="34" fillId="0" borderId="11" xfId="0" applyFont="1" applyBorder="1" applyAlignment="1">
      <alignment horizontal="right" vertical="center"/>
    </xf>
    <xf numFmtId="1" fontId="25" fillId="0" borderId="16" xfId="0" applyNumberFormat="1" applyFont="1" applyFill="1" applyBorder="1" applyAlignment="1" applyProtection="1">
      <alignment horizontal="right" vertical="center"/>
      <protection/>
    </xf>
    <xf numFmtId="1" fontId="25" fillId="0" borderId="11" xfId="0" applyNumberFormat="1" applyFont="1" applyFill="1" applyBorder="1" applyAlignment="1" applyProtection="1">
      <alignment horizontal="right" vertical="center"/>
      <protection locked="0"/>
    </xf>
    <xf numFmtId="0" fontId="28" fillId="0" borderId="17" xfId="0" applyFont="1" applyFill="1" applyBorder="1" applyAlignment="1">
      <alignment horizontal="right"/>
    </xf>
    <xf numFmtId="4" fontId="9" fillId="0" borderId="11" xfId="0" applyNumberFormat="1" applyFont="1" applyFill="1" applyBorder="1" applyAlignment="1">
      <alignment horizontal="center" vertical="center"/>
    </xf>
    <xf numFmtId="0" fontId="0" fillId="0" borderId="10" xfId="0" applyBorder="1" applyAlignment="1">
      <alignment vertical="center"/>
    </xf>
    <xf numFmtId="0" fontId="10" fillId="0" borderId="10" xfId="0" applyFont="1" applyBorder="1" applyAlignment="1">
      <alignment horizontal="center" vertical="center"/>
    </xf>
    <xf numFmtId="200" fontId="12" fillId="0" borderId="10" xfId="0" applyNumberFormat="1" applyFont="1" applyBorder="1" applyAlignment="1">
      <alignment horizontal="right" vertical="center"/>
    </xf>
    <xf numFmtId="193" fontId="12" fillId="0" borderId="10" xfId="0" applyNumberFormat="1" applyFont="1" applyBorder="1" applyAlignment="1">
      <alignment horizontal="right" vertical="center" indent="1"/>
    </xf>
    <xf numFmtId="192" fontId="13" fillId="0" borderId="10" xfId="0" applyNumberFormat="1" applyFont="1" applyBorder="1" applyAlignment="1">
      <alignment horizontal="right" vertical="center" indent="1"/>
    </xf>
    <xf numFmtId="0" fontId="12" fillId="0" borderId="0" xfId="0" applyFont="1" applyAlignment="1">
      <alignment/>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1" fillId="0" borderId="10" xfId="0" applyFont="1" applyBorder="1" applyAlignment="1">
      <alignment horizontal="center"/>
    </xf>
    <xf numFmtId="1" fontId="38" fillId="0" borderId="18" xfId="0" applyNumberFormat="1" applyFont="1" applyFill="1" applyBorder="1" applyAlignment="1" applyProtection="1">
      <alignment horizontal="center" wrapText="1"/>
      <protection/>
    </xf>
    <xf numFmtId="0" fontId="39" fillId="0" borderId="0" xfId="0" applyFont="1" applyFill="1" applyBorder="1" applyAlignment="1" applyProtection="1">
      <alignment horizontal="center" wrapText="1"/>
      <protection locked="0"/>
    </xf>
    <xf numFmtId="0" fontId="38" fillId="0" borderId="0" xfId="0" applyFont="1" applyFill="1" applyBorder="1" applyAlignment="1" applyProtection="1">
      <alignment horizontal="center" wrapText="1"/>
      <protection locked="0"/>
    </xf>
    <xf numFmtId="1" fontId="39" fillId="0" borderId="19" xfId="0" applyNumberFormat="1" applyFont="1" applyFill="1" applyBorder="1" applyAlignment="1" applyProtection="1">
      <alignment horizontal="center" wrapText="1"/>
      <protection/>
    </xf>
    <xf numFmtId="200" fontId="38" fillId="0" borderId="20" xfId="0" applyNumberFormat="1" applyFont="1" applyFill="1" applyBorder="1" applyAlignment="1" applyProtection="1">
      <alignment horizontal="center" wrapText="1"/>
      <protection/>
    </xf>
    <xf numFmtId="193" fontId="38" fillId="0" borderId="20" xfId="0" applyNumberFormat="1" applyFont="1" applyFill="1" applyBorder="1" applyAlignment="1" applyProtection="1">
      <alignment horizontal="center" wrapText="1"/>
      <protection/>
    </xf>
    <xf numFmtId="192" fontId="38" fillId="0" borderId="20" xfId="0" applyNumberFormat="1" applyFont="1" applyFill="1" applyBorder="1" applyAlignment="1" applyProtection="1">
      <alignment horizontal="center" wrapText="1"/>
      <protection/>
    </xf>
    <xf numFmtId="192" fontId="38" fillId="0" borderId="21" xfId="0" applyNumberFormat="1" applyFont="1" applyFill="1" applyBorder="1" applyAlignment="1" applyProtection="1">
      <alignment horizontal="center" wrapText="1"/>
      <protection/>
    </xf>
    <xf numFmtId="0" fontId="38" fillId="0" borderId="19" xfId="0" applyFont="1" applyBorder="1" applyAlignment="1" applyProtection="1">
      <alignment vertical="center"/>
      <protection locked="0"/>
    </xf>
    <xf numFmtId="0" fontId="38" fillId="0" borderId="22" xfId="0" applyFont="1" applyFill="1" applyBorder="1" applyAlignment="1" applyProtection="1">
      <alignment vertical="center"/>
      <protection locked="0"/>
    </xf>
    <xf numFmtId="0" fontId="38" fillId="0" borderId="23" xfId="0" applyFont="1" applyBorder="1" applyAlignment="1" applyProtection="1">
      <alignment vertical="center"/>
      <protection locked="0"/>
    </xf>
    <xf numFmtId="1" fontId="25" fillId="0" borderId="24" xfId="0" applyNumberFormat="1" applyFont="1" applyFill="1" applyBorder="1" applyAlignment="1" applyProtection="1">
      <alignment horizontal="right" vertical="center"/>
      <protection/>
    </xf>
    <xf numFmtId="43" fontId="21" fillId="0" borderId="25" xfId="40" applyFont="1" applyFill="1" applyBorder="1" applyAlignment="1" applyProtection="1">
      <alignment vertical="center"/>
      <protection/>
    </xf>
    <xf numFmtId="184" fontId="3" fillId="0" borderId="25" xfId="0" applyNumberFormat="1" applyFont="1" applyFill="1" applyBorder="1" applyAlignment="1" applyProtection="1">
      <alignment horizontal="center" vertical="center"/>
      <protection/>
    </xf>
    <xf numFmtId="0" fontId="3" fillId="0" borderId="25" xfId="0" applyFont="1" applyFill="1" applyBorder="1" applyAlignment="1" applyProtection="1">
      <alignment horizontal="left" vertical="center"/>
      <protection/>
    </xf>
    <xf numFmtId="0" fontId="14" fillId="0" borderId="25" xfId="0" applyNumberFormat="1" applyFont="1" applyFill="1" applyBorder="1" applyAlignment="1" applyProtection="1">
      <alignment horizontal="right" vertical="center"/>
      <protection/>
    </xf>
    <xf numFmtId="200" fontId="16" fillId="0" borderId="25" xfId="0" applyNumberFormat="1" applyFont="1" applyFill="1" applyBorder="1" applyAlignment="1" applyProtection="1">
      <alignment horizontal="right" vertical="center"/>
      <protection/>
    </xf>
    <xf numFmtId="193" fontId="19" fillId="0" borderId="25" xfId="0" applyNumberFormat="1" applyFont="1" applyFill="1" applyBorder="1" applyAlignment="1" applyProtection="1">
      <alignment horizontal="right" vertical="center"/>
      <protection/>
    </xf>
    <xf numFmtId="193" fontId="25" fillId="0" borderId="25" xfId="0" applyNumberFormat="1" applyFont="1" applyFill="1" applyBorder="1" applyAlignment="1" applyProtection="1">
      <alignment horizontal="right" vertical="center"/>
      <protection/>
    </xf>
    <xf numFmtId="192" fontId="26" fillId="0" borderId="25" xfId="0" applyNumberFormat="1" applyFont="1" applyFill="1" applyBorder="1" applyAlignment="1" applyProtection="1">
      <alignment horizontal="right" vertical="center"/>
      <protection/>
    </xf>
    <xf numFmtId="200" fontId="26" fillId="0" borderId="25" xfId="0" applyNumberFormat="1" applyFont="1" applyFill="1" applyBorder="1" applyAlignment="1" applyProtection="1">
      <alignment horizontal="right" vertical="center"/>
      <protection/>
    </xf>
    <xf numFmtId="193" fontId="26" fillId="0" borderId="25" xfId="0" applyNumberFormat="1" applyFont="1" applyFill="1" applyBorder="1" applyAlignment="1" applyProtection="1">
      <alignment horizontal="right" vertical="center"/>
      <protection/>
    </xf>
    <xf numFmtId="192" fontId="26" fillId="0" borderId="26" xfId="0" applyNumberFormat="1" applyFont="1" applyFill="1" applyBorder="1" applyAlignment="1" applyProtection="1">
      <alignment horizontal="right" vertical="center"/>
      <protection/>
    </xf>
    <xf numFmtId="0" fontId="36" fillId="0" borderId="0" xfId="0" applyFont="1" applyBorder="1" applyAlignment="1">
      <alignment horizontal="center"/>
    </xf>
    <xf numFmtId="0" fontId="38" fillId="0" borderId="0" xfId="0" applyFont="1" applyFill="1" applyBorder="1" applyAlignment="1">
      <alignment horizontal="right" vertical="center"/>
    </xf>
    <xf numFmtId="0" fontId="38" fillId="0" borderId="23" xfId="0" applyFont="1" applyFill="1" applyBorder="1" applyAlignment="1">
      <alignment horizontal="center"/>
    </xf>
    <xf numFmtId="4" fontId="39" fillId="0" borderId="0" xfId="0" applyNumberFormat="1" applyFont="1" applyFill="1" applyBorder="1" applyAlignment="1">
      <alignment horizontal="center"/>
    </xf>
    <xf numFmtId="4" fontId="38" fillId="0" borderId="10" xfId="0" applyNumberFormat="1" applyFont="1" applyFill="1" applyBorder="1" applyAlignment="1">
      <alignment horizontal="center"/>
    </xf>
    <xf numFmtId="3" fontId="38" fillId="0" borderId="10" xfId="0" applyNumberFormat="1" applyFont="1" applyFill="1" applyBorder="1" applyAlignment="1">
      <alignment horizontal="center"/>
    </xf>
    <xf numFmtId="0" fontId="38" fillId="0" borderId="10" xfId="0" applyFont="1" applyFill="1" applyBorder="1" applyAlignment="1">
      <alignment horizontal="center"/>
    </xf>
    <xf numFmtId="0" fontId="39" fillId="0" borderId="27" xfId="0" applyFont="1" applyFill="1" applyBorder="1" applyAlignment="1">
      <alignment horizontal="center"/>
    </xf>
    <xf numFmtId="4" fontId="38" fillId="0" borderId="11" xfId="0" applyNumberFormat="1" applyFont="1" applyFill="1" applyBorder="1" applyAlignment="1">
      <alignment horizontal="center"/>
    </xf>
    <xf numFmtId="3" fontId="38" fillId="0" borderId="11" xfId="0" applyNumberFormat="1" applyFont="1" applyFill="1" applyBorder="1" applyAlignment="1">
      <alignment horizontal="center"/>
    </xf>
    <xf numFmtId="0" fontId="38" fillId="0" borderId="11" xfId="0" applyFont="1" applyFill="1" applyBorder="1" applyAlignment="1">
      <alignment horizontal="center"/>
    </xf>
    <xf numFmtId="1" fontId="38" fillId="0" borderId="28" xfId="0" applyNumberFormat="1" applyFont="1" applyFill="1" applyBorder="1" applyAlignment="1" applyProtection="1">
      <alignment horizontal="center" wrapText="1"/>
      <protection/>
    </xf>
    <xf numFmtId="1" fontId="39" fillId="0" borderId="29" xfId="0" applyNumberFormat="1" applyFont="1" applyFill="1" applyBorder="1" applyAlignment="1" applyProtection="1">
      <alignment horizontal="center" wrapText="1"/>
      <protection/>
    </xf>
    <xf numFmtId="0" fontId="42" fillId="0" borderId="11" xfId="0" applyFont="1" applyFill="1" applyBorder="1" applyAlignment="1" applyProtection="1">
      <alignment horizontal="center" vertical="center"/>
      <protection/>
    </xf>
    <xf numFmtId="0" fontId="43" fillId="0" borderId="11" xfId="0" applyFont="1" applyFill="1" applyBorder="1" applyAlignment="1" applyProtection="1">
      <alignment horizontal="left" vertical="center"/>
      <protection/>
    </xf>
    <xf numFmtId="0" fontId="44" fillId="0" borderId="11" xfId="0" applyFont="1" applyBorder="1" applyAlignment="1">
      <alignment horizontal="left" vertical="center"/>
    </xf>
    <xf numFmtId="0" fontId="45" fillId="0" borderId="11" xfId="0" applyFont="1" applyFill="1" applyBorder="1" applyAlignment="1" applyProtection="1">
      <alignment vertical="center"/>
      <protection/>
    </xf>
    <xf numFmtId="0" fontId="41" fillId="0" borderId="17" xfId="0" applyFont="1" applyBorder="1" applyAlignment="1">
      <alignment horizontal="left" vertical="center"/>
    </xf>
    <xf numFmtId="0" fontId="41" fillId="0" borderId="0" xfId="0" applyFont="1" applyBorder="1" applyAlignment="1">
      <alignment horizontal="left" vertical="center"/>
    </xf>
    <xf numFmtId="0" fontId="41" fillId="0" borderId="0" xfId="0" applyFont="1" applyBorder="1" applyAlignment="1">
      <alignment vertical="center"/>
    </xf>
    <xf numFmtId="1" fontId="25" fillId="0" borderId="10" xfId="0" applyNumberFormat="1" applyFont="1" applyFill="1" applyBorder="1" applyAlignment="1" applyProtection="1">
      <alignment horizontal="right" vertical="center"/>
      <protection locked="0"/>
    </xf>
    <xf numFmtId="0" fontId="21" fillId="0" borderId="10" xfId="0" applyFont="1" applyFill="1" applyBorder="1" applyAlignment="1" applyProtection="1">
      <alignment vertical="center"/>
      <protection locked="0"/>
    </xf>
    <xf numFmtId="184" fontId="5" fillId="0" borderId="10"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protection locked="0"/>
    </xf>
    <xf numFmtId="0" fontId="14" fillId="0" borderId="10" xfId="0" applyNumberFormat="1" applyFont="1" applyFill="1" applyBorder="1" applyAlignment="1" applyProtection="1">
      <alignment horizontal="right" vertical="center"/>
      <protection locked="0"/>
    </xf>
    <xf numFmtId="200" fontId="16" fillId="0" borderId="10" xfId="0" applyNumberFormat="1" applyFont="1" applyFill="1" applyBorder="1" applyAlignment="1" applyProtection="1">
      <alignment horizontal="right" vertical="center"/>
      <protection locked="0"/>
    </xf>
    <xf numFmtId="193" fontId="19" fillId="0" borderId="10" xfId="0" applyNumberFormat="1" applyFont="1" applyFill="1" applyBorder="1" applyAlignment="1" applyProtection="1">
      <alignment horizontal="right" vertical="center"/>
      <protection locked="0"/>
    </xf>
    <xf numFmtId="193" fontId="25" fillId="0" borderId="10" xfId="0" applyNumberFormat="1" applyFont="1" applyFill="1" applyBorder="1" applyAlignment="1" applyProtection="1">
      <alignment horizontal="right" vertical="center"/>
      <protection locked="0"/>
    </xf>
    <xf numFmtId="192" fontId="26" fillId="0" borderId="10" xfId="0" applyNumberFormat="1" applyFont="1" applyFill="1" applyBorder="1" applyAlignment="1" applyProtection="1">
      <alignment horizontal="right" vertical="center"/>
      <protection locked="0"/>
    </xf>
    <xf numFmtId="200" fontId="26" fillId="0" borderId="10" xfId="0" applyNumberFormat="1" applyFont="1" applyFill="1" applyBorder="1" applyAlignment="1" applyProtection="1">
      <alignment horizontal="right" vertical="center"/>
      <protection locked="0"/>
    </xf>
    <xf numFmtId="193" fontId="26" fillId="0" borderId="10" xfId="0" applyNumberFormat="1" applyFont="1" applyFill="1" applyBorder="1" applyAlignment="1" applyProtection="1">
      <alignment horizontal="right" vertical="center"/>
      <protection locked="0"/>
    </xf>
    <xf numFmtId="192" fontId="26" fillId="0" borderId="14" xfId="0" applyNumberFormat="1" applyFont="1" applyFill="1" applyBorder="1" applyAlignment="1" applyProtection="1">
      <alignment horizontal="right" vertical="center"/>
      <protection locked="0"/>
    </xf>
    <xf numFmtId="0" fontId="33" fillId="0" borderId="15" xfId="0" applyFont="1" applyFill="1" applyBorder="1" applyAlignment="1" applyProtection="1">
      <alignment vertical="center"/>
      <protection locked="0"/>
    </xf>
    <xf numFmtId="0" fontId="42" fillId="0" borderId="30" xfId="0" applyFont="1" applyFill="1" applyBorder="1" applyAlignment="1" applyProtection="1">
      <alignment horizontal="center" vertical="center"/>
      <protection/>
    </xf>
    <xf numFmtId="0" fontId="44" fillId="0" borderId="30" xfId="0" applyFont="1" applyBorder="1" applyAlignment="1">
      <alignment horizontal="left" vertical="center"/>
    </xf>
    <xf numFmtId="0" fontId="45" fillId="0" borderId="30" xfId="0" applyFont="1" applyFill="1" applyBorder="1" applyAlignment="1" applyProtection="1">
      <alignment vertical="center"/>
      <protection/>
    </xf>
    <xf numFmtId="0" fontId="29" fillId="0" borderId="0" xfId="0"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xf>
    <xf numFmtId="0" fontId="43" fillId="0" borderId="0" xfId="0" applyFont="1" applyFill="1" applyBorder="1" applyAlignment="1" applyProtection="1">
      <alignment horizontal="left" vertical="center"/>
      <protection/>
    </xf>
    <xf numFmtId="0" fontId="44" fillId="0" borderId="0" xfId="0" applyFont="1" applyBorder="1" applyAlignment="1">
      <alignment horizontal="left" vertical="center"/>
    </xf>
    <xf numFmtId="0" fontId="9" fillId="0" borderId="0" xfId="0" applyFont="1" applyFill="1" applyBorder="1" applyAlignment="1" applyProtection="1">
      <alignment vertical="center"/>
      <protection/>
    </xf>
    <xf numFmtId="0" fontId="45" fillId="0" borderId="0" xfId="0" applyFont="1" applyFill="1" applyBorder="1" applyAlignment="1" applyProtection="1">
      <alignment vertical="center"/>
      <protection/>
    </xf>
    <xf numFmtId="0" fontId="41" fillId="0" borderId="17" xfId="0" applyFont="1" applyBorder="1" applyAlignment="1">
      <alignment vertical="center"/>
    </xf>
    <xf numFmtId="0" fontId="33" fillId="0" borderId="17" xfId="0" applyFont="1" applyFill="1" applyBorder="1" applyAlignment="1" applyProtection="1">
      <alignment vertical="center"/>
      <protection locked="0"/>
    </xf>
    <xf numFmtId="0" fontId="12" fillId="0" borderId="11" xfId="0" applyFont="1" applyBorder="1" applyAlignment="1">
      <alignment/>
    </xf>
    <xf numFmtId="0" fontId="11" fillId="0" borderId="11" xfId="0" applyFont="1" applyBorder="1" applyAlignment="1">
      <alignment horizontal="center"/>
    </xf>
    <xf numFmtId="3" fontId="26" fillId="0" borderId="11" xfId="0" applyNumberFormat="1" applyFont="1" applyBorder="1" applyAlignment="1">
      <alignment horizontal="right"/>
    </xf>
    <xf numFmtId="2" fontId="26" fillId="0" borderId="11" xfId="0" applyNumberFormat="1" applyFont="1" applyBorder="1" applyAlignment="1">
      <alignment/>
    </xf>
    <xf numFmtId="4" fontId="26" fillId="0" borderId="11" xfId="0" applyNumberFormat="1" applyFont="1" applyBorder="1" applyAlignment="1">
      <alignment horizontal="right"/>
    </xf>
    <xf numFmtId="2" fontId="26" fillId="0" borderId="11" xfId="0" applyNumberFormat="1" applyFont="1" applyBorder="1" applyAlignment="1">
      <alignment/>
    </xf>
    <xf numFmtId="0" fontId="28" fillId="0" borderId="11" xfId="0" applyFont="1" applyFill="1" applyBorder="1" applyAlignment="1">
      <alignment horizontal="right"/>
    </xf>
    <xf numFmtId="0" fontId="9" fillId="0" borderId="11" xfId="0" applyFont="1" applyFill="1" applyBorder="1" applyAlignment="1">
      <alignment/>
    </xf>
    <xf numFmtId="0" fontId="39" fillId="0" borderId="11" xfId="0" applyFont="1" applyFill="1" applyBorder="1" applyAlignment="1" applyProtection="1">
      <alignment horizontal="center" wrapText="1"/>
      <protection locked="0"/>
    </xf>
    <xf numFmtId="0" fontId="38" fillId="0" borderId="11" xfId="0" applyFont="1" applyFill="1" applyBorder="1" applyAlignment="1" applyProtection="1">
      <alignment horizontal="center" wrapText="1"/>
      <protection locked="0"/>
    </xf>
    <xf numFmtId="0" fontId="35" fillId="0" borderId="11" xfId="0" applyFont="1" applyFill="1" applyBorder="1" applyAlignment="1" applyProtection="1">
      <alignment horizontal="center" vertical="center" wrapText="1"/>
      <protection locked="0"/>
    </xf>
    <xf numFmtId="0" fontId="22" fillId="0" borderId="10" xfId="0" applyFont="1" applyBorder="1" applyAlignment="1">
      <alignment/>
    </xf>
    <xf numFmtId="0" fontId="11" fillId="0" borderId="10" xfId="0" applyFont="1" applyBorder="1" applyAlignment="1">
      <alignment/>
    </xf>
    <xf numFmtId="3" fontId="26" fillId="0" borderId="10" xfId="0" applyNumberFormat="1" applyFont="1" applyBorder="1" applyAlignment="1">
      <alignment horizontal="right"/>
    </xf>
    <xf numFmtId="2" fontId="26" fillId="0" borderId="10" xfId="0" applyNumberFormat="1" applyFont="1" applyBorder="1" applyAlignment="1">
      <alignment/>
    </xf>
    <xf numFmtId="4" fontId="26" fillId="0" borderId="10" xfId="0" applyNumberFormat="1" applyFont="1" applyBorder="1" applyAlignment="1">
      <alignment horizontal="right"/>
    </xf>
    <xf numFmtId="2" fontId="26" fillId="0" borderId="10" xfId="0" applyNumberFormat="1" applyFont="1" applyBorder="1" applyAlignment="1">
      <alignment/>
    </xf>
    <xf numFmtId="0" fontId="46" fillId="0" borderId="17" xfId="0" applyFont="1" applyFill="1" applyBorder="1" applyAlignment="1">
      <alignment horizontal="left" vertical="center"/>
    </xf>
    <xf numFmtId="0" fontId="46" fillId="0" borderId="17" xfId="0" applyFont="1" applyFill="1" applyBorder="1" applyAlignment="1">
      <alignment vertical="center"/>
    </xf>
    <xf numFmtId="193" fontId="27" fillId="0" borderId="25" xfId="0" applyNumberFormat="1" applyFont="1" applyFill="1" applyBorder="1" applyAlignment="1" applyProtection="1">
      <alignment horizontal="right" vertical="center"/>
      <protection/>
    </xf>
    <xf numFmtId="0" fontId="49" fillId="0" borderId="0" xfId="0" applyFont="1" applyFill="1" applyBorder="1" applyAlignment="1">
      <alignment horizontal="center"/>
    </xf>
    <xf numFmtId="193" fontId="27" fillId="0" borderId="11" xfId="0" applyNumberFormat="1" applyFont="1" applyFill="1" applyBorder="1" applyAlignment="1">
      <alignment horizontal="right" vertical="center"/>
    </xf>
    <xf numFmtId="184" fontId="10" fillId="0" borderId="10" xfId="0" applyNumberFormat="1" applyFont="1" applyBorder="1" applyAlignment="1">
      <alignment horizontal="center" vertical="center"/>
    </xf>
    <xf numFmtId="184" fontId="10" fillId="0" borderId="11" xfId="0" applyNumberFormat="1" applyFont="1" applyBorder="1" applyAlignment="1">
      <alignment horizontal="center" vertical="center"/>
    </xf>
    <xf numFmtId="4" fontId="12" fillId="0" borderId="10" xfId="0" applyNumberFormat="1" applyFont="1" applyBorder="1" applyAlignment="1">
      <alignment horizontal="right"/>
    </xf>
    <xf numFmtId="3" fontId="12" fillId="0" borderId="10" xfId="0" applyNumberFormat="1" applyFont="1" applyBorder="1" applyAlignment="1">
      <alignment horizontal="right"/>
    </xf>
    <xf numFmtId="4" fontId="12" fillId="0" borderId="11" xfId="0" applyNumberFormat="1" applyFont="1" applyBorder="1" applyAlignment="1">
      <alignment horizontal="right"/>
    </xf>
    <xf numFmtId="3" fontId="12" fillId="0" borderId="11" xfId="0" applyNumberFormat="1" applyFont="1" applyBorder="1" applyAlignment="1">
      <alignment horizontal="right"/>
    </xf>
    <xf numFmtId="4" fontId="12" fillId="0" borderId="0" xfId="0" applyNumberFormat="1" applyFont="1" applyAlignment="1">
      <alignment horizontal="right"/>
    </xf>
    <xf numFmtId="3" fontId="12" fillId="0" borderId="0" xfId="0" applyNumberFormat="1" applyFont="1" applyAlignment="1">
      <alignment horizontal="right"/>
    </xf>
    <xf numFmtId="192" fontId="28" fillId="0" borderId="25" xfId="0" applyNumberFormat="1" applyFont="1" applyFill="1" applyBorder="1" applyAlignment="1" applyProtection="1">
      <alignment horizontal="right" vertical="center"/>
      <protection/>
    </xf>
    <xf numFmtId="0" fontId="49" fillId="0" borderId="0" xfId="0" applyFont="1" applyBorder="1" applyAlignment="1">
      <alignment horizontal="center"/>
    </xf>
    <xf numFmtId="3" fontId="39" fillId="0" borderId="31" xfId="0" applyNumberFormat="1" applyFont="1" applyFill="1" applyBorder="1" applyAlignment="1">
      <alignment horizontal="center"/>
    </xf>
    <xf numFmtId="3" fontId="39" fillId="0" borderId="30" xfId="0" applyNumberFormat="1" applyFont="1" applyFill="1" applyBorder="1" applyAlignment="1">
      <alignment horizontal="center"/>
    </xf>
    <xf numFmtId="0" fontId="8" fillId="0" borderId="11" xfId="0" applyFont="1" applyFill="1" applyBorder="1" applyAlignment="1" applyProtection="1">
      <alignment horizontal="right" vertical="center"/>
      <protection locked="0"/>
    </xf>
    <xf numFmtId="3" fontId="9" fillId="0" borderId="11" xfId="0" applyNumberFormat="1" applyFont="1" applyBorder="1" applyAlignment="1">
      <alignment vertical="center"/>
    </xf>
    <xf numFmtId="192" fontId="28" fillId="0" borderId="11" xfId="0" applyNumberFormat="1" applyFont="1" applyBorder="1" applyAlignment="1">
      <alignment horizontal="right" vertical="center"/>
    </xf>
    <xf numFmtId="184" fontId="50" fillId="0" borderId="11" xfId="0" applyNumberFormat="1" applyFont="1" applyFill="1" applyBorder="1" applyAlignment="1" applyProtection="1">
      <alignment horizontal="center" vertical="center"/>
      <protection locked="0"/>
    </xf>
    <xf numFmtId="0" fontId="50" fillId="0" borderId="11" xfId="0" applyFont="1" applyFill="1" applyBorder="1" applyAlignment="1" applyProtection="1">
      <alignment vertical="center"/>
      <protection locked="0"/>
    </xf>
    <xf numFmtId="3" fontId="50" fillId="0" borderId="11" xfId="42" applyNumberFormat="1" applyFont="1" applyFill="1" applyBorder="1" applyAlignment="1" applyProtection="1">
      <alignment horizontal="right" vertical="center"/>
      <protection locked="0"/>
    </xf>
    <xf numFmtId="3" fontId="50" fillId="0" borderId="11" xfId="42" applyNumberFormat="1" applyFont="1" applyFill="1" applyBorder="1" applyAlignment="1" applyProtection="1">
      <alignment horizontal="right" vertical="center"/>
      <protection/>
    </xf>
    <xf numFmtId="184" fontId="50" fillId="0" borderId="11" xfId="0" applyNumberFormat="1" applyFont="1" applyFill="1" applyBorder="1" applyAlignment="1">
      <alignment horizontal="center" vertical="center"/>
    </xf>
    <xf numFmtId="14" fontId="50" fillId="0" borderId="11" xfId="0" applyNumberFormat="1" applyFont="1" applyFill="1" applyBorder="1" applyAlignment="1">
      <alignment vertical="center"/>
    </xf>
    <xf numFmtId="3" fontId="50" fillId="0" borderId="11" xfId="0" applyNumberFormat="1" applyFont="1" applyFill="1" applyBorder="1" applyAlignment="1">
      <alignment horizontal="right" vertical="center"/>
    </xf>
    <xf numFmtId="3" fontId="50" fillId="0" borderId="11" xfId="0" applyNumberFormat="1" applyFont="1" applyFill="1" applyBorder="1" applyAlignment="1">
      <alignment horizontal="right" vertical="center"/>
    </xf>
    <xf numFmtId="49" fontId="50" fillId="0" borderId="11" xfId="0" applyNumberFormat="1" applyFont="1" applyFill="1" applyBorder="1" applyAlignment="1" applyProtection="1">
      <alignment vertical="center"/>
      <protection locked="0"/>
    </xf>
    <xf numFmtId="3" fontId="50" fillId="0" borderId="11" xfId="40" applyNumberFormat="1" applyFont="1" applyFill="1" applyBorder="1" applyAlignment="1" applyProtection="1">
      <alignment horizontal="right" vertical="center"/>
      <protection locked="0"/>
    </xf>
    <xf numFmtId="3" fontId="50" fillId="0" borderId="11" xfId="67" applyNumberFormat="1" applyFont="1" applyFill="1" applyBorder="1" applyAlignment="1" applyProtection="1">
      <alignment horizontal="right" vertical="center"/>
      <protection/>
    </xf>
    <xf numFmtId="0" fontId="50" fillId="0" borderId="11" xfId="0" applyFont="1" applyFill="1" applyBorder="1" applyAlignment="1">
      <alignment vertical="center"/>
    </xf>
    <xf numFmtId="3" fontId="50" fillId="0" borderId="11" xfId="43" applyNumberFormat="1" applyFont="1" applyFill="1" applyBorder="1" applyAlignment="1" applyProtection="1">
      <alignment horizontal="right" vertical="center"/>
      <protection locked="0"/>
    </xf>
    <xf numFmtId="3" fontId="50" fillId="0" borderId="11" xfId="43" applyNumberFormat="1" applyFont="1" applyFill="1" applyBorder="1" applyAlignment="1" applyProtection="1">
      <alignment horizontal="right" vertical="center"/>
      <protection/>
    </xf>
    <xf numFmtId="0" fontId="50" fillId="0" borderId="11" xfId="0" applyNumberFormat="1" applyFont="1" applyFill="1" applyBorder="1" applyAlignment="1" applyProtection="1">
      <alignment vertical="center"/>
      <protection locked="0"/>
    </xf>
    <xf numFmtId="3" fontId="50" fillId="0" borderId="11" xfId="44" applyNumberFormat="1" applyFont="1" applyFill="1" applyBorder="1" applyAlignment="1" applyProtection="1">
      <alignment horizontal="right" vertical="center"/>
      <protection locked="0"/>
    </xf>
    <xf numFmtId="3" fontId="50" fillId="0" borderId="11" xfId="44" applyNumberFormat="1" applyFont="1" applyFill="1" applyBorder="1" applyAlignment="1" applyProtection="1">
      <alignment horizontal="right" vertical="center"/>
      <protection/>
    </xf>
    <xf numFmtId="184" fontId="50" fillId="0" borderId="11" xfId="0" applyNumberFormat="1" applyFont="1" applyFill="1" applyBorder="1" applyAlignment="1">
      <alignment horizontal="center" vertical="center"/>
    </xf>
    <xf numFmtId="0" fontId="50" fillId="0" borderId="11" xfId="0" applyFont="1" applyFill="1" applyBorder="1" applyAlignment="1">
      <alignment vertical="center"/>
    </xf>
    <xf numFmtId="3" fontId="50" fillId="0" borderId="11" xfId="0" applyNumberFormat="1" applyFont="1" applyFill="1" applyBorder="1" applyAlignment="1">
      <alignment horizontal="right" vertical="center"/>
    </xf>
    <xf numFmtId="184" fontId="50" fillId="0" borderId="11" xfId="54" applyNumberFormat="1" applyFont="1" applyFill="1" applyBorder="1" applyAlignment="1">
      <alignment horizontal="center" vertical="center"/>
      <protection/>
    </xf>
    <xf numFmtId="184" fontId="50" fillId="0" borderId="32" xfId="0" applyNumberFormat="1" applyFont="1" applyFill="1" applyBorder="1" applyAlignment="1" applyProtection="1">
      <alignment horizontal="center" vertical="center"/>
      <protection locked="0"/>
    </xf>
    <xf numFmtId="0" fontId="8" fillId="0" borderId="30" xfId="0" applyFont="1" applyFill="1" applyBorder="1" applyAlignment="1" applyProtection="1">
      <alignment horizontal="right" vertical="center"/>
      <protection locked="0"/>
    </xf>
    <xf numFmtId="0" fontId="8" fillId="0" borderId="30" xfId="0" applyFont="1" applyFill="1" applyBorder="1" applyAlignment="1">
      <alignment horizontal="right" vertical="center"/>
    </xf>
    <xf numFmtId="0" fontId="8" fillId="0" borderId="30" xfId="0" applyFont="1" applyFill="1" applyBorder="1" applyAlignment="1" applyProtection="1">
      <alignment horizontal="right" vertical="center"/>
      <protection locked="0"/>
    </xf>
    <xf numFmtId="3" fontId="52" fillId="0" borderId="11" xfId="42" applyNumberFormat="1" applyFont="1" applyFill="1" applyBorder="1" applyAlignment="1" applyProtection="1">
      <alignment horizontal="right" vertical="center"/>
      <protection locked="0"/>
    </xf>
    <xf numFmtId="3" fontId="52" fillId="0" borderId="11" xfId="43" applyNumberFormat="1" applyFont="1" applyFill="1" applyBorder="1" applyAlignment="1" applyProtection="1">
      <alignment horizontal="right" vertical="center"/>
      <protection locked="0"/>
    </xf>
    <xf numFmtId="3" fontId="52" fillId="0" borderId="11" xfId="0" applyNumberFormat="1" applyFont="1" applyFill="1" applyBorder="1" applyAlignment="1">
      <alignment horizontal="right" vertical="center"/>
    </xf>
    <xf numFmtId="3" fontId="52" fillId="0" borderId="11" xfId="44" applyNumberFormat="1" applyFont="1" applyFill="1" applyBorder="1" applyAlignment="1" applyProtection="1">
      <alignment horizontal="right" vertical="center"/>
      <protection locked="0"/>
    </xf>
    <xf numFmtId="3" fontId="52" fillId="0" borderId="11" xfId="40" applyNumberFormat="1" applyFont="1" applyFill="1" applyBorder="1" applyAlignment="1" applyProtection="1">
      <alignment horizontal="right" vertical="center"/>
      <protection locked="0"/>
    </xf>
    <xf numFmtId="3" fontId="52" fillId="0" borderId="11" xfId="40" applyNumberFormat="1" applyFont="1" applyFill="1" applyBorder="1" applyAlignment="1" applyProtection="1">
      <alignment horizontal="right" vertical="center"/>
      <protection/>
    </xf>
    <xf numFmtId="0" fontId="8" fillId="0" borderId="30" xfId="53" applyFont="1" applyFill="1" applyBorder="1" applyAlignment="1" applyProtection="1">
      <alignment horizontal="right" vertical="center"/>
      <protection locked="0"/>
    </xf>
    <xf numFmtId="200" fontId="38" fillId="0" borderId="0" xfId="0" applyNumberFormat="1" applyFont="1" applyFill="1" applyBorder="1" applyAlignment="1" applyProtection="1">
      <alignment horizontal="center" wrapText="1"/>
      <protection/>
    </xf>
    <xf numFmtId="193" fontId="38" fillId="0" borderId="0" xfId="0" applyNumberFormat="1" applyFont="1" applyFill="1" applyBorder="1" applyAlignment="1" applyProtection="1">
      <alignment horizontal="center" wrapText="1"/>
      <protection/>
    </xf>
    <xf numFmtId="4" fontId="52" fillId="0" borderId="11" xfId="42" applyNumberFormat="1" applyFont="1" applyFill="1" applyBorder="1" applyAlignment="1" applyProtection="1">
      <alignment vertical="center"/>
      <protection locked="0"/>
    </xf>
    <xf numFmtId="2" fontId="50" fillId="0" borderId="11" xfId="42" applyNumberFormat="1" applyFont="1" applyFill="1" applyBorder="1" applyAlignment="1" applyProtection="1">
      <alignment vertical="center"/>
      <protection/>
    </xf>
    <xf numFmtId="4" fontId="50" fillId="0" borderId="11" xfId="42" applyNumberFormat="1" applyFont="1" applyFill="1" applyBorder="1" applyAlignment="1" applyProtection="1">
      <alignment vertical="center"/>
      <protection locked="0"/>
    </xf>
    <xf numFmtId="4" fontId="52" fillId="0" borderId="11" xfId="43" applyNumberFormat="1" applyFont="1" applyFill="1" applyBorder="1" applyAlignment="1" applyProtection="1">
      <alignment vertical="center"/>
      <protection locked="0"/>
    </xf>
    <xf numFmtId="2" fontId="50" fillId="0" borderId="11" xfId="43" applyNumberFormat="1" applyFont="1" applyFill="1" applyBorder="1" applyAlignment="1" applyProtection="1">
      <alignment vertical="center"/>
      <protection/>
    </xf>
    <xf numFmtId="4" fontId="50" fillId="0" borderId="11" xfId="43" applyNumberFormat="1" applyFont="1" applyFill="1" applyBorder="1" applyAlignment="1" applyProtection="1">
      <alignment vertical="center"/>
      <protection locked="0"/>
    </xf>
    <xf numFmtId="4" fontId="52" fillId="0" borderId="11" xfId="0" applyNumberFormat="1" applyFont="1" applyFill="1" applyBorder="1" applyAlignment="1">
      <alignment vertical="center"/>
    </xf>
    <xf numFmtId="2" fontId="50" fillId="0" borderId="11" xfId="0" applyNumberFormat="1" applyFont="1" applyFill="1" applyBorder="1" applyAlignment="1">
      <alignment vertical="center"/>
    </xf>
    <xf numFmtId="4" fontId="50" fillId="0" borderId="11" xfId="0" applyNumberFormat="1" applyFont="1" applyFill="1" applyBorder="1" applyAlignment="1">
      <alignment vertical="center"/>
    </xf>
    <xf numFmtId="4" fontId="52" fillId="0" borderId="11" xfId="40" applyNumberFormat="1" applyFont="1" applyFill="1" applyBorder="1" applyAlignment="1" applyProtection="1">
      <alignment vertical="center"/>
      <protection locked="0"/>
    </xf>
    <xf numFmtId="2" fontId="50" fillId="0" borderId="11" xfId="67" applyNumberFormat="1" applyFont="1" applyFill="1" applyBorder="1" applyAlignment="1" applyProtection="1">
      <alignment vertical="center"/>
      <protection/>
    </xf>
    <xf numFmtId="4" fontId="50" fillId="0" borderId="11" xfId="40" applyNumberFormat="1" applyFont="1" applyFill="1" applyBorder="1" applyAlignment="1" applyProtection="1">
      <alignment vertical="center"/>
      <protection locked="0"/>
    </xf>
    <xf numFmtId="4" fontId="52" fillId="0" borderId="11" xfId="44" applyNumberFormat="1" applyFont="1" applyFill="1" applyBorder="1" applyAlignment="1" applyProtection="1">
      <alignment vertical="center"/>
      <protection locked="0"/>
    </xf>
    <xf numFmtId="2" fontId="50" fillId="0" borderId="11" xfId="44" applyNumberFormat="1" applyFont="1" applyFill="1" applyBorder="1" applyAlignment="1" applyProtection="1">
      <alignment vertical="center"/>
      <protection/>
    </xf>
    <xf numFmtId="4" fontId="50" fillId="0" borderId="11" xfId="44" applyNumberFormat="1" applyFont="1" applyFill="1" applyBorder="1" applyAlignment="1" applyProtection="1">
      <alignment vertical="center"/>
      <protection locked="0"/>
    </xf>
    <xf numFmtId="4" fontId="52" fillId="0" borderId="11" xfId="40" applyNumberFormat="1" applyFont="1" applyFill="1" applyBorder="1" applyAlignment="1" applyProtection="1">
      <alignment vertical="center"/>
      <protection/>
    </xf>
    <xf numFmtId="4" fontId="50" fillId="0" borderId="11" xfId="40" applyNumberFormat="1" applyFont="1" applyFill="1" applyBorder="1" applyAlignment="1" applyProtection="1">
      <alignment vertical="center"/>
      <protection/>
    </xf>
    <xf numFmtId="4" fontId="52" fillId="0" borderId="11" xfId="0" applyNumberFormat="1" applyFont="1" applyFill="1" applyBorder="1" applyAlignment="1">
      <alignment vertical="center"/>
    </xf>
    <xf numFmtId="2" fontId="50" fillId="0" borderId="11" xfId="0" applyNumberFormat="1" applyFont="1" applyFill="1" applyBorder="1" applyAlignment="1">
      <alignment vertical="center"/>
    </xf>
    <xf numFmtId="4" fontId="50" fillId="0" borderId="11" xfId="0" applyNumberFormat="1" applyFont="1" applyFill="1" applyBorder="1" applyAlignment="1">
      <alignment vertical="center"/>
    </xf>
    <xf numFmtId="0" fontId="50" fillId="0" borderId="33" xfId="0" applyFont="1" applyFill="1" applyBorder="1" applyAlignment="1">
      <alignment vertical="center"/>
    </xf>
    <xf numFmtId="2" fontId="50" fillId="0" borderId="34" xfId="43" applyNumberFormat="1" applyFont="1" applyFill="1" applyBorder="1" applyAlignment="1" applyProtection="1">
      <alignment vertical="center"/>
      <protection/>
    </xf>
    <xf numFmtId="0" fontId="50" fillId="0" borderId="33" xfId="0" applyFont="1" applyFill="1" applyBorder="1" applyAlignment="1">
      <alignment vertical="center"/>
    </xf>
    <xf numFmtId="2" fontId="50" fillId="0" borderId="34" xfId="0" applyNumberFormat="1" applyFont="1" applyFill="1" applyBorder="1" applyAlignment="1">
      <alignment vertical="center"/>
    </xf>
    <xf numFmtId="0" fontId="50" fillId="0" borderId="33" xfId="0" applyNumberFormat="1" applyFont="1" applyFill="1" applyBorder="1" applyAlignment="1" applyProtection="1">
      <alignment vertical="center"/>
      <protection locked="0"/>
    </xf>
    <xf numFmtId="2" fontId="50" fillId="0" borderId="34" xfId="67" applyNumberFormat="1" applyFont="1" applyFill="1" applyBorder="1" applyAlignment="1" applyProtection="1">
      <alignment vertical="center"/>
      <protection/>
    </xf>
    <xf numFmtId="0" fontId="50" fillId="0" borderId="33" xfId="0" applyFont="1" applyFill="1" applyBorder="1" applyAlignment="1" applyProtection="1">
      <alignment vertical="center"/>
      <protection locked="0"/>
    </xf>
    <xf numFmtId="2" fontId="50" fillId="0" borderId="34" xfId="42" applyNumberFormat="1" applyFont="1" applyFill="1" applyBorder="1" applyAlignment="1" applyProtection="1">
      <alignment vertical="center"/>
      <protection/>
    </xf>
    <xf numFmtId="212" fontId="50" fillId="0" borderId="33" xfId="0" applyNumberFormat="1" applyFont="1" applyFill="1" applyBorder="1" applyAlignment="1">
      <alignment vertical="center"/>
    </xf>
    <xf numFmtId="2" fontId="50" fillId="0" borderId="34" xfId="44" applyNumberFormat="1" applyFont="1" applyFill="1" applyBorder="1" applyAlignment="1" applyProtection="1">
      <alignment vertical="center"/>
      <protection/>
    </xf>
    <xf numFmtId="2" fontId="50" fillId="0" borderId="34" xfId="0" applyNumberFormat="1" applyFont="1" applyFill="1" applyBorder="1" applyAlignment="1">
      <alignment vertical="center"/>
    </xf>
    <xf numFmtId="0" fontId="50" fillId="0" borderId="33" xfId="54" applyFont="1" applyFill="1" applyBorder="1" applyAlignment="1">
      <alignment vertical="center"/>
      <protection/>
    </xf>
    <xf numFmtId="184" fontId="50" fillId="0" borderId="10" xfId="0" applyNumberFormat="1" applyFont="1" applyFill="1" applyBorder="1" applyAlignment="1" applyProtection="1">
      <alignment horizontal="center" vertical="center"/>
      <protection locked="0"/>
    </xf>
    <xf numFmtId="0" fontId="39" fillId="0" borderId="30" xfId="0" applyFont="1" applyFill="1" applyBorder="1" applyAlignment="1" applyProtection="1">
      <alignment horizontal="center" wrapText="1"/>
      <protection locked="0"/>
    </xf>
    <xf numFmtId="0" fontId="50" fillId="0" borderId="16" xfId="0" applyFont="1" applyFill="1" applyBorder="1" applyAlignment="1">
      <alignment vertical="center"/>
    </xf>
    <xf numFmtId="184" fontId="50" fillId="0" borderId="12" xfId="0" applyNumberFormat="1" applyFont="1" applyFill="1" applyBorder="1" applyAlignment="1">
      <alignment horizontal="center" vertical="center"/>
    </xf>
    <xf numFmtId="0" fontId="50" fillId="0" borderId="12" xfId="0" applyFont="1" applyFill="1" applyBorder="1" applyAlignment="1">
      <alignment vertical="center"/>
    </xf>
    <xf numFmtId="4" fontId="50" fillId="0" borderId="12" xfId="43" applyNumberFormat="1" applyFont="1" applyFill="1" applyBorder="1" applyAlignment="1" applyProtection="1">
      <alignment vertical="center"/>
      <protection locked="0"/>
    </xf>
    <xf numFmtId="3" fontId="50" fillId="0" borderId="12" xfId="43" applyNumberFormat="1" applyFont="1" applyFill="1" applyBorder="1" applyAlignment="1" applyProtection="1">
      <alignment horizontal="right" vertical="center"/>
      <protection locked="0"/>
    </xf>
    <xf numFmtId="2" fontId="50" fillId="0" borderId="35" xfId="43" applyNumberFormat="1" applyFont="1" applyFill="1" applyBorder="1" applyAlignment="1" applyProtection="1">
      <alignment vertical="center"/>
      <protection/>
    </xf>
    <xf numFmtId="0" fontId="38" fillId="0" borderId="36" xfId="0" applyFont="1" applyFill="1" applyBorder="1" applyAlignment="1">
      <alignment horizontal="right" vertical="center"/>
    </xf>
    <xf numFmtId="4" fontId="52" fillId="0" borderId="11" xfId="0" applyNumberFormat="1" applyFont="1" applyFill="1" applyBorder="1" applyAlignment="1">
      <alignment horizontal="right" vertical="center"/>
    </xf>
    <xf numFmtId="2" fontId="50" fillId="0" borderId="11" xfId="0" applyNumberFormat="1" applyFont="1" applyFill="1" applyBorder="1" applyAlignment="1">
      <alignment horizontal="right" vertical="center"/>
    </xf>
    <xf numFmtId="4" fontId="50" fillId="0" borderId="11" xfId="0" applyNumberFormat="1" applyFont="1" applyFill="1" applyBorder="1" applyAlignment="1">
      <alignment horizontal="right" vertical="center"/>
    </xf>
    <xf numFmtId="4" fontId="52" fillId="0" borderId="11" xfId="42" applyNumberFormat="1" applyFont="1" applyFill="1" applyBorder="1" applyAlignment="1" applyProtection="1">
      <alignment horizontal="right" vertical="center"/>
      <protection locked="0"/>
    </xf>
    <xf numFmtId="2" fontId="50" fillId="0" borderId="11" xfId="42" applyNumberFormat="1" applyFont="1" applyFill="1" applyBorder="1" applyAlignment="1" applyProtection="1">
      <alignment horizontal="right" vertical="center"/>
      <protection/>
    </xf>
    <xf numFmtId="4" fontId="50" fillId="0" borderId="11" xfId="42" applyNumberFormat="1" applyFont="1" applyFill="1" applyBorder="1" applyAlignment="1" applyProtection="1">
      <alignment horizontal="right" vertical="center"/>
      <protection locked="0"/>
    </xf>
    <xf numFmtId="4" fontId="52" fillId="0" borderId="11" xfId="43" applyNumberFormat="1" applyFont="1" applyFill="1" applyBorder="1" applyAlignment="1" applyProtection="1">
      <alignment horizontal="right" vertical="center"/>
      <protection locked="0"/>
    </xf>
    <xf numFmtId="2" fontId="50" fillId="0" borderId="11" xfId="43" applyNumberFormat="1" applyFont="1" applyFill="1" applyBorder="1" applyAlignment="1" applyProtection="1">
      <alignment horizontal="right" vertical="center"/>
      <protection/>
    </xf>
    <xf numFmtId="4" fontId="50" fillId="0" borderId="11" xfId="43" applyNumberFormat="1" applyFont="1" applyFill="1" applyBorder="1" applyAlignment="1" applyProtection="1">
      <alignment horizontal="right" vertical="center"/>
      <protection locked="0"/>
    </xf>
    <xf numFmtId="4" fontId="52" fillId="0" borderId="11" xfId="40" applyNumberFormat="1" applyFont="1" applyFill="1" applyBorder="1" applyAlignment="1" applyProtection="1">
      <alignment horizontal="right" vertical="center"/>
      <protection locked="0"/>
    </xf>
    <xf numFmtId="2" fontId="50" fillId="0" borderId="11" xfId="67" applyNumberFormat="1" applyFont="1" applyFill="1" applyBorder="1" applyAlignment="1" applyProtection="1">
      <alignment horizontal="right" vertical="center"/>
      <protection/>
    </xf>
    <xf numFmtId="4" fontId="50" fillId="0" borderId="11" xfId="40" applyNumberFormat="1" applyFont="1" applyFill="1" applyBorder="1" applyAlignment="1" applyProtection="1">
      <alignment horizontal="right" vertical="center"/>
      <protection locked="0"/>
    </xf>
    <xf numFmtId="4" fontId="52" fillId="0" borderId="11" xfId="40" applyNumberFormat="1" applyFont="1" applyFill="1" applyBorder="1" applyAlignment="1" applyProtection="1">
      <alignment horizontal="right" vertical="center"/>
      <protection/>
    </xf>
    <xf numFmtId="4" fontId="50" fillId="0" borderId="11" xfId="40" applyNumberFormat="1" applyFont="1" applyFill="1" applyBorder="1" applyAlignment="1" applyProtection="1">
      <alignment horizontal="right" vertical="center"/>
      <protection/>
    </xf>
    <xf numFmtId="4" fontId="52" fillId="0" borderId="11" xfId="0" applyNumberFormat="1" applyFont="1" applyFill="1" applyBorder="1" applyAlignment="1">
      <alignment horizontal="right" vertical="center"/>
    </xf>
    <xf numFmtId="2" fontId="50" fillId="0" borderId="11" xfId="0" applyNumberFormat="1" applyFont="1" applyFill="1" applyBorder="1" applyAlignment="1">
      <alignment horizontal="right" vertical="center"/>
    </xf>
    <xf numFmtId="4" fontId="50" fillId="0" borderId="11" xfId="0" applyNumberFormat="1" applyFont="1" applyFill="1" applyBorder="1" applyAlignment="1">
      <alignment horizontal="right" vertical="center"/>
    </xf>
    <xf numFmtId="4" fontId="52" fillId="0" borderId="11" xfId="44" applyNumberFormat="1" applyFont="1" applyFill="1" applyBorder="1" applyAlignment="1" applyProtection="1">
      <alignment horizontal="right" vertical="center"/>
      <protection locked="0"/>
    </xf>
    <xf numFmtId="2" fontId="50" fillId="0" borderId="11" xfId="44" applyNumberFormat="1" applyFont="1" applyFill="1" applyBorder="1" applyAlignment="1" applyProtection="1">
      <alignment horizontal="right" vertical="center"/>
      <protection/>
    </xf>
    <xf numFmtId="4" fontId="50" fillId="0" borderId="11" xfId="44" applyNumberFormat="1" applyFont="1" applyFill="1" applyBorder="1" applyAlignment="1" applyProtection="1">
      <alignment horizontal="right" vertical="center"/>
      <protection locked="0"/>
    </xf>
    <xf numFmtId="0" fontId="50" fillId="0" borderId="33" xfId="0" applyFont="1" applyFill="1" applyBorder="1" applyAlignment="1">
      <alignment horizontal="left" vertical="center"/>
    </xf>
    <xf numFmtId="2" fontId="50" fillId="0" borderId="34" xfId="0" applyNumberFormat="1" applyFont="1" applyFill="1" applyBorder="1" applyAlignment="1">
      <alignment horizontal="right" vertical="center"/>
    </xf>
    <xf numFmtId="0" fontId="50" fillId="0" borderId="33" xfId="0" applyFont="1" applyFill="1" applyBorder="1" applyAlignment="1" applyProtection="1">
      <alignment horizontal="left" vertical="center"/>
      <protection locked="0"/>
    </xf>
    <xf numFmtId="2" fontId="50" fillId="0" borderId="34" xfId="42" applyNumberFormat="1" applyFont="1" applyFill="1" applyBorder="1" applyAlignment="1" applyProtection="1">
      <alignment horizontal="right" vertical="center"/>
      <protection/>
    </xf>
    <xf numFmtId="0" fontId="50" fillId="0" borderId="33" xfId="0" applyFont="1" applyFill="1" applyBorder="1" applyAlignment="1">
      <alignment horizontal="left" vertical="center"/>
    </xf>
    <xf numFmtId="2" fontId="50" fillId="0" borderId="34" xfId="43" applyNumberFormat="1" applyFont="1" applyFill="1" applyBorder="1" applyAlignment="1" applyProtection="1">
      <alignment horizontal="right" vertical="center"/>
      <protection/>
    </xf>
    <xf numFmtId="0" fontId="50" fillId="0" borderId="33" xfId="0" applyNumberFormat="1" applyFont="1" applyFill="1" applyBorder="1" applyAlignment="1" applyProtection="1">
      <alignment horizontal="left" vertical="center"/>
      <protection locked="0"/>
    </xf>
    <xf numFmtId="2" fontId="50" fillId="0" borderId="34" xfId="67" applyNumberFormat="1" applyFont="1" applyFill="1" applyBorder="1" applyAlignment="1" applyProtection="1">
      <alignment horizontal="right" vertical="center"/>
      <protection/>
    </xf>
    <xf numFmtId="212" fontId="50" fillId="0" borderId="33" xfId="0" applyNumberFormat="1" applyFont="1" applyFill="1" applyBorder="1" applyAlignment="1">
      <alignment horizontal="left" vertical="center"/>
    </xf>
    <xf numFmtId="2" fontId="50" fillId="0" borderId="34" xfId="0" applyNumberFormat="1" applyFont="1" applyFill="1" applyBorder="1" applyAlignment="1">
      <alignment horizontal="right" vertical="center"/>
    </xf>
    <xf numFmtId="2" fontId="50" fillId="0" borderId="34" xfId="44" applyNumberFormat="1" applyFont="1" applyFill="1" applyBorder="1" applyAlignment="1" applyProtection="1">
      <alignment horizontal="right" vertical="center"/>
      <protection/>
    </xf>
    <xf numFmtId="0" fontId="50" fillId="0" borderId="33" xfId="54" applyFont="1" applyFill="1" applyBorder="1" applyAlignment="1">
      <alignment horizontal="left" vertical="center"/>
      <protection/>
    </xf>
    <xf numFmtId="0" fontId="46" fillId="0" borderId="0" xfId="0" applyFont="1" applyFill="1" applyBorder="1" applyAlignment="1">
      <alignment horizontal="left" vertical="center"/>
    </xf>
    <xf numFmtId="0" fontId="46" fillId="0" borderId="0" xfId="0" applyFont="1" applyFill="1" applyBorder="1" applyAlignment="1">
      <alignment vertical="center"/>
    </xf>
    <xf numFmtId="0" fontId="8" fillId="0" borderId="30" xfId="0" applyFont="1" applyFill="1" applyBorder="1" applyAlignment="1">
      <alignment horizontal="right" vertical="center"/>
    </xf>
    <xf numFmtId="0" fontId="8" fillId="0" borderId="11" xfId="0" applyFont="1" applyFill="1" applyBorder="1" applyAlignment="1" applyProtection="1">
      <alignment horizontal="left" vertical="center"/>
      <protection locked="0"/>
    </xf>
    <xf numFmtId="4" fontId="52" fillId="0" borderId="12" xfId="43" applyNumberFormat="1" applyFont="1" applyFill="1" applyBorder="1" applyAlignment="1" applyProtection="1">
      <alignment vertical="center"/>
      <protection locked="0"/>
    </xf>
    <xf numFmtId="3" fontId="52" fillId="0" borderId="12" xfId="43" applyNumberFormat="1" applyFont="1" applyFill="1" applyBorder="1" applyAlignment="1" applyProtection="1">
      <alignment horizontal="right" vertical="center"/>
      <protection locked="0"/>
    </xf>
    <xf numFmtId="3" fontId="50" fillId="0" borderId="12" xfId="43" applyNumberFormat="1" applyFont="1" applyFill="1" applyBorder="1" applyAlignment="1" applyProtection="1">
      <alignment horizontal="right" vertical="center"/>
      <protection/>
    </xf>
    <xf numFmtId="2" fontId="50" fillId="0" borderId="12" xfId="43" applyNumberFormat="1" applyFont="1" applyFill="1" applyBorder="1" applyAlignment="1" applyProtection="1">
      <alignment vertical="center"/>
      <protection/>
    </xf>
    <xf numFmtId="4" fontId="38" fillId="0" borderId="37" xfId="0" applyNumberFormat="1" applyFont="1" applyFill="1" applyBorder="1" applyAlignment="1" applyProtection="1">
      <alignment horizontal="center" wrapText="1"/>
      <protection/>
    </xf>
    <xf numFmtId="3" fontId="38" fillId="0" borderId="37" xfId="0" applyNumberFormat="1" applyFont="1" applyFill="1" applyBorder="1" applyAlignment="1" applyProtection="1">
      <alignment horizontal="center" wrapText="1"/>
      <protection/>
    </xf>
    <xf numFmtId="2" fontId="38" fillId="0" borderId="37" xfId="0" applyNumberFormat="1" applyFont="1" applyFill="1" applyBorder="1" applyAlignment="1" applyProtection="1">
      <alignment horizontal="center" wrapText="1"/>
      <protection/>
    </xf>
    <xf numFmtId="2" fontId="38" fillId="0" borderId="38" xfId="0" applyNumberFormat="1" applyFont="1" applyFill="1" applyBorder="1" applyAlignment="1" applyProtection="1">
      <alignment horizontal="center" wrapText="1"/>
      <protection/>
    </xf>
    <xf numFmtId="0" fontId="39" fillId="0" borderId="39" xfId="0" applyFont="1" applyFill="1" applyBorder="1" applyAlignment="1" applyProtection="1">
      <alignment horizontal="center" wrapText="1"/>
      <protection locked="0"/>
    </xf>
    <xf numFmtId="0" fontId="37" fillId="0" borderId="15" xfId="0" applyFont="1" applyFill="1" applyBorder="1" applyAlignment="1" applyProtection="1">
      <alignment horizontal="right" vertical="center"/>
      <protection/>
    </xf>
    <xf numFmtId="4" fontId="50" fillId="0" borderId="10" xfId="40" applyNumberFormat="1" applyFont="1" applyFill="1" applyBorder="1" applyAlignment="1" applyProtection="1">
      <alignment horizontal="right" vertical="center"/>
      <protection locked="0"/>
    </xf>
    <xf numFmtId="184" fontId="50" fillId="0" borderId="11" xfId="0" applyNumberFormat="1" applyFont="1" applyFill="1" applyBorder="1" applyAlignment="1">
      <alignment horizontal="center" wrapText="1"/>
    </xf>
    <xf numFmtId="14" fontId="50" fillId="0" borderId="11" xfId="0" applyNumberFormat="1" applyFont="1" applyFill="1" applyBorder="1" applyAlignment="1">
      <alignment horizontal="left"/>
    </xf>
    <xf numFmtId="0" fontId="50" fillId="0" borderId="11" xfId="0" applyFont="1" applyFill="1" applyBorder="1" applyAlignment="1">
      <alignment horizontal="right"/>
    </xf>
    <xf numFmtId="4" fontId="52" fillId="0" borderId="11" xfId="0" applyNumberFormat="1" applyFont="1" applyFill="1" applyBorder="1" applyAlignment="1">
      <alignment horizontal="right"/>
    </xf>
    <xf numFmtId="3" fontId="52" fillId="0" borderId="11" xfId="0" applyNumberFormat="1" applyFont="1" applyFill="1" applyBorder="1" applyAlignment="1">
      <alignment horizontal="right"/>
    </xf>
    <xf numFmtId="3" fontId="50" fillId="0" borderId="11" xfId="0" applyNumberFormat="1" applyFont="1" applyFill="1" applyBorder="1" applyAlignment="1">
      <alignment horizontal="right"/>
    </xf>
    <xf numFmtId="2" fontId="50" fillId="0" borderId="11" xfId="0" applyNumberFormat="1" applyFont="1" applyFill="1" applyBorder="1" applyAlignment="1">
      <alignment horizontal="right"/>
    </xf>
    <xf numFmtId="4" fontId="50" fillId="0" borderId="11" xfId="0" applyNumberFormat="1" applyFont="1" applyFill="1" applyBorder="1" applyAlignment="1">
      <alignment horizontal="right"/>
    </xf>
    <xf numFmtId="3" fontId="50" fillId="0" borderId="11" xfId="0" applyNumberFormat="1" applyFont="1" applyFill="1" applyBorder="1" applyAlignment="1">
      <alignment horizontal="right"/>
    </xf>
    <xf numFmtId="0" fontId="50" fillId="0" borderId="11" xfId="0" applyNumberFormat="1" applyFont="1" applyFill="1" applyBorder="1" applyAlignment="1">
      <alignment horizontal="left" vertical="center"/>
    </xf>
    <xf numFmtId="0" fontId="50" fillId="0" borderId="11" xfId="0" applyNumberFormat="1" applyFont="1" applyFill="1" applyBorder="1" applyAlignment="1">
      <alignment horizontal="right" vertical="center"/>
    </xf>
    <xf numFmtId="0" fontId="50" fillId="0" borderId="11" xfId="0" applyNumberFormat="1" applyFont="1" applyFill="1" applyBorder="1" applyAlignment="1" applyProtection="1">
      <alignment horizontal="right" vertical="center"/>
      <protection locked="0"/>
    </xf>
    <xf numFmtId="0" fontId="50" fillId="0" borderId="11" xfId="0" applyNumberFormat="1" applyFont="1" applyFill="1" applyBorder="1" applyAlignment="1" applyProtection="1">
      <alignment horizontal="left" vertical="center"/>
      <protection locked="0"/>
    </xf>
    <xf numFmtId="0" fontId="50" fillId="0" borderId="11" xfId="0" applyFont="1" applyFill="1" applyBorder="1" applyAlignment="1">
      <alignment horizontal="left" vertical="center" shrinkToFit="1"/>
    </xf>
    <xf numFmtId="184" fontId="50" fillId="0" borderId="11" xfId="0" applyNumberFormat="1" applyFont="1" applyFill="1" applyBorder="1" applyAlignment="1">
      <alignment horizontal="center" vertical="center" shrinkToFit="1"/>
    </xf>
    <xf numFmtId="0" fontId="50" fillId="0" borderId="11" xfId="0" applyFont="1" applyFill="1" applyBorder="1" applyAlignment="1">
      <alignment horizontal="right" vertical="center" shrinkToFit="1"/>
    </xf>
    <xf numFmtId="4" fontId="52" fillId="0" borderId="11" xfId="43" applyNumberFormat="1" applyFont="1" applyFill="1" applyBorder="1" applyAlignment="1" applyProtection="1">
      <alignment horizontal="right" vertical="center" shrinkToFit="1"/>
      <protection locked="0"/>
    </xf>
    <xf numFmtId="3" fontId="52" fillId="0" borderId="11" xfId="43" applyNumberFormat="1" applyFont="1" applyFill="1" applyBorder="1" applyAlignment="1" applyProtection="1">
      <alignment horizontal="right" vertical="center" shrinkToFit="1"/>
      <protection locked="0"/>
    </xf>
    <xf numFmtId="3" fontId="50" fillId="0" borderId="11" xfId="43" applyNumberFormat="1" applyFont="1" applyFill="1" applyBorder="1" applyAlignment="1" applyProtection="1">
      <alignment horizontal="right" vertical="center" shrinkToFit="1"/>
      <protection/>
    </xf>
    <xf numFmtId="2" fontId="50" fillId="0" borderId="11" xfId="43" applyNumberFormat="1" applyFont="1" applyFill="1" applyBorder="1" applyAlignment="1" applyProtection="1">
      <alignment horizontal="right" vertical="center" shrinkToFit="1"/>
      <protection/>
    </xf>
    <xf numFmtId="4" fontId="50" fillId="0" borderId="11" xfId="43" applyNumberFormat="1" applyFont="1" applyFill="1" applyBorder="1" applyAlignment="1" applyProtection="1">
      <alignment horizontal="right" vertical="center" shrinkToFit="1"/>
      <protection locked="0"/>
    </xf>
    <xf numFmtId="3" fontId="50" fillId="0" borderId="11" xfId="43" applyNumberFormat="1" applyFont="1" applyFill="1" applyBorder="1" applyAlignment="1" applyProtection="1">
      <alignment horizontal="right" vertical="center" shrinkToFit="1"/>
      <protection locked="0"/>
    </xf>
    <xf numFmtId="0" fontId="50" fillId="0" borderId="11" xfId="0" applyNumberFormat="1" applyFont="1" applyFill="1" applyBorder="1" applyAlignment="1">
      <alignment horizontal="left" vertical="center"/>
    </xf>
    <xf numFmtId="0" fontId="50" fillId="0" borderId="11" xfId="0" applyNumberFormat="1" applyFont="1" applyFill="1" applyBorder="1" applyAlignment="1">
      <alignment horizontal="right" vertical="center"/>
    </xf>
    <xf numFmtId="0" fontId="50" fillId="0" borderId="11" xfId="53" applyNumberFormat="1" applyFont="1" applyFill="1" applyBorder="1" applyAlignment="1">
      <alignment horizontal="left" vertical="center"/>
      <protection/>
    </xf>
    <xf numFmtId="184" fontId="50" fillId="0" borderId="11" xfId="53" applyNumberFormat="1" applyFont="1" applyFill="1" applyBorder="1" applyAlignment="1">
      <alignment horizontal="center" vertical="center"/>
      <protection/>
    </xf>
    <xf numFmtId="0" fontId="50" fillId="0" borderId="11" xfId="53" applyNumberFormat="1" applyFont="1" applyFill="1" applyBorder="1" applyAlignment="1">
      <alignment horizontal="right" vertical="center"/>
      <protection/>
    </xf>
    <xf numFmtId="4" fontId="52" fillId="0" borderId="11" xfId="53" applyNumberFormat="1" applyFont="1" applyFill="1" applyBorder="1" applyAlignment="1" applyProtection="1">
      <alignment horizontal="right" vertical="center"/>
      <protection/>
    </xf>
    <xf numFmtId="3" fontId="52" fillId="0" borderId="11" xfId="53" applyNumberFormat="1" applyFont="1" applyFill="1" applyBorder="1" applyAlignment="1" applyProtection="1">
      <alignment horizontal="right" vertical="center"/>
      <protection/>
    </xf>
    <xf numFmtId="3" fontId="50" fillId="0" borderId="11" xfId="53" applyNumberFormat="1" applyFont="1" applyFill="1" applyBorder="1" applyAlignment="1" applyProtection="1">
      <alignment horizontal="right" vertical="center"/>
      <protection/>
    </xf>
    <xf numFmtId="2" fontId="50" fillId="0" borderId="11" xfId="53" applyNumberFormat="1" applyFont="1" applyFill="1" applyBorder="1" applyAlignment="1" applyProtection="1">
      <alignment horizontal="right" vertical="center"/>
      <protection/>
    </xf>
    <xf numFmtId="4" fontId="50" fillId="0" borderId="11" xfId="53" applyNumberFormat="1" applyFont="1" applyFill="1" applyBorder="1" applyAlignment="1" applyProtection="1">
      <alignment horizontal="right" vertical="center"/>
      <protection/>
    </xf>
    <xf numFmtId="184" fontId="50" fillId="0" borderId="11" xfId="54" applyNumberFormat="1" applyFont="1" applyFill="1" applyBorder="1" applyAlignment="1">
      <alignment horizontal="center" vertical="center" shrinkToFit="1"/>
      <protection/>
    </xf>
    <xf numFmtId="0" fontId="50" fillId="0" borderId="11" xfId="54" applyFont="1" applyFill="1" applyBorder="1" applyAlignment="1">
      <alignment horizontal="right" vertical="center" shrinkToFit="1"/>
      <protection/>
    </xf>
    <xf numFmtId="0" fontId="50" fillId="0" borderId="16" xfId="0" applyFont="1" applyFill="1" applyBorder="1" applyAlignment="1">
      <alignment horizontal="left"/>
    </xf>
    <xf numFmtId="184" fontId="50" fillId="0" borderId="12" xfId="0" applyNumberFormat="1" applyFont="1" applyFill="1" applyBorder="1" applyAlignment="1">
      <alignment horizontal="center" wrapText="1"/>
    </xf>
    <xf numFmtId="14" fontId="50" fillId="0" borderId="12" xfId="0" applyNumberFormat="1" applyFont="1" applyFill="1" applyBorder="1" applyAlignment="1">
      <alignment horizontal="left"/>
    </xf>
    <xf numFmtId="0" fontId="50" fillId="0" borderId="12" xfId="0" applyFont="1" applyFill="1" applyBorder="1" applyAlignment="1">
      <alignment horizontal="right"/>
    </xf>
    <xf numFmtId="4" fontId="52" fillId="0" borderId="12" xfId="0" applyNumberFormat="1" applyFont="1" applyFill="1" applyBorder="1" applyAlignment="1">
      <alignment horizontal="right"/>
    </xf>
    <xf numFmtId="3" fontId="52" fillId="0" borderId="12" xfId="0" applyNumberFormat="1" applyFont="1" applyFill="1" applyBorder="1" applyAlignment="1">
      <alignment horizontal="right"/>
    </xf>
    <xf numFmtId="3" fontId="50" fillId="0" borderId="12" xfId="0" applyNumberFormat="1" applyFont="1" applyFill="1" applyBorder="1" applyAlignment="1">
      <alignment horizontal="right"/>
    </xf>
    <xf numFmtId="2" fontId="50" fillId="0" borderId="12" xfId="0" applyNumberFormat="1" applyFont="1" applyFill="1" applyBorder="1" applyAlignment="1">
      <alignment horizontal="right"/>
    </xf>
    <xf numFmtId="4" fontId="50" fillId="0" borderId="12" xfId="0" applyNumberFormat="1" applyFont="1" applyFill="1" applyBorder="1" applyAlignment="1">
      <alignment horizontal="right"/>
    </xf>
    <xf numFmtId="3" fontId="50" fillId="0" borderId="12" xfId="0" applyNumberFormat="1" applyFont="1" applyFill="1" applyBorder="1" applyAlignment="1">
      <alignment horizontal="right"/>
    </xf>
    <xf numFmtId="2" fontId="50" fillId="0" borderId="35" xfId="0" applyNumberFormat="1" applyFont="1" applyFill="1" applyBorder="1" applyAlignment="1">
      <alignment horizontal="right"/>
    </xf>
    <xf numFmtId="0" fontId="50" fillId="0" borderId="33" xfId="0" applyNumberFormat="1" applyFont="1" applyFill="1" applyBorder="1" applyAlignment="1">
      <alignment horizontal="left" vertical="center"/>
    </xf>
    <xf numFmtId="0" fontId="50" fillId="0" borderId="33" xfId="0" applyFont="1" applyFill="1" applyBorder="1" applyAlignment="1">
      <alignment horizontal="left"/>
    </xf>
    <xf numFmtId="2" fontId="50" fillId="0" borderId="34" xfId="0" applyNumberFormat="1" applyFont="1" applyFill="1" applyBorder="1" applyAlignment="1">
      <alignment horizontal="right"/>
    </xf>
    <xf numFmtId="0" fontId="50" fillId="0" borderId="33" xfId="0" applyFont="1" applyFill="1" applyBorder="1" applyAlignment="1">
      <alignment horizontal="left" vertical="center" shrinkToFit="1"/>
    </xf>
    <xf numFmtId="2" fontId="50" fillId="0" borderId="34" xfId="43" applyNumberFormat="1" applyFont="1" applyFill="1" applyBorder="1" applyAlignment="1" applyProtection="1">
      <alignment horizontal="right" vertical="center" shrinkToFit="1"/>
      <protection/>
    </xf>
    <xf numFmtId="0" fontId="50" fillId="0" borderId="33" xfId="0" applyNumberFormat="1" applyFont="1" applyFill="1" applyBorder="1" applyAlignment="1">
      <alignment horizontal="left" vertical="center"/>
    </xf>
    <xf numFmtId="0" fontId="50" fillId="0" borderId="33" xfId="53" applyNumberFormat="1" applyFont="1" applyFill="1" applyBorder="1" applyAlignment="1">
      <alignment horizontal="left" vertical="center"/>
      <protection/>
    </xf>
    <xf numFmtId="2" fontId="50" fillId="0" borderId="34" xfId="53" applyNumberFormat="1" applyFont="1" applyFill="1" applyBorder="1" applyAlignment="1" applyProtection="1">
      <alignment horizontal="right" vertical="center"/>
      <protection/>
    </xf>
    <xf numFmtId="212" fontId="50" fillId="0" borderId="33" xfId="0" applyNumberFormat="1" applyFont="1" applyFill="1" applyBorder="1" applyAlignment="1">
      <alignment horizontal="left" vertical="center" shrinkToFit="1"/>
    </xf>
    <xf numFmtId="0" fontId="50" fillId="0" borderId="33" xfId="54" applyFont="1" applyFill="1" applyBorder="1" applyAlignment="1">
      <alignment horizontal="left" vertical="center" shrinkToFit="1"/>
      <protection/>
    </xf>
    <xf numFmtId="0" fontId="50" fillId="0" borderId="40" xfId="54" applyFont="1" applyFill="1" applyBorder="1" applyAlignment="1">
      <alignment horizontal="left" vertical="center" shrinkToFit="1"/>
      <protection/>
    </xf>
    <xf numFmtId="184" fontId="50" fillId="0" borderId="41" xfId="54" applyNumberFormat="1" applyFont="1" applyFill="1" applyBorder="1" applyAlignment="1">
      <alignment horizontal="center" vertical="center" shrinkToFit="1"/>
      <protection/>
    </xf>
    <xf numFmtId="0" fontId="50" fillId="0" borderId="41" xfId="0" applyFont="1" applyFill="1" applyBorder="1" applyAlignment="1">
      <alignment horizontal="left" vertical="center" shrinkToFit="1"/>
    </xf>
    <xf numFmtId="0" fontId="50" fillId="0" borderId="41" xfId="54" applyFont="1" applyFill="1" applyBorder="1" applyAlignment="1">
      <alignment horizontal="right" vertical="center" shrinkToFit="1"/>
      <protection/>
    </xf>
    <xf numFmtId="4" fontId="52" fillId="0" borderId="41" xfId="43" applyNumberFormat="1" applyFont="1" applyFill="1" applyBorder="1" applyAlignment="1" applyProtection="1">
      <alignment horizontal="right" vertical="center" shrinkToFit="1"/>
      <protection locked="0"/>
    </xf>
    <xf numFmtId="3" fontId="52" fillId="0" borderId="41" xfId="43" applyNumberFormat="1" applyFont="1" applyFill="1" applyBorder="1" applyAlignment="1" applyProtection="1">
      <alignment horizontal="right" vertical="center" shrinkToFit="1"/>
      <protection locked="0"/>
    </xf>
    <xf numFmtId="3" fontId="50" fillId="0" borderId="41" xfId="43" applyNumberFormat="1" applyFont="1" applyFill="1" applyBorder="1" applyAlignment="1" applyProtection="1">
      <alignment horizontal="right" vertical="center" shrinkToFit="1"/>
      <protection/>
    </xf>
    <xf numFmtId="2" fontId="50" fillId="0" borderId="41" xfId="43" applyNumberFormat="1" applyFont="1" applyFill="1" applyBorder="1" applyAlignment="1" applyProtection="1">
      <alignment horizontal="right" vertical="center" shrinkToFit="1"/>
      <protection/>
    </xf>
    <xf numFmtId="4" fontId="50" fillId="0" borderId="41" xfId="43" applyNumberFormat="1" applyFont="1" applyFill="1" applyBorder="1" applyAlignment="1" applyProtection="1">
      <alignment horizontal="right" vertical="center" shrinkToFit="1"/>
      <protection locked="0"/>
    </xf>
    <xf numFmtId="3" fontId="50" fillId="0" borderId="41" xfId="43" applyNumberFormat="1" applyFont="1" applyFill="1" applyBorder="1" applyAlignment="1" applyProtection="1">
      <alignment horizontal="right" vertical="center" shrinkToFit="1"/>
      <protection locked="0"/>
    </xf>
    <xf numFmtId="2" fontId="50" fillId="0" borderId="42" xfId="43" applyNumberFormat="1" applyFont="1" applyFill="1" applyBorder="1" applyAlignment="1" applyProtection="1">
      <alignment horizontal="right" vertical="center" shrinkToFit="1"/>
      <protection/>
    </xf>
    <xf numFmtId="0" fontId="50" fillId="0" borderId="43" xfId="0" applyFont="1" applyFill="1" applyBorder="1" applyAlignment="1">
      <alignment horizontal="left"/>
    </xf>
    <xf numFmtId="184" fontId="50" fillId="0" borderId="10" xfId="0" applyNumberFormat="1" applyFont="1" applyFill="1" applyBorder="1" applyAlignment="1">
      <alignment horizontal="center" wrapText="1"/>
    </xf>
    <xf numFmtId="14" fontId="50" fillId="0" borderId="10" xfId="0" applyNumberFormat="1" applyFont="1" applyFill="1" applyBorder="1" applyAlignment="1">
      <alignment horizontal="left"/>
    </xf>
    <xf numFmtId="0" fontId="50" fillId="0" borderId="10" xfId="0" applyFont="1" applyFill="1" applyBorder="1" applyAlignment="1">
      <alignment horizontal="right"/>
    </xf>
    <xf numFmtId="4" fontId="52" fillId="0" borderId="10" xfId="0" applyNumberFormat="1" applyFont="1" applyFill="1" applyBorder="1" applyAlignment="1">
      <alignment horizontal="right"/>
    </xf>
    <xf numFmtId="3" fontId="52" fillId="0" borderId="10" xfId="0" applyNumberFormat="1" applyFont="1" applyFill="1" applyBorder="1" applyAlignment="1">
      <alignment horizontal="right"/>
    </xf>
    <xf numFmtId="3" fontId="50" fillId="0" borderId="10" xfId="0" applyNumberFormat="1" applyFont="1" applyFill="1" applyBorder="1" applyAlignment="1">
      <alignment horizontal="right"/>
    </xf>
    <xf numFmtId="2" fontId="50" fillId="0" borderId="10" xfId="0" applyNumberFormat="1" applyFont="1" applyFill="1" applyBorder="1" applyAlignment="1">
      <alignment horizontal="right"/>
    </xf>
    <xf numFmtId="4" fontId="50" fillId="0" borderId="10" xfId="0" applyNumberFormat="1" applyFont="1" applyFill="1" applyBorder="1" applyAlignment="1">
      <alignment horizontal="right"/>
    </xf>
    <xf numFmtId="3" fontId="50" fillId="0" borderId="10" xfId="0" applyNumberFormat="1" applyFont="1" applyFill="1" applyBorder="1" applyAlignment="1">
      <alignment horizontal="right"/>
    </xf>
    <xf numFmtId="2" fontId="50" fillId="0" borderId="44" xfId="0" applyNumberFormat="1" applyFont="1" applyFill="1" applyBorder="1" applyAlignment="1">
      <alignment horizontal="right"/>
    </xf>
    <xf numFmtId="0" fontId="50" fillId="0" borderId="45" xfId="0" applyNumberFormat="1" applyFont="1" applyFill="1" applyBorder="1" applyAlignment="1" applyProtection="1">
      <alignment horizontal="left" vertical="center"/>
      <protection locked="0"/>
    </xf>
    <xf numFmtId="0" fontId="50" fillId="0" borderId="32" xfId="0" applyNumberFormat="1" applyFont="1" applyFill="1" applyBorder="1" applyAlignment="1" applyProtection="1">
      <alignment horizontal="left" vertical="center"/>
      <protection locked="0"/>
    </xf>
    <xf numFmtId="0" fontId="50" fillId="0" borderId="32" xfId="0" applyNumberFormat="1" applyFont="1" applyFill="1" applyBorder="1" applyAlignment="1" applyProtection="1">
      <alignment horizontal="right" vertical="center"/>
      <protection locked="0"/>
    </xf>
    <xf numFmtId="4" fontId="52" fillId="0" borderId="32" xfId="40" applyNumberFormat="1" applyFont="1" applyFill="1" applyBorder="1" applyAlignment="1" applyProtection="1">
      <alignment horizontal="right" vertical="center"/>
      <protection locked="0"/>
    </xf>
    <xf numFmtId="3" fontId="52" fillId="0" borderId="32" xfId="40" applyNumberFormat="1" applyFont="1" applyFill="1" applyBorder="1" applyAlignment="1" applyProtection="1">
      <alignment horizontal="right" vertical="center"/>
      <protection locked="0"/>
    </xf>
    <xf numFmtId="3" fontId="50" fillId="0" borderId="32" xfId="67" applyNumberFormat="1" applyFont="1" applyFill="1" applyBorder="1" applyAlignment="1" applyProtection="1">
      <alignment horizontal="right" vertical="center"/>
      <protection/>
    </xf>
    <xf numFmtId="2" fontId="50" fillId="0" borderId="32" xfId="67" applyNumberFormat="1" applyFont="1" applyFill="1" applyBorder="1" applyAlignment="1" applyProtection="1">
      <alignment horizontal="right" vertical="center"/>
      <protection/>
    </xf>
    <xf numFmtId="4" fontId="50" fillId="0" borderId="32" xfId="40" applyNumberFormat="1" applyFont="1" applyFill="1" applyBorder="1" applyAlignment="1" applyProtection="1">
      <alignment horizontal="right" vertical="center"/>
      <protection locked="0"/>
    </xf>
    <xf numFmtId="3" fontId="50" fillId="0" borderId="32" xfId="40" applyNumberFormat="1" applyFont="1" applyFill="1" applyBorder="1" applyAlignment="1" applyProtection="1">
      <alignment horizontal="right" vertical="center"/>
      <protection locked="0"/>
    </xf>
    <xf numFmtId="2" fontId="50" fillId="0" borderId="46" xfId="67" applyNumberFormat="1" applyFont="1" applyFill="1" applyBorder="1" applyAlignment="1" applyProtection="1">
      <alignment horizontal="right" vertical="center"/>
      <protection/>
    </xf>
    <xf numFmtId="0" fontId="8" fillId="0" borderId="30" xfId="0" applyFont="1" applyFill="1" applyBorder="1" applyAlignment="1">
      <alignment horizontal="right"/>
    </xf>
    <xf numFmtId="0" fontId="8" fillId="0" borderId="30" xfId="0" applyNumberFormat="1" applyFont="1" applyFill="1" applyBorder="1" applyAlignment="1" applyProtection="1">
      <alignment horizontal="right" vertical="center"/>
      <protection locked="0"/>
    </xf>
    <xf numFmtId="0" fontId="8" fillId="0" borderId="30" xfId="0" applyFont="1" applyFill="1" applyBorder="1" applyAlignment="1" applyProtection="1">
      <alignment horizontal="right" vertical="center" shrinkToFit="1"/>
      <protection locked="0"/>
    </xf>
    <xf numFmtId="0" fontId="8" fillId="0" borderId="30" xfId="53" applyFont="1" applyFill="1" applyBorder="1" applyAlignment="1" applyProtection="1">
      <alignment horizontal="right" vertical="center" shrinkToFit="1"/>
      <protection locked="0"/>
    </xf>
    <xf numFmtId="0" fontId="50" fillId="0" borderId="11" xfId="54" applyFont="1" applyFill="1" applyBorder="1" applyAlignment="1">
      <alignment vertical="center"/>
      <protection/>
    </xf>
    <xf numFmtId="0" fontId="14" fillId="0" borderId="25" xfId="0" applyNumberFormat="1" applyFont="1" applyFill="1" applyBorder="1" applyAlignment="1" applyProtection="1">
      <alignment vertical="center"/>
      <protection/>
    </xf>
    <xf numFmtId="0" fontId="50" fillId="0" borderId="11" xfId="0" applyFont="1" applyFill="1" applyBorder="1" applyAlignment="1">
      <alignment vertical="center" shrinkToFit="1"/>
    </xf>
    <xf numFmtId="0" fontId="50" fillId="0" borderId="11" xfId="0" applyNumberFormat="1" applyFont="1" applyFill="1" applyBorder="1" applyAlignment="1">
      <alignment vertical="center"/>
    </xf>
    <xf numFmtId="0" fontId="50" fillId="0" borderId="11" xfId="0" applyFont="1" applyFill="1" applyBorder="1" applyAlignment="1">
      <alignment/>
    </xf>
    <xf numFmtId="0" fontId="50" fillId="0" borderId="11" xfId="54" applyFont="1" applyFill="1" applyBorder="1" applyAlignment="1">
      <alignment vertical="center" shrinkToFit="1"/>
      <protection/>
    </xf>
    <xf numFmtId="0" fontId="50" fillId="0" borderId="11" xfId="53" applyNumberFormat="1" applyFont="1" applyFill="1" applyBorder="1" applyAlignment="1">
      <alignment vertical="center"/>
      <protection/>
    </xf>
    <xf numFmtId="200" fontId="15" fillId="0" borderId="11" xfId="0" applyNumberFormat="1" applyFont="1" applyBorder="1" applyAlignment="1">
      <alignment vertical="center"/>
    </xf>
    <xf numFmtId="193" fontId="15" fillId="0" borderId="11" xfId="0" applyNumberFormat="1" applyFont="1" applyBorder="1" applyAlignment="1">
      <alignment vertical="center"/>
    </xf>
    <xf numFmtId="0" fontId="14" fillId="0" borderId="11" xfId="0" applyFont="1" applyBorder="1" applyAlignment="1">
      <alignment vertical="center"/>
    </xf>
    <xf numFmtId="200" fontId="15" fillId="0" borderId="0" xfId="0" applyNumberFormat="1" applyFont="1" applyAlignment="1">
      <alignment vertical="center"/>
    </xf>
    <xf numFmtId="193" fontId="15" fillId="0" borderId="0" xfId="0" applyNumberFormat="1" applyFont="1" applyAlignment="1">
      <alignment vertical="center"/>
    </xf>
    <xf numFmtId="0" fontId="14" fillId="0" borderId="0" xfId="0" applyFont="1" applyAlignment="1">
      <alignment vertical="center"/>
    </xf>
    <xf numFmtId="200" fontId="15" fillId="0" borderId="10" xfId="0" applyNumberFormat="1" applyFont="1" applyBorder="1" applyAlignment="1">
      <alignment vertical="center"/>
    </xf>
    <xf numFmtId="193" fontId="15" fillId="0" borderId="10" xfId="0" applyNumberFormat="1" applyFont="1" applyBorder="1" applyAlignment="1">
      <alignment vertical="center"/>
    </xf>
    <xf numFmtId="0" fontId="14" fillId="0" borderId="10" xfId="0" applyFont="1" applyBorder="1" applyAlignment="1">
      <alignment vertical="center"/>
    </xf>
    <xf numFmtId="0" fontId="50" fillId="0" borderId="40" xfId="0" applyFont="1" applyFill="1" applyBorder="1" applyAlignment="1">
      <alignment horizontal="left"/>
    </xf>
    <xf numFmtId="184" fontId="50" fillId="0" borderId="41" xfId="0" applyNumberFormat="1" applyFont="1" applyFill="1" applyBorder="1" applyAlignment="1">
      <alignment horizontal="center" wrapText="1"/>
    </xf>
    <xf numFmtId="14" fontId="50" fillId="0" borderId="41" xfId="0" applyNumberFormat="1" applyFont="1" applyFill="1" applyBorder="1" applyAlignment="1">
      <alignment horizontal="left"/>
    </xf>
    <xf numFmtId="0" fontId="50" fillId="0" borderId="41" xfId="0" applyFont="1" applyFill="1" applyBorder="1" applyAlignment="1">
      <alignment/>
    </xf>
    <xf numFmtId="4" fontId="52" fillId="0" borderId="41" xfId="0" applyNumberFormat="1" applyFont="1" applyFill="1" applyBorder="1" applyAlignment="1">
      <alignment horizontal="right"/>
    </xf>
    <xf numFmtId="3" fontId="52" fillId="0" borderId="41" xfId="0" applyNumberFormat="1" applyFont="1" applyFill="1" applyBorder="1" applyAlignment="1">
      <alignment horizontal="right"/>
    </xf>
    <xf numFmtId="3" fontId="50" fillId="0" borderId="41" xfId="0" applyNumberFormat="1" applyFont="1" applyFill="1" applyBorder="1" applyAlignment="1">
      <alignment horizontal="right"/>
    </xf>
    <xf numFmtId="2" fontId="50" fillId="0" borderId="41" xfId="0" applyNumberFormat="1" applyFont="1" applyFill="1" applyBorder="1" applyAlignment="1">
      <alignment horizontal="right"/>
    </xf>
    <xf numFmtId="4" fontId="50" fillId="0" borderId="41" xfId="0" applyNumberFormat="1" applyFont="1" applyFill="1" applyBorder="1" applyAlignment="1">
      <alignment horizontal="right"/>
    </xf>
    <xf numFmtId="3" fontId="50" fillId="0" borderId="41" xfId="0" applyNumberFormat="1" applyFont="1" applyFill="1" applyBorder="1" applyAlignment="1">
      <alignment horizontal="right"/>
    </xf>
    <xf numFmtId="2" fontId="50" fillId="0" borderId="42" xfId="0" applyNumberFormat="1" applyFont="1" applyFill="1" applyBorder="1" applyAlignment="1">
      <alignment horizontal="right"/>
    </xf>
    <xf numFmtId="3" fontId="50" fillId="0" borderId="11" xfId="0" applyNumberFormat="1" applyFont="1" applyFill="1" applyBorder="1" applyAlignment="1">
      <alignment horizontal="right"/>
    </xf>
    <xf numFmtId="0" fontId="50" fillId="0" borderId="11" xfId="0" applyNumberFormat="1" applyFont="1" applyFill="1" applyBorder="1" applyAlignment="1">
      <alignment horizontal="right" vertical="center"/>
    </xf>
    <xf numFmtId="0" fontId="50" fillId="0" borderId="33" xfId="0" applyFont="1" applyFill="1" applyBorder="1" applyAlignment="1">
      <alignment horizontal="left"/>
    </xf>
    <xf numFmtId="212" fontId="50" fillId="0" borderId="40" xfId="0" applyNumberFormat="1" applyFont="1" applyFill="1" applyBorder="1" applyAlignment="1">
      <alignment horizontal="left" vertical="center" shrinkToFit="1"/>
    </xf>
    <xf numFmtId="184" fontId="50" fillId="0" borderId="41" xfId="0" applyNumberFormat="1" applyFont="1" applyFill="1" applyBorder="1" applyAlignment="1">
      <alignment horizontal="center" vertical="center" shrinkToFit="1"/>
    </xf>
    <xf numFmtId="0" fontId="50" fillId="0" borderId="41" xfId="0" applyFont="1" applyFill="1" applyBorder="1" applyAlignment="1">
      <alignment horizontal="right" vertical="center" shrinkToFit="1"/>
    </xf>
    <xf numFmtId="0" fontId="50" fillId="0" borderId="43" xfId="0" applyNumberFormat="1" applyFont="1" applyFill="1" applyBorder="1" applyAlignment="1" applyProtection="1">
      <alignment horizontal="left" vertical="center"/>
      <protection locked="0"/>
    </xf>
    <xf numFmtId="0" fontId="50" fillId="0" borderId="10" xfId="0" applyNumberFormat="1" applyFont="1" applyFill="1" applyBorder="1" applyAlignment="1" applyProtection="1">
      <alignment horizontal="left" vertical="center"/>
      <protection locked="0"/>
    </xf>
    <xf numFmtId="0" fontId="50" fillId="0" borderId="10" xfId="0" applyNumberFormat="1" applyFont="1" applyFill="1" applyBorder="1" applyAlignment="1" applyProtection="1">
      <alignment horizontal="right" vertical="center"/>
      <protection locked="0"/>
    </xf>
    <xf numFmtId="3" fontId="50" fillId="0" borderId="10" xfId="40" applyNumberFormat="1" applyFont="1" applyFill="1" applyBorder="1" applyAlignment="1" applyProtection="1">
      <alignment horizontal="right" vertical="center"/>
      <protection locked="0"/>
    </xf>
    <xf numFmtId="2" fontId="50" fillId="0" borderId="44" xfId="67" applyNumberFormat="1" applyFont="1" applyFill="1" applyBorder="1" applyAlignment="1" applyProtection="1">
      <alignment horizontal="right" vertical="center"/>
      <protection/>
    </xf>
    <xf numFmtId="0" fontId="50" fillId="0" borderId="45" xfId="0" applyFont="1" applyFill="1" applyBorder="1" applyAlignment="1">
      <alignment horizontal="left" vertical="center" shrinkToFit="1"/>
    </xf>
    <xf numFmtId="184" fontId="50" fillId="0" borderId="32" xfId="0" applyNumberFormat="1" applyFont="1" applyFill="1" applyBorder="1" applyAlignment="1">
      <alignment horizontal="center" vertical="center" shrinkToFit="1"/>
    </xf>
    <xf numFmtId="0" fontId="50" fillId="0" borderId="32" xfId="0" applyFont="1" applyFill="1" applyBorder="1" applyAlignment="1">
      <alignment horizontal="left" vertical="center" shrinkToFit="1"/>
    </xf>
    <xf numFmtId="0" fontId="50" fillId="0" borderId="32" xfId="0" applyFont="1" applyFill="1" applyBorder="1" applyAlignment="1">
      <alignment horizontal="right" vertical="center" shrinkToFit="1"/>
    </xf>
    <xf numFmtId="4" fontId="50" fillId="0" borderId="32" xfId="43" applyNumberFormat="1" applyFont="1" applyFill="1" applyBorder="1" applyAlignment="1" applyProtection="1">
      <alignment horizontal="right" vertical="center" shrinkToFit="1"/>
      <protection locked="0"/>
    </xf>
    <xf numFmtId="3" fontId="50" fillId="0" borderId="32" xfId="43" applyNumberFormat="1" applyFont="1" applyFill="1" applyBorder="1" applyAlignment="1" applyProtection="1">
      <alignment horizontal="right" vertical="center" shrinkToFit="1"/>
      <protection locked="0"/>
    </xf>
    <xf numFmtId="2" fontId="50" fillId="0" borderId="46" xfId="43" applyNumberFormat="1" applyFont="1" applyFill="1" applyBorder="1" applyAlignment="1" applyProtection="1">
      <alignment horizontal="right" vertical="center" shrinkToFit="1"/>
      <protection/>
    </xf>
    <xf numFmtId="0" fontId="49" fillId="33" borderId="47" xfId="0" applyFont="1" applyFill="1" applyBorder="1" applyAlignment="1" applyProtection="1">
      <alignment horizontal="center" vertical="center"/>
      <protection/>
    </xf>
    <xf numFmtId="0" fontId="36" fillId="0" borderId="48" xfId="0" applyFont="1" applyBorder="1" applyAlignment="1">
      <alignment horizontal="center"/>
    </xf>
    <xf numFmtId="0" fontId="36" fillId="0" borderId="49" xfId="0" applyFont="1" applyBorder="1" applyAlignment="1">
      <alignment horizontal="center"/>
    </xf>
    <xf numFmtId="181" fontId="38" fillId="0" borderId="50" xfId="0" applyNumberFormat="1" applyFont="1" applyFill="1" applyBorder="1" applyAlignment="1" applyProtection="1">
      <alignment horizontal="center" wrapText="1"/>
      <protection/>
    </xf>
    <xf numFmtId="0" fontId="38" fillId="0" borderId="50" xfId="0" applyFont="1" applyBorder="1" applyAlignment="1">
      <alignment horizontal="center"/>
    </xf>
    <xf numFmtId="0" fontId="38" fillId="0" borderId="51" xfId="0" applyFont="1" applyBorder="1" applyAlignment="1">
      <alignment horizontal="center"/>
    </xf>
    <xf numFmtId="0" fontId="38" fillId="0" borderId="50" xfId="0" applyNumberFormat="1" applyFont="1" applyFill="1" applyBorder="1" applyAlignment="1" applyProtection="1">
      <alignment horizontal="center" wrapText="1"/>
      <protection/>
    </xf>
    <xf numFmtId="0" fontId="38" fillId="0" borderId="20" xfId="0" applyFont="1" applyBorder="1" applyAlignment="1">
      <alignment horizontal="center"/>
    </xf>
    <xf numFmtId="43" fontId="38" fillId="0" borderId="52" xfId="40" applyFont="1" applyFill="1" applyBorder="1" applyAlignment="1" applyProtection="1">
      <alignment horizontal="center" wrapText="1"/>
      <protection/>
    </xf>
    <xf numFmtId="0" fontId="38" fillId="0" borderId="53" xfId="0" applyFont="1" applyBorder="1" applyAlignment="1">
      <alignment horizontal="center"/>
    </xf>
    <xf numFmtId="0" fontId="38" fillId="0" borderId="50" xfId="0" applyFont="1" applyFill="1" applyBorder="1" applyAlignment="1" applyProtection="1">
      <alignment horizontal="center" wrapText="1"/>
      <protection/>
    </xf>
    <xf numFmtId="4" fontId="38" fillId="0" borderId="50" xfId="0" applyNumberFormat="1" applyFont="1" applyFill="1" applyBorder="1" applyAlignment="1" applyProtection="1">
      <alignment horizontal="center" wrapText="1"/>
      <protection/>
    </xf>
    <xf numFmtId="184" fontId="38" fillId="0" borderId="50" xfId="0" applyNumberFormat="1" applyFont="1" applyFill="1" applyBorder="1" applyAlignment="1" applyProtection="1">
      <alignment horizontal="center" wrapText="1"/>
      <protection/>
    </xf>
    <xf numFmtId="0" fontId="40" fillId="0" borderId="11" xfId="0" applyFont="1" applyFill="1" applyBorder="1" applyAlignment="1" applyProtection="1">
      <alignment horizontal="left" vertical="center" wrapText="1"/>
      <protection/>
    </xf>
    <xf numFmtId="0" fontId="0" fillId="0" borderId="11" xfId="0" applyBorder="1" applyAlignment="1">
      <alignment horizontal="left" vertical="center" wrapText="1"/>
    </xf>
    <xf numFmtId="0" fontId="0" fillId="0" borderId="11" xfId="0" applyBorder="1" applyAlignment="1">
      <alignment vertical="center" wrapText="1"/>
    </xf>
    <xf numFmtId="0" fontId="20" fillId="33" borderId="10" xfId="0" applyFont="1" applyFill="1" applyBorder="1" applyAlignment="1">
      <alignment horizontal="center" vertical="center"/>
    </xf>
    <xf numFmtId="0" fontId="11" fillId="0" borderId="10" xfId="0" applyFont="1" applyBorder="1" applyAlignment="1">
      <alignment horizontal="center"/>
    </xf>
    <xf numFmtId="0" fontId="49" fillId="33" borderId="0" xfId="0" applyFont="1" applyFill="1" applyBorder="1" applyAlignment="1" applyProtection="1">
      <alignment horizontal="center" vertical="center" wrapText="1"/>
      <protection/>
    </xf>
    <xf numFmtId="0" fontId="0" fillId="0" borderId="0" xfId="0" applyAlignment="1">
      <alignment horizontal="center" wrapText="1"/>
    </xf>
    <xf numFmtId="0" fontId="38" fillId="0" borderId="29" xfId="0" applyNumberFormat="1" applyFont="1" applyFill="1" applyBorder="1" applyAlignment="1">
      <alignment horizontal="center" wrapText="1"/>
    </xf>
    <xf numFmtId="184" fontId="38" fillId="0" borderId="0" xfId="0" applyNumberFormat="1" applyFont="1" applyFill="1" applyBorder="1" applyAlignment="1">
      <alignment horizontal="center" wrapText="1"/>
    </xf>
    <xf numFmtId="0" fontId="38" fillId="0" borderId="0" xfId="0" applyNumberFormat="1" applyFont="1" applyFill="1" applyBorder="1" applyAlignment="1">
      <alignment horizontal="center" wrapText="1"/>
    </xf>
    <xf numFmtId="0" fontId="38" fillId="0" borderId="0" xfId="0" applyNumberFormat="1" applyFont="1" applyFill="1" applyBorder="1" applyAlignment="1" applyProtection="1">
      <alignment horizontal="center" wrapText="1"/>
      <protection/>
    </xf>
    <xf numFmtId="192" fontId="38" fillId="0" borderId="54" xfId="0" applyNumberFormat="1" applyFont="1" applyFill="1" applyBorder="1" applyAlignment="1" applyProtection="1">
      <alignment horizontal="center" wrapText="1"/>
      <protection/>
    </xf>
    <xf numFmtId="2" fontId="38" fillId="0" borderId="50" xfId="0" applyNumberFormat="1" applyFont="1" applyFill="1" applyBorder="1" applyAlignment="1" applyProtection="1">
      <alignment horizontal="center" wrapText="1"/>
      <protection/>
    </xf>
    <xf numFmtId="2" fontId="38" fillId="0" borderId="51" xfId="0" applyNumberFormat="1" applyFont="1" applyFill="1" applyBorder="1" applyAlignment="1" applyProtection="1">
      <alignment horizontal="center" wrapText="1"/>
      <protection/>
    </xf>
    <xf numFmtId="0" fontId="49" fillId="33" borderId="55" xfId="0" applyFont="1" applyFill="1" applyBorder="1" applyAlignment="1" applyProtection="1">
      <alignment horizontal="center" vertical="center" wrapText="1"/>
      <protection/>
    </xf>
    <xf numFmtId="0" fontId="0" fillId="0" borderId="55" xfId="0" applyBorder="1" applyAlignment="1">
      <alignment horizontal="center" wrapText="1"/>
    </xf>
    <xf numFmtId="0" fontId="38" fillId="0" borderId="37" xfId="0" applyFont="1" applyBorder="1" applyAlignment="1">
      <alignment horizontal="center"/>
    </xf>
    <xf numFmtId="0" fontId="38" fillId="0" borderId="56" xfId="0" applyFont="1" applyBorder="1" applyAlignment="1">
      <alignment horizontal="center"/>
    </xf>
    <xf numFmtId="184" fontId="38" fillId="0" borderId="37" xfId="0" applyNumberFormat="1" applyFont="1" applyBorder="1" applyAlignment="1">
      <alignment horizontal="center"/>
    </xf>
    <xf numFmtId="0" fontId="38" fillId="0" borderId="37" xfId="0" applyFont="1" applyBorder="1" applyAlignment="1">
      <alignment horizontal="center" wrapText="1"/>
    </xf>
  </cellXfs>
  <cellStyles count="5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rmal 2 2 2" xfId="54"/>
    <cellStyle name="Not" xfId="55"/>
    <cellStyle name="Nötr" xfId="56"/>
    <cellStyle name="Currency" xfId="57"/>
    <cellStyle name="Currency [0]" xfId="58"/>
    <cellStyle name="Toplam" xfId="59"/>
    <cellStyle name="Uyarı Metni" xfId="60"/>
    <cellStyle name="Vurgu1" xfId="61"/>
    <cellStyle name="Vurgu2" xfId="62"/>
    <cellStyle name="Vurgu3" xfId="63"/>
    <cellStyle name="Vurgu4" xfId="64"/>
    <cellStyle name="Vurgu5" xfId="65"/>
    <cellStyle name="Vurgu6" xfId="66"/>
    <cellStyle name="Percen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14</xdr:col>
      <xdr:colOff>0</xdr:colOff>
      <xdr:row>0</xdr:row>
      <xdr:rowOff>590550</xdr:rowOff>
    </xdr:to>
    <xdr:sp>
      <xdr:nvSpPr>
        <xdr:cNvPr id="1" name="Text Box 1"/>
        <xdr:cNvSpPr txBox="1">
          <a:spLocks noChangeArrowheads="1"/>
        </xdr:cNvSpPr>
      </xdr:nvSpPr>
      <xdr:spPr>
        <a:xfrm>
          <a:off x="28575" y="66675"/>
          <a:ext cx="12944475" cy="523875"/>
        </a:xfrm>
        <a:prstGeom prst="rect">
          <a:avLst/>
        </a:prstGeom>
        <a:solidFill>
          <a:srgbClr val="C0C0C0"/>
        </a:solidFill>
        <a:ln w="38100" cmpd="dbl">
          <a:noFill/>
        </a:ln>
      </xdr:spPr>
      <xdr:txBody>
        <a:bodyPr vertOverflow="clip" wrap="square" lIns="73152" tIns="73152" rIns="73152" bIns="73152"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2000" b="0" i="0" u="none" baseline="0">
              <a:solidFill>
                <a:srgbClr val="000000"/>
              </a:solidFill>
              <a:latin typeface="AcidSans-Regular"/>
              <a:ea typeface="AcidSans-Regular"/>
              <a:cs typeface="AcidSans-Regular"/>
            </a:rPr>
            <a:t>WEEKLY BOX OFFICE &amp; ADMISSION REPORT</a:t>
          </a:r>
        </a:p>
      </xdr:txBody>
    </xdr:sp>
    <xdr:clientData/>
  </xdr:twoCellAnchor>
  <xdr:twoCellAnchor>
    <xdr:from>
      <xdr:col>2</xdr:col>
      <xdr:colOff>180975</xdr:colOff>
      <xdr:row>0</xdr:row>
      <xdr:rowOff>600075</xdr:rowOff>
    </xdr:from>
    <xdr:to>
      <xdr:col>14</xdr:col>
      <xdr:colOff>0</xdr:colOff>
      <xdr:row>0</xdr:row>
      <xdr:rowOff>904875</xdr:rowOff>
    </xdr:to>
    <xdr:sp fLocksText="0">
      <xdr:nvSpPr>
        <xdr:cNvPr id="2" name="Text Box 2"/>
        <xdr:cNvSpPr txBox="1">
          <a:spLocks noChangeArrowheads="1"/>
        </xdr:cNvSpPr>
      </xdr:nvSpPr>
      <xdr:spPr>
        <a:xfrm>
          <a:off x="4543425" y="600075"/>
          <a:ext cx="8429625" cy="304800"/>
        </a:xfrm>
        <a:prstGeom prst="rect">
          <a:avLst/>
        </a:prstGeom>
        <a:solidFill>
          <a:srgbClr val="C0C0C0"/>
        </a:solidFill>
        <a:ln w="9525" cmpd="sng">
          <a:noFill/>
        </a:ln>
      </xdr:spPr>
      <xdr:txBody>
        <a:bodyPr vertOverflow="clip" wrap="square" lIns="0" tIns="27432" rIns="36576" bIns="0"/>
        <a:p>
          <a:pPr algn="r">
            <a:defRPr/>
          </a:pPr>
          <a:r>
            <a:rPr lang="en-US" cap="none" sz="2000" b="1" i="0" u="none" baseline="0">
              <a:solidFill>
                <a:srgbClr val="900000"/>
              </a:solidFill>
              <a:latin typeface="Administer"/>
              <a:ea typeface="Administer"/>
              <a:cs typeface="Administer"/>
            </a:rPr>
            <a:t>week: 03</a:t>
          </a:r>
          <a:r>
            <a:rPr lang="en-US" cap="none" sz="2000" b="0" i="0" u="none" baseline="0">
              <a:solidFill>
                <a:srgbClr val="000000"/>
              </a:solidFill>
              <a:latin typeface="Administer"/>
              <a:ea typeface="Administer"/>
              <a:cs typeface="Administer"/>
            </a:rPr>
            <a:t> 14-20 January 2011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9</xdr:col>
      <xdr:colOff>0</xdr:colOff>
      <xdr:row>0</xdr:row>
      <xdr:rowOff>581025</xdr:rowOff>
    </xdr:to>
    <xdr:sp>
      <xdr:nvSpPr>
        <xdr:cNvPr id="1" name="Text Box 1"/>
        <xdr:cNvSpPr txBox="1">
          <a:spLocks noChangeArrowheads="1"/>
        </xdr:cNvSpPr>
      </xdr:nvSpPr>
      <xdr:spPr>
        <a:xfrm>
          <a:off x="28575" y="66675"/>
          <a:ext cx="9001125" cy="514350"/>
        </a:xfrm>
        <a:prstGeom prst="rect">
          <a:avLst/>
        </a:prstGeom>
        <a:solidFill>
          <a:srgbClr val="C0C0C0"/>
        </a:solidFill>
        <a:ln w="38100" cmpd="dbl">
          <a:noFill/>
        </a:ln>
      </xdr:spPr>
      <xdr:txBody>
        <a:bodyPr vertOverflow="clip" wrap="square" lIns="73152" tIns="73152" rIns="73152" bIns="73152" anchor="ctr"/>
        <a:p>
          <a:pPr algn="l">
            <a:defRPr/>
          </a:pPr>
          <a:r>
            <a:rPr lang="en-US" cap="none" sz="2000" b="1" i="0" u="none" baseline="0">
              <a:solidFill>
                <a:srgbClr val="000000"/>
              </a:solidFill>
              <a:latin typeface="AcidSansRegular"/>
              <a:ea typeface="AcidSansRegular"/>
              <a:cs typeface="AcidSansRegular"/>
            </a:rPr>
            <a:t>TÜRK</a:t>
          </a:r>
          <a:r>
            <a:rPr lang="en-US" cap="none" sz="2000" b="1" i="0" u="none" baseline="0">
              <a:solidFill>
                <a:srgbClr val="000000"/>
              </a:solidFill>
              <a:latin typeface="Arial"/>
              <a:ea typeface="Arial"/>
              <a:cs typeface="Arial"/>
            </a:rPr>
            <a:t>İ</a:t>
          </a:r>
          <a:r>
            <a:rPr lang="en-US" cap="none" sz="20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1600" b="0" i="0" u="none" baseline="0">
              <a:solidFill>
                <a:srgbClr val="000000"/>
              </a:solidFill>
              <a:latin typeface="AcidSans-Regular"/>
              <a:ea typeface="AcidSans-Regular"/>
              <a:cs typeface="AcidSans-Regular"/>
            </a:rPr>
            <a:t>BOX OFFICE &amp; ADMISSION REPORT</a:t>
          </a:r>
        </a:p>
      </xdr:txBody>
    </xdr:sp>
    <xdr:clientData/>
  </xdr:twoCellAnchor>
  <xdr:twoCellAnchor>
    <xdr:from>
      <xdr:col>1</xdr:col>
      <xdr:colOff>1514475</xdr:colOff>
      <xdr:row>0</xdr:row>
      <xdr:rowOff>600075</xdr:rowOff>
    </xdr:from>
    <xdr:to>
      <xdr:col>9</xdr:col>
      <xdr:colOff>0</xdr:colOff>
      <xdr:row>0</xdr:row>
      <xdr:rowOff>904875</xdr:rowOff>
    </xdr:to>
    <xdr:sp fLocksText="0">
      <xdr:nvSpPr>
        <xdr:cNvPr id="2" name="Text Box 2"/>
        <xdr:cNvSpPr txBox="1">
          <a:spLocks noChangeArrowheads="1"/>
        </xdr:cNvSpPr>
      </xdr:nvSpPr>
      <xdr:spPr>
        <a:xfrm>
          <a:off x="1809750" y="600075"/>
          <a:ext cx="7219950" cy="304800"/>
        </a:xfrm>
        <a:prstGeom prst="rect">
          <a:avLst/>
        </a:prstGeom>
        <a:solidFill>
          <a:srgbClr val="C0C0C0"/>
        </a:solidFill>
        <a:ln w="9525" cmpd="sng">
          <a:noFill/>
        </a:ln>
      </xdr:spPr>
      <xdr:txBody>
        <a:bodyPr vertOverflow="clip" wrap="square" lIns="0" tIns="27432" rIns="36576" bIns="0"/>
        <a:p>
          <a:pPr algn="r">
            <a:defRPr/>
          </a:pPr>
          <a:r>
            <a:rPr lang="en-US" cap="none" sz="2000" b="0" i="0" u="none" baseline="0">
              <a:solidFill>
                <a:srgbClr val="900000"/>
              </a:solidFill>
              <a:latin typeface="Administer"/>
              <a:ea typeface="Administer"/>
              <a:cs typeface="Administer"/>
            </a:rPr>
            <a:t>annuel, all weeks</a:t>
          </a:r>
          <a:r>
            <a:rPr lang="en-US" cap="none" sz="2000" b="0" i="0" u="none" baseline="0">
              <a:solidFill>
                <a:srgbClr val="000000"/>
              </a:solidFill>
              <a:latin typeface="Administer"/>
              <a:ea typeface="Administer"/>
              <a:cs typeface="Administer"/>
            </a:rPr>
            <a:t> </a:t>
          </a:r>
          <a:r>
            <a:rPr lang="en-US" cap="none" sz="1600" b="0" i="0" u="none" baseline="0">
              <a:solidFill>
                <a:srgbClr val="000000"/>
              </a:solidFill>
              <a:latin typeface="Administer"/>
              <a:ea typeface="Administer"/>
              <a:cs typeface="Administer"/>
            </a:rPr>
            <a:t>/</a:t>
          </a:r>
          <a:r>
            <a:rPr lang="en-US" cap="none" sz="2000" b="0" i="0" u="none" baseline="0">
              <a:solidFill>
                <a:srgbClr val="000000"/>
              </a:solidFill>
              <a:latin typeface="Administer"/>
              <a:ea typeface="Administer"/>
              <a:cs typeface="Administer"/>
            </a:rPr>
            <a:t> 31 December 2010-20 January 2011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14</xdr:col>
      <xdr:colOff>0</xdr:colOff>
      <xdr:row>0</xdr:row>
      <xdr:rowOff>581025</xdr:rowOff>
    </xdr:to>
    <xdr:sp>
      <xdr:nvSpPr>
        <xdr:cNvPr id="1" name="Text Box 1"/>
        <xdr:cNvSpPr txBox="1">
          <a:spLocks noChangeArrowheads="1"/>
        </xdr:cNvSpPr>
      </xdr:nvSpPr>
      <xdr:spPr>
        <a:xfrm>
          <a:off x="38100" y="66675"/>
          <a:ext cx="11172825" cy="514350"/>
        </a:xfrm>
        <a:prstGeom prst="rect">
          <a:avLst/>
        </a:prstGeom>
        <a:solidFill>
          <a:srgbClr val="C0C0C0"/>
        </a:solidFill>
        <a:ln w="38100" cmpd="dbl">
          <a:noFill/>
        </a:ln>
      </xdr:spPr>
      <xdr:txBody>
        <a:bodyPr vertOverflow="clip" wrap="square" lIns="73152" tIns="73152" rIns="73152" bIns="73152"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2000" b="0" i="0" u="none" baseline="0">
              <a:solidFill>
                <a:srgbClr val="000000"/>
              </a:solidFill>
              <a:latin typeface="AcidSans-Regular"/>
              <a:ea typeface="AcidSans-Regular"/>
              <a:cs typeface="AcidSans-Regular"/>
            </a:rPr>
            <a:t>BOX OFFICE &amp; ADMISSION REPORT</a:t>
          </a:r>
        </a:p>
      </xdr:txBody>
    </xdr:sp>
    <xdr:clientData/>
  </xdr:twoCellAnchor>
  <xdr:twoCellAnchor>
    <xdr:from>
      <xdr:col>1</xdr:col>
      <xdr:colOff>1514475</xdr:colOff>
      <xdr:row>0</xdr:row>
      <xdr:rowOff>600075</xdr:rowOff>
    </xdr:from>
    <xdr:to>
      <xdr:col>14</xdr:col>
      <xdr:colOff>0</xdr:colOff>
      <xdr:row>0</xdr:row>
      <xdr:rowOff>904875</xdr:rowOff>
    </xdr:to>
    <xdr:sp fLocksText="0">
      <xdr:nvSpPr>
        <xdr:cNvPr id="2" name="Text Box 2"/>
        <xdr:cNvSpPr txBox="1">
          <a:spLocks noChangeArrowheads="1"/>
        </xdr:cNvSpPr>
      </xdr:nvSpPr>
      <xdr:spPr>
        <a:xfrm>
          <a:off x="1762125" y="600075"/>
          <a:ext cx="9448800" cy="304800"/>
        </a:xfrm>
        <a:prstGeom prst="rect">
          <a:avLst/>
        </a:prstGeom>
        <a:solidFill>
          <a:srgbClr val="C0C0C0"/>
        </a:solidFill>
        <a:ln w="9525" cmpd="sng">
          <a:noFill/>
        </a:ln>
      </xdr:spPr>
      <xdr:txBody>
        <a:bodyPr vertOverflow="clip" wrap="square" lIns="0" tIns="27432" rIns="36576" bIns="0"/>
        <a:p>
          <a:pPr algn="r">
            <a:defRPr/>
          </a:pPr>
          <a:r>
            <a:rPr lang="en-US" cap="none" sz="2000" b="0" i="0" u="none" baseline="0">
              <a:solidFill>
                <a:srgbClr val="900000"/>
              </a:solidFill>
              <a:latin typeface="Administer"/>
              <a:ea typeface="Administer"/>
              <a:cs typeface="Administer"/>
            </a:rPr>
            <a:t>ex years releases, annuel, all weeks</a:t>
          </a:r>
          <a:r>
            <a:rPr lang="en-US" cap="none" sz="2000" b="0" i="0" u="none" baseline="0">
              <a:solidFill>
                <a:srgbClr val="000000"/>
              </a:solidFill>
              <a:latin typeface="Administer"/>
              <a:ea typeface="Administer"/>
              <a:cs typeface="Administer"/>
            </a:rPr>
            <a:t> </a:t>
          </a:r>
          <a:r>
            <a:rPr lang="en-US" cap="none" sz="1600" b="0" i="0" u="none" baseline="0">
              <a:solidFill>
                <a:srgbClr val="000000"/>
              </a:solidFill>
              <a:latin typeface="Administer"/>
              <a:ea typeface="Administer"/>
              <a:cs typeface="Administer"/>
            </a:rPr>
            <a:t>/</a:t>
          </a:r>
          <a:r>
            <a:rPr lang="en-US" cap="none" sz="2000" b="0" i="0" u="none" baseline="0">
              <a:solidFill>
                <a:srgbClr val="000000"/>
              </a:solidFill>
              <a:latin typeface="Administer"/>
              <a:ea typeface="Administer"/>
              <a:cs typeface="Administer"/>
            </a:rPr>
            <a:t> 30 December 2010-20 January 2011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IV84"/>
  <sheetViews>
    <sheetView showGridLines="0" tabSelected="1" zoomScale="90" zoomScaleNormal="90" zoomScalePageLayoutView="0" workbookViewId="0" topLeftCell="A1">
      <selection activeCell="M4" sqref="M4"/>
    </sheetView>
  </sheetViews>
  <sheetFormatPr defaultColWidth="9.140625" defaultRowHeight="12.75"/>
  <cols>
    <col min="1" max="1" width="3.421875" style="78" bestFit="1" customWidth="1"/>
    <col min="2" max="2" width="62.00390625" style="47" bestFit="1" customWidth="1"/>
    <col min="3" max="3" width="9.140625" style="48" bestFit="1" customWidth="1"/>
    <col min="4" max="4" width="22.7109375" style="49" bestFit="1" customWidth="1"/>
    <col min="5" max="5" width="7.140625" style="27" bestFit="1" customWidth="1"/>
    <col min="6" max="6" width="8.140625" style="27" bestFit="1" customWidth="1"/>
    <col min="7" max="7" width="9.7109375" style="27" customWidth="1"/>
    <col min="8" max="8" width="14.7109375" style="44" bestFit="1" customWidth="1"/>
    <col min="9" max="9" width="10.421875" style="45" bestFit="1" customWidth="1"/>
    <col min="10" max="10" width="8.140625" style="30" bestFit="1" customWidth="1"/>
    <col min="11" max="11" width="7.28125" style="31" bestFit="1" customWidth="1"/>
    <col min="12" max="12" width="14.28125" style="46" bestFit="1" customWidth="1"/>
    <col min="13" max="13" width="10.140625" style="33" bestFit="1" customWidth="1"/>
    <col min="14" max="14" width="7.28125" style="62" bestFit="1" customWidth="1"/>
    <col min="15" max="16" width="2.28125" style="67" bestFit="1" customWidth="1"/>
    <col min="17" max="16384" width="9.140625" style="3" customWidth="1"/>
  </cols>
  <sheetData>
    <row r="1" spans="1:16" s="1" customFormat="1" ht="72" customHeight="1">
      <c r="A1" s="77"/>
      <c r="B1" s="50"/>
      <c r="C1" s="51"/>
      <c r="D1" s="52"/>
      <c r="E1" s="53"/>
      <c r="F1" s="53"/>
      <c r="G1" s="53"/>
      <c r="H1" s="54"/>
      <c r="I1" s="55"/>
      <c r="J1" s="56"/>
      <c r="K1" s="57"/>
      <c r="L1" s="58"/>
      <c r="M1" s="59"/>
      <c r="N1" s="60"/>
      <c r="O1" s="64"/>
      <c r="P1" s="64"/>
    </row>
    <row r="2" spans="1:16" s="5" customFormat="1" ht="22.5" customHeight="1" thickBot="1">
      <c r="A2" s="452" t="s">
        <v>70</v>
      </c>
      <c r="B2" s="453"/>
      <c r="C2" s="453"/>
      <c r="D2" s="453"/>
      <c r="E2" s="453"/>
      <c r="F2" s="453"/>
      <c r="G2" s="453"/>
      <c r="H2" s="453"/>
      <c r="I2" s="453"/>
      <c r="J2" s="453"/>
      <c r="K2" s="453"/>
      <c r="L2" s="453"/>
      <c r="M2" s="453"/>
      <c r="N2" s="454"/>
      <c r="O2" s="65"/>
      <c r="P2" s="65"/>
    </row>
    <row r="3" spans="1:16" s="92" customFormat="1" ht="12.75">
      <c r="A3" s="90"/>
      <c r="B3" s="460" t="s">
        <v>6</v>
      </c>
      <c r="C3" s="464" t="s">
        <v>44</v>
      </c>
      <c r="D3" s="462" t="s">
        <v>34</v>
      </c>
      <c r="E3" s="458" t="s">
        <v>45</v>
      </c>
      <c r="F3" s="458" t="s">
        <v>52</v>
      </c>
      <c r="G3" s="458" t="s">
        <v>33</v>
      </c>
      <c r="H3" s="463" t="s">
        <v>46</v>
      </c>
      <c r="I3" s="463"/>
      <c r="J3" s="463"/>
      <c r="K3" s="463"/>
      <c r="L3" s="455" t="s">
        <v>47</v>
      </c>
      <c r="M3" s="456"/>
      <c r="N3" s="457"/>
      <c r="O3" s="91"/>
      <c r="P3" s="91"/>
    </row>
    <row r="4" spans="1:16" s="92" customFormat="1" ht="39" thickBot="1">
      <c r="A4" s="93"/>
      <c r="B4" s="461"/>
      <c r="C4" s="459"/>
      <c r="D4" s="459"/>
      <c r="E4" s="459"/>
      <c r="F4" s="459"/>
      <c r="G4" s="459"/>
      <c r="H4" s="94" t="s">
        <v>48</v>
      </c>
      <c r="I4" s="95" t="s">
        <v>49</v>
      </c>
      <c r="J4" s="95" t="s">
        <v>39</v>
      </c>
      <c r="K4" s="96" t="s">
        <v>50</v>
      </c>
      <c r="L4" s="94" t="s">
        <v>48</v>
      </c>
      <c r="M4" s="95" t="s">
        <v>49</v>
      </c>
      <c r="N4" s="97" t="s">
        <v>51</v>
      </c>
      <c r="O4" s="91"/>
      <c r="P4" s="91"/>
    </row>
    <row r="5" spans="1:16" s="2" customFormat="1" ht="15">
      <c r="A5" s="98">
        <v>1</v>
      </c>
      <c r="B5" s="350" t="s">
        <v>111</v>
      </c>
      <c r="C5" s="351">
        <v>40550</v>
      </c>
      <c r="D5" s="352" t="s">
        <v>23</v>
      </c>
      <c r="E5" s="353">
        <v>356</v>
      </c>
      <c r="F5" s="353">
        <v>650</v>
      </c>
      <c r="G5" s="353">
        <v>2</v>
      </c>
      <c r="H5" s="354">
        <v>8487055</v>
      </c>
      <c r="I5" s="355">
        <v>894074</v>
      </c>
      <c r="J5" s="356">
        <f>I5/F5</f>
        <v>1375.4984615384615</v>
      </c>
      <c r="K5" s="357">
        <f>+H5/I5</f>
        <v>9.492564373866145</v>
      </c>
      <c r="L5" s="358">
        <v>20354197</v>
      </c>
      <c r="M5" s="359">
        <v>2120112</v>
      </c>
      <c r="N5" s="360">
        <f>+L5/M5</f>
        <v>9.600529122989728</v>
      </c>
      <c r="O5" s="403">
        <v>1</v>
      </c>
      <c r="P5" s="304"/>
    </row>
    <row r="6" spans="1:16" s="2" customFormat="1" ht="15">
      <c r="A6" s="98">
        <v>2</v>
      </c>
      <c r="B6" s="361" t="s">
        <v>112</v>
      </c>
      <c r="C6" s="198">
        <v>40550</v>
      </c>
      <c r="D6" s="325" t="s">
        <v>27</v>
      </c>
      <c r="E6" s="326">
        <v>238</v>
      </c>
      <c r="F6" s="326">
        <v>243</v>
      </c>
      <c r="G6" s="326">
        <v>2</v>
      </c>
      <c r="H6" s="269">
        <v>2178855.5</v>
      </c>
      <c r="I6" s="221">
        <v>282255</v>
      </c>
      <c r="J6" s="204">
        <f>IF(H6&lt;&gt;0,I6/F6,"")</f>
        <v>1161.5432098765432</v>
      </c>
      <c r="K6" s="279">
        <f>IF(H6&lt;&gt;0,H6/I6,"")</f>
        <v>7.719457582682327</v>
      </c>
      <c r="L6" s="271">
        <f>3050831.5+2178855.5</f>
        <v>5229687</v>
      </c>
      <c r="M6" s="200">
        <f>393137+282255</f>
        <v>675392</v>
      </c>
      <c r="N6" s="296">
        <f>IF(L6&lt;&gt;0,L6/M6,"")</f>
        <v>7.743187659907135</v>
      </c>
      <c r="O6" s="404"/>
      <c r="P6" s="304"/>
    </row>
    <row r="7" spans="1:16" s="2" customFormat="1" ht="15">
      <c r="A7" s="99">
        <v>3</v>
      </c>
      <c r="B7" s="393" t="s">
        <v>113</v>
      </c>
      <c r="C7" s="215">
        <v>40557</v>
      </c>
      <c r="D7" s="394" t="s">
        <v>28</v>
      </c>
      <c r="E7" s="395">
        <v>66</v>
      </c>
      <c r="F7" s="395">
        <v>66</v>
      </c>
      <c r="G7" s="395">
        <v>1</v>
      </c>
      <c r="H7" s="396">
        <v>915374</v>
      </c>
      <c r="I7" s="397">
        <v>81861</v>
      </c>
      <c r="J7" s="398">
        <f>+I7/F7</f>
        <v>1240.3181818181818</v>
      </c>
      <c r="K7" s="399">
        <f>+H7/I7</f>
        <v>11.182052503634209</v>
      </c>
      <c r="L7" s="400">
        <v>915374</v>
      </c>
      <c r="M7" s="401">
        <v>81861</v>
      </c>
      <c r="N7" s="402">
        <f>+L7/M7</f>
        <v>11.182052503634209</v>
      </c>
      <c r="O7" s="404"/>
      <c r="P7" s="304"/>
    </row>
    <row r="8" spans="1:16" s="2" customFormat="1" ht="15">
      <c r="A8" s="100">
        <v>4</v>
      </c>
      <c r="B8" s="382" t="s">
        <v>114</v>
      </c>
      <c r="C8" s="383">
        <v>40557</v>
      </c>
      <c r="D8" s="384" t="s">
        <v>23</v>
      </c>
      <c r="E8" s="385">
        <v>129</v>
      </c>
      <c r="F8" s="385">
        <v>129</v>
      </c>
      <c r="G8" s="385">
        <v>1</v>
      </c>
      <c r="H8" s="386">
        <v>660392</v>
      </c>
      <c r="I8" s="387">
        <v>54227</v>
      </c>
      <c r="J8" s="388">
        <f>I8/F8</f>
        <v>420.3643410852713</v>
      </c>
      <c r="K8" s="389">
        <f>+H8/I8</f>
        <v>12.17828756892323</v>
      </c>
      <c r="L8" s="390">
        <v>660392</v>
      </c>
      <c r="M8" s="391">
        <v>54227</v>
      </c>
      <c r="N8" s="392">
        <f>+L8/M8</f>
        <v>12.17828756892323</v>
      </c>
      <c r="O8" s="403"/>
      <c r="P8" s="304"/>
    </row>
    <row r="9" spans="1:16" s="4" customFormat="1" ht="15">
      <c r="A9" s="98">
        <v>5</v>
      </c>
      <c r="B9" s="364" t="s">
        <v>115</v>
      </c>
      <c r="C9" s="330">
        <v>40557</v>
      </c>
      <c r="D9" s="329" t="s">
        <v>25</v>
      </c>
      <c r="E9" s="331">
        <v>50</v>
      </c>
      <c r="F9" s="331">
        <v>52</v>
      </c>
      <c r="G9" s="331">
        <v>1</v>
      </c>
      <c r="H9" s="332">
        <v>462113.75</v>
      </c>
      <c r="I9" s="333">
        <v>36845</v>
      </c>
      <c r="J9" s="334">
        <f>(I9/F9)</f>
        <v>708.5576923076923</v>
      </c>
      <c r="K9" s="335">
        <f>H9/I9</f>
        <v>12.542102049124711</v>
      </c>
      <c r="L9" s="336">
        <f>462113.75</f>
        <v>462113.75</v>
      </c>
      <c r="M9" s="337">
        <f>36845</f>
        <v>36845</v>
      </c>
      <c r="N9" s="365">
        <f>L9/M9</f>
        <v>12.542102049124711</v>
      </c>
      <c r="O9" s="405"/>
      <c r="P9" s="304"/>
    </row>
    <row r="10" spans="1:16" s="4" customFormat="1" ht="15">
      <c r="A10" s="98">
        <v>6</v>
      </c>
      <c r="B10" s="295" t="s">
        <v>71</v>
      </c>
      <c r="C10" s="194">
        <v>40515</v>
      </c>
      <c r="D10" s="328" t="s">
        <v>24</v>
      </c>
      <c r="E10" s="327">
        <v>337</v>
      </c>
      <c r="F10" s="327">
        <v>128</v>
      </c>
      <c r="G10" s="327">
        <v>7</v>
      </c>
      <c r="H10" s="272">
        <v>271404</v>
      </c>
      <c r="I10" s="219">
        <v>30669</v>
      </c>
      <c r="J10" s="197">
        <f>I10/F10</f>
        <v>239.6015625</v>
      </c>
      <c r="K10" s="273">
        <f>H10/I10</f>
        <v>8.849457106524504</v>
      </c>
      <c r="L10" s="274">
        <v>19564484</v>
      </c>
      <c r="M10" s="196">
        <v>2085607</v>
      </c>
      <c r="N10" s="292">
        <f>+L10/M10</f>
        <v>9.380714583332335</v>
      </c>
      <c r="O10" s="404">
        <v>1</v>
      </c>
      <c r="P10" s="304"/>
    </row>
    <row r="11" spans="1:16" s="4" customFormat="1" ht="15">
      <c r="A11" s="98">
        <v>7</v>
      </c>
      <c r="B11" s="295" t="s">
        <v>116</v>
      </c>
      <c r="C11" s="194">
        <v>40557</v>
      </c>
      <c r="D11" s="328" t="s">
        <v>28</v>
      </c>
      <c r="E11" s="327">
        <v>66</v>
      </c>
      <c r="F11" s="327">
        <v>66</v>
      </c>
      <c r="G11" s="327">
        <v>1</v>
      </c>
      <c r="H11" s="278">
        <v>138580</v>
      </c>
      <c r="I11" s="223">
        <v>15328</v>
      </c>
      <c r="J11" s="204">
        <f>+I11/F11</f>
        <v>232.24242424242425</v>
      </c>
      <c r="K11" s="279">
        <f>+H11/I11</f>
        <v>9.040970772442588</v>
      </c>
      <c r="L11" s="280">
        <v>138580</v>
      </c>
      <c r="M11" s="203">
        <v>15328</v>
      </c>
      <c r="N11" s="296">
        <f>+L11/M11</f>
        <v>9.040970772442588</v>
      </c>
      <c r="O11" s="404">
        <v>1</v>
      </c>
      <c r="P11" s="304"/>
    </row>
    <row r="12" spans="1:16" s="4" customFormat="1" ht="15">
      <c r="A12" s="100">
        <v>8</v>
      </c>
      <c r="B12" s="362" t="s">
        <v>72</v>
      </c>
      <c r="C12" s="316">
        <v>40536</v>
      </c>
      <c r="D12" s="317" t="s">
        <v>23</v>
      </c>
      <c r="E12" s="318">
        <v>112</v>
      </c>
      <c r="F12" s="318">
        <v>51</v>
      </c>
      <c r="G12" s="318">
        <v>4</v>
      </c>
      <c r="H12" s="319">
        <v>136869</v>
      </c>
      <c r="I12" s="320">
        <v>12796</v>
      </c>
      <c r="J12" s="321">
        <f>I12/F12</f>
        <v>250.90196078431373</v>
      </c>
      <c r="K12" s="322">
        <f>+H12/I12</f>
        <v>10.696233197874335</v>
      </c>
      <c r="L12" s="323">
        <v>2239732</v>
      </c>
      <c r="M12" s="324">
        <v>191945</v>
      </c>
      <c r="N12" s="363">
        <f>+L12/M12</f>
        <v>11.668613404881606</v>
      </c>
      <c r="O12" s="403"/>
      <c r="P12" s="304"/>
    </row>
    <row r="13" spans="1:16" s="4" customFormat="1" ht="15">
      <c r="A13" s="98">
        <v>9</v>
      </c>
      <c r="B13" s="295" t="s">
        <v>1</v>
      </c>
      <c r="C13" s="194">
        <v>40522</v>
      </c>
      <c r="D13" s="328" t="s">
        <v>28</v>
      </c>
      <c r="E13" s="327">
        <v>110</v>
      </c>
      <c r="F13" s="327">
        <v>66</v>
      </c>
      <c r="G13" s="327">
        <v>6</v>
      </c>
      <c r="H13" s="278">
        <v>118638</v>
      </c>
      <c r="I13" s="223">
        <v>12477</v>
      </c>
      <c r="J13" s="204">
        <f>+I13/F13</f>
        <v>189.04545454545453</v>
      </c>
      <c r="K13" s="279">
        <f>+H13/I13</f>
        <v>9.508535705698485</v>
      </c>
      <c r="L13" s="280">
        <v>4944888</v>
      </c>
      <c r="M13" s="203">
        <v>466460</v>
      </c>
      <c r="N13" s="296">
        <f>+L13/M13</f>
        <v>10.600883248295673</v>
      </c>
      <c r="O13" s="404"/>
      <c r="P13" s="304"/>
    </row>
    <row r="14" spans="1:16" s="4" customFormat="1" ht="15">
      <c r="A14" s="98">
        <v>10</v>
      </c>
      <c r="B14" s="364" t="s">
        <v>61</v>
      </c>
      <c r="C14" s="330">
        <v>40543</v>
      </c>
      <c r="D14" s="329" t="s">
        <v>25</v>
      </c>
      <c r="E14" s="331">
        <v>99</v>
      </c>
      <c r="F14" s="331">
        <v>59</v>
      </c>
      <c r="G14" s="331">
        <v>3</v>
      </c>
      <c r="H14" s="332">
        <v>112730.5</v>
      </c>
      <c r="I14" s="333">
        <v>10987</v>
      </c>
      <c r="J14" s="334">
        <f>(I14/F14)</f>
        <v>186.22033898305085</v>
      </c>
      <c r="K14" s="335">
        <f>H14/I14</f>
        <v>10.260353144625466</v>
      </c>
      <c r="L14" s="336">
        <f>74157.5+721285.5+410076+112730.5</f>
        <v>1318249.5</v>
      </c>
      <c r="M14" s="337">
        <f>7361+62279+35611+10987</f>
        <v>116238</v>
      </c>
      <c r="N14" s="365">
        <f>L14/M14</f>
        <v>11.340951324007639</v>
      </c>
      <c r="O14" s="405"/>
      <c r="P14" s="304"/>
    </row>
    <row r="15" spans="1:16" s="4" customFormat="1" ht="15">
      <c r="A15" s="98">
        <v>11</v>
      </c>
      <c r="B15" s="366" t="s">
        <v>117</v>
      </c>
      <c r="C15" s="211">
        <v>40557</v>
      </c>
      <c r="D15" s="338" t="s">
        <v>96</v>
      </c>
      <c r="E15" s="339">
        <v>7</v>
      </c>
      <c r="F15" s="339">
        <v>7</v>
      </c>
      <c r="G15" s="339">
        <v>1</v>
      </c>
      <c r="H15" s="283">
        <v>48974</v>
      </c>
      <c r="I15" s="221">
        <v>3294</v>
      </c>
      <c r="J15" s="201">
        <f>I15/F15</f>
        <v>470.57142857142856</v>
      </c>
      <c r="K15" s="284">
        <f>H15/I15</f>
        <v>14.867638129933212</v>
      </c>
      <c r="L15" s="285">
        <v>48974</v>
      </c>
      <c r="M15" s="201">
        <v>3294</v>
      </c>
      <c r="N15" s="298">
        <f>L15/M15</f>
        <v>14.867638129933212</v>
      </c>
      <c r="O15" s="404"/>
      <c r="P15" s="304"/>
    </row>
    <row r="16" spans="1:16" s="4" customFormat="1" ht="15">
      <c r="A16" s="100">
        <v>12</v>
      </c>
      <c r="B16" s="364" t="s">
        <v>94</v>
      </c>
      <c r="C16" s="330">
        <v>40529</v>
      </c>
      <c r="D16" s="329" t="s">
        <v>25</v>
      </c>
      <c r="E16" s="331">
        <v>147</v>
      </c>
      <c r="F16" s="331">
        <v>41</v>
      </c>
      <c r="G16" s="331">
        <v>5</v>
      </c>
      <c r="H16" s="332">
        <v>45526</v>
      </c>
      <c r="I16" s="333">
        <v>7792</v>
      </c>
      <c r="J16" s="334">
        <f>(I16/F16)</f>
        <v>190.0487804878049</v>
      </c>
      <c r="K16" s="335">
        <f>H16/I16</f>
        <v>5.842659137577002</v>
      </c>
      <c r="L16" s="336">
        <f>691567.5+648414.5+518408+71321.5+45526</f>
        <v>1975237.5</v>
      </c>
      <c r="M16" s="337">
        <f>79327+75064+61133+10266+7792</f>
        <v>233582</v>
      </c>
      <c r="N16" s="365">
        <f>L16/M16</f>
        <v>8.456291580686868</v>
      </c>
      <c r="O16" s="405">
        <v>1</v>
      </c>
      <c r="P16" s="304"/>
    </row>
    <row r="17" spans="1:16" s="4" customFormat="1" ht="15">
      <c r="A17" s="98">
        <v>13</v>
      </c>
      <c r="B17" s="362" t="s">
        <v>73</v>
      </c>
      <c r="C17" s="316">
        <v>40536</v>
      </c>
      <c r="D17" s="317" t="s">
        <v>23</v>
      </c>
      <c r="E17" s="318">
        <v>91</v>
      </c>
      <c r="F17" s="318">
        <v>22</v>
      </c>
      <c r="G17" s="318">
        <v>4</v>
      </c>
      <c r="H17" s="319">
        <v>28672</v>
      </c>
      <c r="I17" s="320">
        <v>2679</v>
      </c>
      <c r="J17" s="321">
        <f>I17/F17</f>
        <v>121.77272727272727</v>
      </c>
      <c r="K17" s="322">
        <f>+H17/I17</f>
        <v>10.702500933184023</v>
      </c>
      <c r="L17" s="323">
        <v>1192578</v>
      </c>
      <c r="M17" s="324">
        <v>104087</v>
      </c>
      <c r="N17" s="363">
        <f>+L17/M17</f>
        <v>11.45751150479887</v>
      </c>
      <c r="O17" s="403"/>
      <c r="P17" s="304"/>
    </row>
    <row r="18" spans="1:16" s="4" customFormat="1" ht="15">
      <c r="A18" s="98">
        <v>14</v>
      </c>
      <c r="B18" s="364" t="s">
        <v>19</v>
      </c>
      <c r="C18" s="330">
        <v>40515</v>
      </c>
      <c r="D18" s="329" t="s">
        <v>25</v>
      </c>
      <c r="E18" s="331">
        <v>62</v>
      </c>
      <c r="F18" s="331">
        <v>37</v>
      </c>
      <c r="G18" s="331">
        <v>7</v>
      </c>
      <c r="H18" s="332">
        <v>19265</v>
      </c>
      <c r="I18" s="333">
        <v>3223</v>
      </c>
      <c r="J18" s="334">
        <f>(I18/F18)</f>
        <v>87.10810810810811</v>
      </c>
      <c r="K18" s="335">
        <f>H18/I18</f>
        <v>5.977350294756438</v>
      </c>
      <c r="L18" s="336">
        <f>353151+191248+132731.5+71376+47862+26248.5+19265</f>
        <v>841882</v>
      </c>
      <c r="M18" s="337">
        <f>34650+19352+14525+10591+7581+5012+3223</f>
        <v>94934</v>
      </c>
      <c r="N18" s="365">
        <f>L18/M18</f>
        <v>8.868076769123812</v>
      </c>
      <c r="O18" s="405"/>
      <c r="P18" s="304"/>
    </row>
    <row r="19" spans="1:16" s="4" customFormat="1" ht="15">
      <c r="A19" s="98">
        <v>15</v>
      </c>
      <c r="B19" s="367" t="s">
        <v>118</v>
      </c>
      <c r="C19" s="341">
        <v>40557</v>
      </c>
      <c r="D19" s="340" t="s">
        <v>119</v>
      </c>
      <c r="E19" s="342">
        <v>12</v>
      </c>
      <c r="F19" s="342">
        <v>12</v>
      </c>
      <c r="G19" s="342">
        <v>1</v>
      </c>
      <c r="H19" s="343">
        <v>17557</v>
      </c>
      <c r="I19" s="344">
        <v>1599</v>
      </c>
      <c r="J19" s="345">
        <v>133.25</v>
      </c>
      <c r="K19" s="346">
        <v>10.979987492182614</v>
      </c>
      <c r="L19" s="347">
        <v>17557</v>
      </c>
      <c r="M19" s="345">
        <v>1599</v>
      </c>
      <c r="N19" s="368">
        <v>10.979987492182614</v>
      </c>
      <c r="O19" s="404"/>
      <c r="P19" s="304"/>
    </row>
    <row r="20" spans="1:16" s="4" customFormat="1" ht="15">
      <c r="A20" s="100">
        <v>16</v>
      </c>
      <c r="B20" s="369" t="s">
        <v>89</v>
      </c>
      <c r="C20" s="330">
        <v>40543</v>
      </c>
      <c r="D20" s="329" t="s">
        <v>25</v>
      </c>
      <c r="E20" s="331">
        <v>77</v>
      </c>
      <c r="F20" s="331">
        <v>37</v>
      </c>
      <c r="G20" s="331">
        <v>3</v>
      </c>
      <c r="H20" s="332">
        <v>13366.5</v>
      </c>
      <c r="I20" s="333">
        <v>1888</v>
      </c>
      <c r="J20" s="334">
        <f>(I20/F20)</f>
        <v>51.027027027027025</v>
      </c>
      <c r="K20" s="335">
        <f>H20/I20</f>
        <v>7.079713983050848</v>
      </c>
      <c r="L20" s="336">
        <f>163528+30551+13366.5</f>
        <v>207445.5</v>
      </c>
      <c r="M20" s="337">
        <f>16190+3500+1888</f>
        <v>21578</v>
      </c>
      <c r="N20" s="365">
        <f>L20/M20</f>
        <v>9.613750115858744</v>
      </c>
      <c r="O20" s="405">
        <v>1</v>
      </c>
      <c r="P20" s="304"/>
    </row>
    <row r="21" spans="1:16" s="4" customFormat="1" ht="15">
      <c r="A21" s="98">
        <v>17</v>
      </c>
      <c r="B21" s="369" t="s">
        <v>2</v>
      </c>
      <c r="C21" s="330">
        <v>40522</v>
      </c>
      <c r="D21" s="329" t="s">
        <v>25</v>
      </c>
      <c r="E21" s="331">
        <v>127</v>
      </c>
      <c r="F21" s="331">
        <v>11</v>
      </c>
      <c r="G21" s="331">
        <v>6</v>
      </c>
      <c r="H21" s="332">
        <v>12164</v>
      </c>
      <c r="I21" s="333">
        <v>2869</v>
      </c>
      <c r="J21" s="334">
        <f>(I21/F21)</f>
        <v>260.8181818181818</v>
      </c>
      <c r="K21" s="335">
        <f>H21/I21</f>
        <v>4.239804810038341</v>
      </c>
      <c r="L21" s="336">
        <f>1048675+809166.5+457718.5+70165.5+7102+12164</f>
        <v>2404991.5</v>
      </c>
      <c r="M21" s="337">
        <f>92481+73795+43350+8841+1153+2869</f>
        <v>222489</v>
      </c>
      <c r="N21" s="365">
        <f>L21/M21</f>
        <v>10.809484963301557</v>
      </c>
      <c r="O21" s="405"/>
      <c r="P21" s="304"/>
    </row>
    <row r="22" spans="1:16" s="4" customFormat="1" ht="15">
      <c r="A22" s="98">
        <v>18</v>
      </c>
      <c r="B22" s="295" t="s">
        <v>90</v>
      </c>
      <c r="C22" s="194">
        <v>40543</v>
      </c>
      <c r="D22" s="328" t="s">
        <v>120</v>
      </c>
      <c r="E22" s="327" t="s">
        <v>75</v>
      </c>
      <c r="F22" s="327" t="s">
        <v>121</v>
      </c>
      <c r="G22" s="327" t="s">
        <v>122</v>
      </c>
      <c r="H22" s="278">
        <v>9789</v>
      </c>
      <c r="I22" s="223">
        <v>1128</v>
      </c>
      <c r="J22" s="204">
        <f>+I22/F22</f>
        <v>112.8</v>
      </c>
      <c r="K22" s="279">
        <f>+H22/I22</f>
        <v>8.678191489361701</v>
      </c>
      <c r="L22" s="280">
        <v>215914</v>
      </c>
      <c r="M22" s="203">
        <v>16855</v>
      </c>
      <c r="N22" s="296">
        <f>IF(L22&lt;&gt;0,L22/M22,"")</f>
        <v>12.8100860278849</v>
      </c>
      <c r="O22" s="404"/>
      <c r="P22" s="304"/>
    </row>
    <row r="23" spans="1:16" s="4" customFormat="1" ht="15">
      <c r="A23" s="98">
        <v>19</v>
      </c>
      <c r="B23" s="362" t="s">
        <v>91</v>
      </c>
      <c r="C23" s="316">
        <v>40543</v>
      </c>
      <c r="D23" s="317" t="s">
        <v>23</v>
      </c>
      <c r="E23" s="318">
        <v>118</v>
      </c>
      <c r="F23" s="318">
        <v>31</v>
      </c>
      <c r="G23" s="318">
        <v>3</v>
      </c>
      <c r="H23" s="319">
        <v>8817</v>
      </c>
      <c r="I23" s="320">
        <v>1194</v>
      </c>
      <c r="J23" s="321">
        <f>I23/F23</f>
        <v>38.516129032258064</v>
      </c>
      <c r="K23" s="322">
        <f>+H23/I23</f>
        <v>7.384422110552764</v>
      </c>
      <c r="L23" s="323">
        <v>198153</v>
      </c>
      <c r="M23" s="324">
        <v>21831</v>
      </c>
      <c r="N23" s="363">
        <f>+L23/M23</f>
        <v>9.076679950529064</v>
      </c>
      <c r="O23" s="403">
        <v>1</v>
      </c>
      <c r="P23" s="304"/>
    </row>
    <row r="24" spans="1:16" s="4" customFormat="1" ht="15">
      <c r="A24" s="100">
        <v>20</v>
      </c>
      <c r="B24" s="295" t="s">
        <v>74</v>
      </c>
      <c r="C24" s="194">
        <v>40536</v>
      </c>
      <c r="D24" s="328" t="s">
        <v>24</v>
      </c>
      <c r="E24" s="327">
        <v>48</v>
      </c>
      <c r="F24" s="327">
        <v>7</v>
      </c>
      <c r="G24" s="327">
        <v>4</v>
      </c>
      <c r="H24" s="272">
        <v>8376</v>
      </c>
      <c r="I24" s="219">
        <v>1059</v>
      </c>
      <c r="J24" s="197">
        <f>I24/F24</f>
        <v>151.28571428571428</v>
      </c>
      <c r="K24" s="273">
        <f>H24/I24</f>
        <v>7.909348441926346</v>
      </c>
      <c r="L24" s="274">
        <v>680924</v>
      </c>
      <c r="M24" s="196">
        <v>58636</v>
      </c>
      <c r="N24" s="292">
        <f>+L24/M24</f>
        <v>11.612729381267481</v>
      </c>
      <c r="O24" s="404"/>
      <c r="P24" s="304"/>
    </row>
    <row r="25" spans="1:16" s="4" customFormat="1" ht="15">
      <c r="A25" s="98">
        <v>21</v>
      </c>
      <c r="B25" s="295" t="s">
        <v>30</v>
      </c>
      <c r="C25" s="194">
        <v>40494</v>
      </c>
      <c r="D25" s="328" t="s">
        <v>24</v>
      </c>
      <c r="E25" s="327">
        <v>144</v>
      </c>
      <c r="F25" s="327">
        <v>6</v>
      </c>
      <c r="G25" s="327">
        <v>10</v>
      </c>
      <c r="H25" s="272">
        <v>8265</v>
      </c>
      <c r="I25" s="219">
        <v>1244</v>
      </c>
      <c r="J25" s="197">
        <f>I25/F25</f>
        <v>207.33333333333334</v>
      </c>
      <c r="K25" s="273">
        <f>H25/I25</f>
        <v>6.643890675241158</v>
      </c>
      <c r="L25" s="274">
        <v>6066619</v>
      </c>
      <c r="M25" s="196">
        <v>523537</v>
      </c>
      <c r="N25" s="292">
        <f>+L25/M25</f>
        <v>11.587755975222382</v>
      </c>
      <c r="O25" s="404"/>
      <c r="P25" s="304"/>
    </row>
    <row r="26" spans="1:16" s="4" customFormat="1" ht="15">
      <c r="A26" s="98">
        <v>22</v>
      </c>
      <c r="B26" s="366" t="s">
        <v>92</v>
      </c>
      <c r="C26" s="211">
        <v>40543</v>
      </c>
      <c r="D26" s="338" t="s">
        <v>96</v>
      </c>
      <c r="E26" s="339">
        <v>2</v>
      </c>
      <c r="F26" s="339">
        <v>2</v>
      </c>
      <c r="G26" s="339">
        <v>3</v>
      </c>
      <c r="H26" s="283">
        <v>6359</v>
      </c>
      <c r="I26" s="221">
        <v>423</v>
      </c>
      <c r="J26" s="201">
        <f>I26/F26</f>
        <v>211.5</v>
      </c>
      <c r="K26" s="284">
        <f>H26/I26</f>
        <v>15.033096926713949</v>
      </c>
      <c r="L26" s="285">
        <v>50208</v>
      </c>
      <c r="M26" s="201">
        <v>3370</v>
      </c>
      <c r="N26" s="298">
        <f>L26/M26</f>
        <v>14.898516320474778</v>
      </c>
      <c r="O26" s="404"/>
      <c r="P26" s="304"/>
    </row>
    <row r="27" spans="1:16" s="4" customFormat="1" ht="15">
      <c r="A27" s="98">
        <v>23</v>
      </c>
      <c r="B27" s="295" t="s">
        <v>68</v>
      </c>
      <c r="C27" s="194">
        <v>40529</v>
      </c>
      <c r="D27" s="328" t="s">
        <v>26</v>
      </c>
      <c r="E27" s="327">
        <v>81</v>
      </c>
      <c r="F27" s="327">
        <v>5</v>
      </c>
      <c r="G27" s="327">
        <v>5</v>
      </c>
      <c r="H27" s="286">
        <v>5631</v>
      </c>
      <c r="I27" s="222">
        <v>879</v>
      </c>
      <c r="J27" s="210">
        <f>I27/F27</f>
        <v>175.8</v>
      </c>
      <c r="K27" s="287">
        <f>H27/I27</f>
        <v>6.406143344709897</v>
      </c>
      <c r="L27" s="288">
        <v>478360</v>
      </c>
      <c r="M27" s="209">
        <v>56856</v>
      </c>
      <c r="N27" s="299">
        <f>+L27/M27</f>
        <v>8.413535950471367</v>
      </c>
      <c r="O27" s="403">
        <v>1</v>
      </c>
      <c r="P27" s="304"/>
    </row>
    <row r="28" spans="1:16" s="4" customFormat="1" ht="15">
      <c r="A28" s="100">
        <v>24</v>
      </c>
      <c r="B28" s="295" t="s">
        <v>97</v>
      </c>
      <c r="C28" s="194">
        <v>40487</v>
      </c>
      <c r="D28" s="328" t="s">
        <v>28</v>
      </c>
      <c r="E28" s="327">
        <v>312</v>
      </c>
      <c r="F28" s="327">
        <v>12</v>
      </c>
      <c r="G28" s="327">
        <v>11</v>
      </c>
      <c r="H28" s="278">
        <v>5621</v>
      </c>
      <c r="I28" s="223">
        <v>841</v>
      </c>
      <c r="J28" s="204">
        <f>+I28/F28</f>
        <v>70.08333333333333</v>
      </c>
      <c r="K28" s="279">
        <f>+H28/I28</f>
        <v>6.683709869203329</v>
      </c>
      <c r="L28" s="280">
        <v>31640263</v>
      </c>
      <c r="M28" s="203">
        <v>3473764</v>
      </c>
      <c r="N28" s="296">
        <f>+L28/M28</f>
        <v>9.108351344535784</v>
      </c>
      <c r="O28" s="404">
        <v>1</v>
      </c>
      <c r="P28" s="304"/>
    </row>
    <row r="29" spans="1:16" s="4" customFormat="1" ht="15">
      <c r="A29" s="98">
        <v>25</v>
      </c>
      <c r="B29" s="295" t="s">
        <v>18</v>
      </c>
      <c r="C29" s="194">
        <v>40499</v>
      </c>
      <c r="D29" s="328" t="s">
        <v>24</v>
      </c>
      <c r="E29" s="327">
        <v>216</v>
      </c>
      <c r="F29" s="327">
        <v>6</v>
      </c>
      <c r="G29" s="327">
        <v>9</v>
      </c>
      <c r="H29" s="272">
        <v>5414</v>
      </c>
      <c r="I29" s="219">
        <v>1277</v>
      </c>
      <c r="J29" s="197">
        <f>I29/F29</f>
        <v>212.83333333333334</v>
      </c>
      <c r="K29" s="273">
        <f>H29/I29</f>
        <v>4.239624119028974</v>
      </c>
      <c r="L29" s="274">
        <v>7555255</v>
      </c>
      <c r="M29" s="196">
        <v>797852</v>
      </c>
      <c r="N29" s="292">
        <f>+L29/M29</f>
        <v>9.4694943423091</v>
      </c>
      <c r="O29" s="404"/>
      <c r="P29" s="304"/>
    </row>
    <row r="30" spans="1:16" s="4" customFormat="1" ht="15">
      <c r="A30" s="98">
        <v>26</v>
      </c>
      <c r="B30" s="364" t="s">
        <v>123</v>
      </c>
      <c r="C30" s="330">
        <v>40529</v>
      </c>
      <c r="D30" s="329" t="s">
        <v>25</v>
      </c>
      <c r="E30" s="331">
        <v>27</v>
      </c>
      <c r="F30" s="331">
        <v>4</v>
      </c>
      <c r="G30" s="331">
        <v>4</v>
      </c>
      <c r="H30" s="275">
        <v>5233</v>
      </c>
      <c r="I30" s="220">
        <v>1185</v>
      </c>
      <c r="J30" s="207">
        <f>(I30/F30)</f>
        <v>296.25</v>
      </c>
      <c r="K30" s="276">
        <f>H30/I30</f>
        <v>4.4160337552742615</v>
      </c>
      <c r="L30" s="277">
        <f>68045+25663+7073.5+5233</f>
        <v>106014.5</v>
      </c>
      <c r="M30" s="206">
        <f>5442+2277+920+1185</f>
        <v>9824</v>
      </c>
      <c r="N30" s="294">
        <f>L30/M30</f>
        <v>10.79137825732899</v>
      </c>
      <c r="O30" s="218"/>
      <c r="P30" s="304"/>
    </row>
    <row r="31" spans="1:16" s="4" customFormat="1" ht="15">
      <c r="A31" s="98">
        <v>27</v>
      </c>
      <c r="B31" s="364" t="s">
        <v>15</v>
      </c>
      <c r="C31" s="330">
        <v>40473</v>
      </c>
      <c r="D31" s="329" t="s">
        <v>25</v>
      </c>
      <c r="E31" s="331">
        <v>30</v>
      </c>
      <c r="F31" s="331">
        <v>3</v>
      </c>
      <c r="G31" s="331">
        <v>13</v>
      </c>
      <c r="H31" s="332">
        <v>4704</v>
      </c>
      <c r="I31" s="333">
        <v>506</v>
      </c>
      <c r="J31" s="334">
        <f>(I31/F31)</f>
        <v>168.66666666666666</v>
      </c>
      <c r="K31" s="335">
        <f>H31/I31</f>
        <v>9.296442687747035</v>
      </c>
      <c r="L31" s="336">
        <f>140269+106844+7979+4849+4700.5+7059+2232+1390+2769+13917+8357+891.5+4704</f>
        <v>305961</v>
      </c>
      <c r="M31" s="337">
        <f>11518+8629+641+577+660+1341+325+348+324+2259+1374+332+506</f>
        <v>28834</v>
      </c>
      <c r="N31" s="365">
        <f>L31/M31</f>
        <v>10.61111881806201</v>
      </c>
      <c r="O31" s="405"/>
      <c r="P31" s="304"/>
    </row>
    <row r="32" spans="1:16" s="4" customFormat="1" ht="15">
      <c r="A32" s="98">
        <v>28</v>
      </c>
      <c r="B32" s="366" t="s">
        <v>4</v>
      </c>
      <c r="C32" s="211">
        <v>40529</v>
      </c>
      <c r="D32" s="338" t="s">
        <v>96</v>
      </c>
      <c r="E32" s="339">
        <v>5</v>
      </c>
      <c r="F32" s="339">
        <v>5</v>
      </c>
      <c r="G32" s="339">
        <v>4</v>
      </c>
      <c r="H32" s="283">
        <v>4388</v>
      </c>
      <c r="I32" s="221">
        <v>375</v>
      </c>
      <c r="J32" s="201">
        <f>I32/F32</f>
        <v>75</v>
      </c>
      <c r="K32" s="284">
        <f>H32/I32</f>
        <v>11.701333333333332</v>
      </c>
      <c r="L32" s="285">
        <v>19557</v>
      </c>
      <c r="M32" s="201">
        <v>1795</v>
      </c>
      <c r="N32" s="298">
        <f>L32/M32</f>
        <v>10.895264623955432</v>
      </c>
      <c r="O32" s="404"/>
      <c r="P32" s="304"/>
    </row>
    <row r="33" spans="1:16" s="4" customFormat="1" ht="15">
      <c r="A33" s="98">
        <v>29</v>
      </c>
      <c r="B33" s="361" t="s">
        <v>98</v>
      </c>
      <c r="C33" s="198">
        <v>40543</v>
      </c>
      <c r="D33" s="325" t="s">
        <v>32</v>
      </c>
      <c r="E33" s="326">
        <v>37</v>
      </c>
      <c r="F33" s="326">
        <v>13</v>
      </c>
      <c r="G33" s="326">
        <v>3</v>
      </c>
      <c r="H33" s="269">
        <v>4268</v>
      </c>
      <c r="I33" s="221">
        <v>640</v>
      </c>
      <c r="J33" s="204">
        <f>+I33/F33</f>
        <v>49.23076923076923</v>
      </c>
      <c r="K33" s="279">
        <f>+H33/I33</f>
        <v>6.66875</v>
      </c>
      <c r="L33" s="271">
        <v>56670.5</v>
      </c>
      <c r="M33" s="200">
        <v>6895</v>
      </c>
      <c r="N33" s="296">
        <f>IF(L33&lt;&gt;0,L33/M33,"")</f>
        <v>8.21907179115301</v>
      </c>
      <c r="O33" s="404">
        <v>1</v>
      </c>
      <c r="P33" s="304"/>
    </row>
    <row r="34" spans="1:16" s="4" customFormat="1" ht="15">
      <c r="A34" s="100">
        <v>30</v>
      </c>
      <c r="B34" s="295" t="s">
        <v>59</v>
      </c>
      <c r="C34" s="194">
        <v>40529</v>
      </c>
      <c r="D34" s="328" t="s">
        <v>24</v>
      </c>
      <c r="E34" s="327">
        <v>72</v>
      </c>
      <c r="F34" s="327">
        <v>3</v>
      </c>
      <c r="G34" s="327">
        <v>5</v>
      </c>
      <c r="H34" s="272">
        <v>3407</v>
      </c>
      <c r="I34" s="219">
        <v>461</v>
      </c>
      <c r="J34" s="197">
        <f>I34/F34</f>
        <v>153.66666666666666</v>
      </c>
      <c r="K34" s="273">
        <f>H34/I34</f>
        <v>7.390455531453362</v>
      </c>
      <c r="L34" s="274">
        <v>915738</v>
      </c>
      <c r="M34" s="196">
        <v>84149</v>
      </c>
      <c r="N34" s="292">
        <f>+L34/M34</f>
        <v>10.88233965941366</v>
      </c>
      <c r="O34" s="404"/>
      <c r="P34" s="304"/>
    </row>
    <row r="35" spans="1:16" s="4" customFormat="1" ht="15">
      <c r="A35" s="98">
        <v>31</v>
      </c>
      <c r="B35" s="295" t="s">
        <v>85</v>
      </c>
      <c r="C35" s="194">
        <v>40480</v>
      </c>
      <c r="D35" s="328" t="s">
        <v>17</v>
      </c>
      <c r="E35" s="327">
        <v>71</v>
      </c>
      <c r="F35" s="327">
        <v>2</v>
      </c>
      <c r="G35" s="327">
        <v>11</v>
      </c>
      <c r="H35" s="281">
        <v>3270</v>
      </c>
      <c r="I35" s="224">
        <v>654</v>
      </c>
      <c r="J35" s="204">
        <f>IF(H35&lt;&gt;0,I35/F35,"")</f>
        <v>327</v>
      </c>
      <c r="K35" s="279">
        <f>IF(H35&lt;&gt;0,H35/I35,"")</f>
        <v>5</v>
      </c>
      <c r="L35" s="282">
        <f>72774.5+23673+5827+3625+7534.5+38620+936+11563+4979+496.5+3270</f>
        <v>173298.5</v>
      </c>
      <c r="M35" s="200">
        <f>8533+3652+916+601+1795+7393+145+2290+697+79+654</f>
        <v>26755</v>
      </c>
      <c r="N35" s="296">
        <f>IF(L35&lt;&gt;0,L35/M35,"")</f>
        <v>6.4772378994580455</v>
      </c>
      <c r="O35" s="404">
        <v>1</v>
      </c>
      <c r="P35" s="304"/>
    </row>
    <row r="36" spans="1:16" s="4" customFormat="1" ht="15">
      <c r="A36" s="98">
        <v>32</v>
      </c>
      <c r="B36" s="295" t="s">
        <v>99</v>
      </c>
      <c r="C36" s="194">
        <v>40529</v>
      </c>
      <c r="D36" s="328" t="s">
        <v>17</v>
      </c>
      <c r="E36" s="327">
        <v>134</v>
      </c>
      <c r="F36" s="327">
        <v>8</v>
      </c>
      <c r="G36" s="327">
        <v>5</v>
      </c>
      <c r="H36" s="281">
        <v>3246</v>
      </c>
      <c r="I36" s="224">
        <v>476</v>
      </c>
      <c r="J36" s="204">
        <f>IF(H36&lt;&gt;0,I36/F36,"")</f>
        <v>59.5</v>
      </c>
      <c r="K36" s="279">
        <f>IF(H36&lt;&gt;0,H36/I36,"")</f>
        <v>6.819327731092437</v>
      </c>
      <c r="L36" s="282">
        <f>415183+3929+3246</f>
        <v>422358</v>
      </c>
      <c r="M36" s="200">
        <f>52315+638+476</f>
        <v>53429</v>
      </c>
      <c r="N36" s="296">
        <f>IF(L36&lt;&gt;0,L36/M36,"")</f>
        <v>7.9050328473301015</v>
      </c>
      <c r="O36" s="404">
        <v>1</v>
      </c>
      <c r="P36" s="304"/>
    </row>
    <row r="37" spans="1:16" s="4" customFormat="1" ht="15">
      <c r="A37" s="98">
        <v>33</v>
      </c>
      <c r="B37" s="369" t="s">
        <v>110</v>
      </c>
      <c r="C37" s="330">
        <v>40550</v>
      </c>
      <c r="D37" s="329" t="s">
        <v>25</v>
      </c>
      <c r="E37" s="331">
        <v>2</v>
      </c>
      <c r="F37" s="331">
        <v>2</v>
      </c>
      <c r="G37" s="331">
        <v>2</v>
      </c>
      <c r="H37" s="332">
        <v>3109</v>
      </c>
      <c r="I37" s="333">
        <v>330</v>
      </c>
      <c r="J37" s="334">
        <f>(I37/F37)</f>
        <v>165</v>
      </c>
      <c r="K37" s="335">
        <f>H37/I37</f>
        <v>9.421212121212122</v>
      </c>
      <c r="L37" s="336">
        <f>8356+3109</f>
        <v>11465</v>
      </c>
      <c r="M37" s="337">
        <f>789+330</f>
        <v>1119</v>
      </c>
      <c r="N37" s="365">
        <f>L37/M37</f>
        <v>10.245755138516532</v>
      </c>
      <c r="O37" s="405"/>
      <c r="P37" s="304"/>
    </row>
    <row r="38" spans="1:16" s="4" customFormat="1" ht="15">
      <c r="A38" s="100">
        <v>34</v>
      </c>
      <c r="B38" s="295" t="s">
        <v>124</v>
      </c>
      <c r="C38" s="194">
        <v>40249</v>
      </c>
      <c r="D38" s="328" t="s">
        <v>17</v>
      </c>
      <c r="E38" s="327">
        <v>116</v>
      </c>
      <c r="F38" s="327">
        <v>1</v>
      </c>
      <c r="G38" s="327">
        <v>30</v>
      </c>
      <c r="H38" s="281">
        <v>3020</v>
      </c>
      <c r="I38" s="224">
        <v>604</v>
      </c>
      <c r="J38" s="204">
        <f>+I38/F38</f>
        <v>604</v>
      </c>
      <c r="K38" s="279">
        <f>+H38/I38</f>
        <v>5</v>
      </c>
      <c r="L38" s="282">
        <f>1547543.25+3020+3020</f>
        <v>1553583.25</v>
      </c>
      <c r="M38" s="200">
        <f>209803+604+604</f>
        <v>211011</v>
      </c>
      <c r="N38" s="296">
        <f>IF(L38&lt;&gt;0,L38/M38,"")</f>
        <v>7.36256996080773</v>
      </c>
      <c r="O38" s="404">
        <v>1</v>
      </c>
      <c r="P38" s="304"/>
    </row>
    <row r="39" spans="1:16" s="4" customFormat="1" ht="15">
      <c r="A39" s="98">
        <v>35</v>
      </c>
      <c r="B39" s="295" t="s">
        <v>125</v>
      </c>
      <c r="C39" s="194">
        <v>39647</v>
      </c>
      <c r="D39" s="328" t="s">
        <v>17</v>
      </c>
      <c r="E39" s="327">
        <v>108</v>
      </c>
      <c r="F39" s="327">
        <v>1</v>
      </c>
      <c r="G39" s="327">
        <v>20</v>
      </c>
      <c r="H39" s="281">
        <v>3020</v>
      </c>
      <c r="I39" s="224">
        <v>604</v>
      </c>
      <c r="J39" s="204">
        <f>+I39/F39</f>
        <v>604</v>
      </c>
      <c r="K39" s="279">
        <f>+H39/I39</f>
        <v>5</v>
      </c>
      <c r="L39" s="282">
        <f>4275145.5+3020</f>
        <v>4278165.5</v>
      </c>
      <c r="M39" s="200">
        <f>437002+604</f>
        <v>437606</v>
      </c>
      <c r="N39" s="296">
        <f>IF(L39&lt;&gt;0,L39/M39,"")</f>
        <v>9.776295343299681</v>
      </c>
      <c r="O39" s="404"/>
      <c r="P39" s="304">
        <v>1</v>
      </c>
    </row>
    <row r="40" spans="1:16" s="4" customFormat="1" ht="15">
      <c r="A40" s="98">
        <v>36</v>
      </c>
      <c r="B40" s="295" t="s">
        <v>126</v>
      </c>
      <c r="C40" s="194">
        <v>37193</v>
      </c>
      <c r="D40" s="328" t="s">
        <v>28</v>
      </c>
      <c r="E40" s="327">
        <v>21</v>
      </c>
      <c r="F40" s="327">
        <v>1</v>
      </c>
      <c r="G40" s="327">
        <v>11</v>
      </c>
      <c r="H40" s="278">
        <v>2506</v>
      </c>
      <c r="I40" s="223">
        <v>283</v>
      </c>
      <c r="J40" s="204">
        <f>+I40/F40</f>
        <v>283</v>
      </c>
      <c r="K40" s="279">
        <f>+H40/I40</f>
        <v>8.855123674911662</v>
      </c>
      <c r="L40" s="280">
        <v>297963</v>
      </c>
      <c r="M40" s="203">
        <v>26834</v>
      </c>
      <c r="N40" s="296">
        <f>+L40/M40</f>
        <v>11.103935305955131</v>
      </c>
      <c r="O40" s="404"/>
      <c r="P40" s="304"/>
    </row>
    <row r="41" spans="1:16" s="4" customFormat="1" ht="15">
      <c r="A41" s="98">
        <v>37</v>
      </c>
      <c r="B41" s="295" t="s">
        <v>95</v>
      </c>
      <c r="C41" s="194">
        <v>40543</v>
      </c>
      <c r="D41" s="328" t="s">
        <v>17</v>
      </c>
      <c r="E41" s="327">
        <v>20</v>
      </c>
      <c r="F41" s="327">
        <v>5</v>
      </c>
      <c r="G41" s="327">
        <v>3</v>
      </c>
      <c r="H41" s="281">
        <v>2473.5</v>
      </c>
      <c r="I41" s="224">
        <v>271</v>
      </c>
      <c r="J41" s="204">
        <f>IF(H41&lt;&gt;0,I41/F41,"")</f>
        <v>54.2</v>
      </c>
      <c r="K41" s="279">
        <f>IF(H41&lt;&gt;0,H41/I41,"")</f>
        <v>9.12730627306273</v>
      </c>
      <c r="L41" s="282">
        <f>66843.5+17122+2473.5</f>
        <v>86439</v>
      </c>
      <c r="M41" s="200">
        <f>6779+1684+271</f>
        <v>8734</v>
      </c>
      <c r="N41" s="296">
        <f>IF(L41&lt;&gt;0,L41/M41,"")</f>
        <v>9.896839935882758</v>
      </c>
      <c r="O41" s="404"/>
      <c r="P41" s="304"/>
    </row>
    <row r="42" spans="1:16" s="4" customFormat="1" ht="15">
      <c r="A42" s="98">
        <v>38</v>
      </c>
      <c r="B42" s="295" t="s">
        <v>35</v>
      </c>
      <c r="C42" s="194">
        <v>40508</v>
      </c>
      <c r="D42" s="328" t="s">
        <v>24</v>
      </c>
      <c r="E42" s="327">
        <v>72</v>
      </c>
      <c r="F42" s="327">
        <v>2</v>
      </c>
      <c r="G42" s="327">
        <v>8</v>
      </c>
      <c r="H42" s="272">
        <v>2043</v>
      </c>
      <c r="I42" s="219">
        <v>282</v>
      </c>
      <c r="J42" s="197">
        <f>I42/F42</f>
        <v>141</v>
      </c>
      <c r="K42" s="273">
        <f>H42/I42</f>
        <v>7.24468085106383</v>
      </c>
      <c r="L42" s="274">
        <v>1211516</v>
      </c>
      <c r="M42" s="196">
        <v>105388</v>
      </c>
      <c r="N42" s="292">
        <f>+L42/M42</f>
        <v>11.495768019129313</v>
      </c>
      <c r="O42" s="404"/>
      <c r="P42" s="304"/>
    </row>
    <row r="43" spans="1:16" s="4" customFormat="1" ht="15">
      <c r="A43" s="100">
        <v>39</v>
      </c>
      <c r="B43" s="367" t="s">
        <v>127</v>
      </c>
      <c r="C43" s="341">
        <v>40480</v>
      </c>
      <c r="D43" s="340" t="s">
        <v>119</v>
      </c>
      <c r="E43" s="342">
        <v>15</v>
      </c>
      <c r="F43" s="342">
        <v>1</v>
      </c>
      <c r="G43" s="342">
        <v>7</v>
      </c>
      <c r="H43" s="343">
        <v>1779</v>
      </c>
      <c r="I43" s="344">
        <v>356</v>
      </c>
      <c r="J43" s="345">
        <v>356</v>
      </c>
      <c r="K43" s="346">
        <v>4.997191011235955</v>
      </c>
      <c r="L43" s="347">
        <v>57513</v>
      </c>
      <c r="M43" s="345">
        <v>6199</v>
      </c>
      <c r="N43" s="368">
        <v>9.277786739796742</v>
      </c>
      <c r="O43" s="404"/>
      <c r="P43" s="304"/>
    </row>
    <row r="44" spans="1:16" s="4" customFormat="1" ht="15">
      <c r="A44" s="98">
        <v>40</v>
      </c>
      <c r="B44" s="364" t="s">
        <v>54</v>
      </c>
      <c r="C44" s="330">
        <v>40494</v>
      </c>
      <c r="D44" s="329" t="s">
        <v>25</v>
      </c>
      <c r="E44" s="331">
        <v>80</v>
      </c>
      <c r="F44" s="331">
        <v>2</v>
      </c>
      <c r="G44" s="331">
        <v>10</v>
      </c>
      <c r="H44" s="332">
        <v>1570.5</v>
      </c>
      <c r="I44" s="333">
        <v>470</v>
      </c>
      <c r="J44" s="334">
        <f>(I44/F44)</f>
        <v>235</v>
      </c>
      <c r="K44" s="335">
        <f>H44/I44</f>
        <v>3.3414893617021275</v>
      </c>
      <c r="L44" s="336">
        <f>400584.5+260220.5+91588.5+26738.5+6598.5+10112.5+8832+11751.5+1782+1570.5</f>
        <v>819779</v>
      </c>
      <c r="M44" s="337">
        <f>34427+24318+9929+5066+1310+1866+1322+2055+445+470</f>
        <v>81208</v>
      </c>
      <c r="N44" s="365">
        <f>L44/M44</f>
        <v>10.094805930450201</v>
      </c>
      <c r="O44" s="405"/>
      <c r="P44" s="304"/>
    </row>
    <row r="45" spans="1:16" s="4" customFormat="1" ht="15">
      <c r="A45" s="98">
        <v>41</v>
      </c>
      <c r="B45" s="364" t="s">
        <v>21</v>
      </c>
      <c r="C45" s="330">
        <v>40480</v>
      </c>
      <c r="D45" s="329" t="s">
        <v>25</v>
      </c>
      <c r="E45" s="331">
        <v>100</v>
      </c>
      <c r="F45" s="331">
        <v>1</v>
      </c>
      <c r="G45" s="331">
        <v>12</v>
      </c>
      <c r="H45" s="332">
        <v>1510</v>
      </c>
      <c r="I45" s="333">
        <v>377</v>
      </c>
      <c r="J45" s="334">
        <f>(I45/F45)</f>
        <v>377</v>
      </c>
      <c r="K45" s="335">
        <f>H45/I45</f>
        <v>4.005305039787799</v>
      </c>
      <c r="L45" s="336">
        <f>1221166+429124.5+378100+240009.5+108018.5+26890.5+15319+16968+7345.5+4160+1262+1510</f>
        <v>2449873.5</v>
      </c>
      <c r="M45" s="337">
        <f>114702+40612+35598+23284+12543+4168+3055+2661+1161+850+210+377</f>
        <v>239221</v>
      </c>
      <c r="N45" s="365">
        <f>L45/M45</f>
        <v>10.24104698166131</v>
      </c>
      <c r="O45" s="405"/>
      <c r="P45" s="304"/>
    </row>
    <row r="46" spans="1:16" s="4" customFormat="1" ht="15">
      <c r="A46" s="98">
        <v>42</v>
      </c>
      <c r="B46" s="361" t="s">
        <v>128</v>
      </c>
      <c r="C46" s="198">
        <v>40487</v>
      </c>
      <c r="D46" s="325" t="s">
        <v>27</v>
      </c>
      <c r="E46" s="326">
        <v>162</v>
      </c>
      <c r="F46" s="326">
        <v>2</v>
      </c>
      <c r="G46" s="326">
        <v>10</v>
      </c>
      <c r="H46" s="269">
        <v>1340</v>
      </c>
      <c r="I46" s="221">
        <v>198</v>
      </c>
      <c r="J46" s="204">
        <f>IF(H46&lt;&gt;0,I46/F46,"")</f>
        <v>99</v>
      </c>
      <c r="K46" s="279">
        <f>IF(H46&lt;&gt;0,H46/I46,"")</f>
        <v>6.767676767676767</v>
      </c>
      <c r="L46" s="271">
        <f>525983.5+915356-20+520720.5+229861+37809.5+41066.5+9062.5+5020+8527+1340</f>
        <v>2294726.5</v>
      </c>
      <c r="M46" s="200">
        <f>56225+93965-2+58841+28041+5233+5910+1474+785+1182+198</f>
        <v>251852</v>
      </c>
      <c r="N46" s="296">
        <f>IF(L46&lt;&gt;0,L46/M46,"")</f>
        <v>9.111408684465479</v>
      </c>
      <c r="O46" s="404"/>
      <c r="P46" s="304"/>
    </row>
    <row r="47" spans="1:16" s="4" customFormat="1" ht="15">
      <c r="A47" s="98">
        <v>43</v>
      </c>
      <c r="B47" s="364" t="s">
        <v>129</v>
      </c>
      <c r="C47" s="330">
        <v>40389</v>
      </c>
      <c r="D47" s="329" t="s">
        <v>25</v>
      </c>
      <c r="E47" s="331">
        <v>19</v>
      </c>
      <c r="F47" s="331">
        <v>1</v>
      </c>
      <c r="G47" s="331">
        <v>13</v>
      </c>
      <c r="H47" s="332">
        <v>1307</v>
      </c>
      <c r="I47" s="333">
        <v>327</v>
      </c>
      <c r="J47" s="334">
        <f>(I47/F47)</f>
        <v>327</v>
      </c>
      <c r="K47" s="335">
        <f>H47/I47</f>
        <v>3.996941896024465</v>
      </c>
      <c r="L47" s="336">
        <f>69032+15425.5+9802+4755.5+7049.5+3610.5+8536+6024.5+2322+245+405.5+1307</f>
        <v>128515</v>
      </c>
      <c r="M47" s="337">
        <f>5509+1589+1417+704+842+602+1038+829+323+37+46+327</f>
        <v>13263</v>
      </c>
      <c r="N47" s="365">
        <f>L47/M47</f>
        <v>9.68973836990123</v>
      </c>
      <c r="O47" s="405"/>
      <c r="P47" s="304"/>
    </row>
    <row r="48" spans="1:16" s="4" customFormat="1" ht="15">
      <c r="A48" s="100">
        <v>44</v>
      </c>
      <c r="B48" s="362" t="s">
        <v>37</v>
      </c>
      <c r="C48" s="316">
        <v>40508</v>
      </c>
      <c r="D48" s="317" t="s">
        <v>23</v>
      </c>
      <c r="E48" s="318">
        <v>11</v>
      </c>
      <c r="F48" s="318">
        <v>1</v>
      </c>
      <c r="G48" s="318">
        <v>9</v>
      </c>
      <c r="H48" s="319">
        <v>1240</v>
      </c>
      <c r="I48" s="320">
        <v>164</v>
      </c>
      <c r="J48" s="321">
        <f>I48/F48</f>
        <v>164</v>
      </c>
      <c r="K48" s="322">
        <f>+H48/I48</f>
        <v>7.560975609756097</v>
      </c>
      <c r="L48" s="323">
        <v>108917</v>
      </c>
      <c r="M48" s="324">
        <v>9002</v>
      </c>
      <c r="N48" s="363">
        <f>+L48/M48</f>
        <v>12.09920017773828</v>
      </c>
      <c r="O48" s="403"/>
      <c r="P48" s="304"/>
    </row>
    <row r="49" spans="1:16" s="4" customFormat="1" ht="15">
      <c r="A49" s="98">
        <v>45</v>
      </c>
      <c r="B49" s="362" t="s">
        <v>103</v>
      </c>
      <c r="C49" s="316">
        <v>40424</v>
      </c>
      <c r="D49" s="317" t="s">
        <v>23</v>
      </c>
      <c r="E49" s="318">
        <v>107</v>
      </c>
      <c r="F49" s="318">
        <v>1</v>
      </c>
      <c r="G49" s="318">
        <v>20</v>
      </c>
      <c r="H49" s="319">
        <v>1204</v>
      </c>
      <c r="I49" s="320">
        <v>350</v>
      </c>
      <c r="J49" s="321">
        <f>I49/F49</f>
        <v>350</v>
      </c>
      <c r="K49" s="322">
        <f>+H49/I49</f>
        <v>3.44</v>
      </c>
      <c r="L49" s="323">
        <v>2167551</v>
      </c>
      <c r="M49" s="324">
        <v>196093</v>
      </c>
      <c r="N49" s="363">
        <f>+L49/M49</f>
        <v>11.053688810921349</v>
      </c>
      <c r="O49" s="403"/>
      <c r="P49" s="304"/>
    </row>
    <row r="50" spans="1:16" s="4" customFormat="1" ht="15">
      <c r="A50" s="98">
        <v>46</v>
      </c>
      <c r="B50" s="295" t="s">
        <v>130</v>
      </c>
      <c r="C50" s="194">
        <v>40501</v>
      </c>
      <c r="D50" s="328" t="s">
        <v>26</v>
      </c>
      <c r="E50" s="327">
        <v>121</v>
      </c>
      <c r="F50" s="327">
        <v>3</v>
      </c>
      <c r="G50" s="327">
        <v>9</v>
      </c>
      <c r="H50" s="286">
        <v>1204</v>
      </c>
      <c r="I50" s="222">
        <v>296</v>
      </c>
      <c r="J50" s="210">
        <f>I50/F50</f>
        <v>98.66666666666667</v>
      </c>
      <c r="K50" s="287">
        <f>H50/I50</f>
        <v>4.0675675675675675</v>
      </c>
      <c r="L50" s="288">
        <v>1592338</v>
      </c>
      <c r="M50" s="209">
        <v>160701</v>
      </c>
      <c r="N50" s="299">
        <f>+L50/M50</f>
        <v>9.908700008089557</v>
      </c>
      <c r="O50" s="216">
        <v>1</v>
      </c>
      <c r="P50" s="304"/>
    </row>
    <row r="51" spans="1:16" s="4" customFormat="1" ht="15">
      <c r="A51" s="98">
        <v>47</v>
      </c>
      <c r="B51" s="364" t="s">
        <v>131</v>
      </c>
      <c r="C51" s="330">
        <v>40228</v>
      </c>
      <c r="D51" s="329" t="s">
        <v>25</v>
      </c>
      <c r="E51" s="331">
        <v>17</v>
      </c>
      <c r="F51" s="331">
        <v>1</v>
      </c>
      <c r="G51" s="331">
        <v>33</v>
      </c>
      <c r="H51" s="332">
        <v>1188</v>
      </c>
      <c r="I51" s="333">
        <v>297</v>
      </c>
      <c r="J51" s="334">
        <f>(I51/F51)</f>
        <v>297</v>
      </c>
      <c r="K51" s="335">
        <f>H51/I51</f>
        <v>4</v>
      </c>
      <c r="L51" s="336">
        <f>289107+1009.5+669+336+323+699+1238+121+1782+1782+1188</f>
        <v>298254.5</v>
      </c>
      <c r="M51" s="337">
        <f>30560+127+85+56+54+123+217+22+445+445+297</f>
        <v>32431</v>
      </c>
      <c r="N51" s="365">
        <f>L51/M51</f>
        <v>9.196586599241467</v>
      </c>
      <c r="O51" s="405"/>
      <c r="P51" s="304"/>
    </row>
    <row r="52" spans="1:16" s="4" customFormat="1" ht="15">
      <c r="A52" s="98">
        <v>48</v>
      </c>
      <c r="B52" s="295" t="s">
        <v>132</v>
      </c>
      <c r="C52" s="194">
        <v>40417</v>
      </c>
      <c r="D52" s="328" t="s">
        <v>24</v>
      </c>
      <c r="E52" s="327">
        <v>119</v>
      </c>
      <c r="F52" s="327">
        <v>1</v>
      </c>
      <c r="G52" s="327">
        <v>15</v>
      </c>
      <c r="H52" s="272">
        <v>941</v>
      </c>
      <c r="I52" s="219">
        <v>843</v>
      </c>
      <c r="J52" s="197">
        <f>I52/F52</f>
        <v>843</v>
      </c>
      <c r="K52" s="273">
        <f>H52/I52</f>
        <v>1.1162514827995256</v>
      </c>
      <c r="L52" s="274">
        <v>859853</v>
      </c>
      <c r="M52" s="196">
        <v>97516</v>
      </c>
      <c r="N52" s="292">
        <f>+L52/M52</f>
        <v>8.817558144304524</v>
      </c>
      <c r="O52" s="404"/>
      <c r="P52" s="304"/>
    </row>
    <row r="53" spans="1:16" s="4" customFormat="1" ht="15">
      <c r="A53" s="100">
        <v>49</v>
      </c>
      <c r="B53" s="370" t="s">
        <v>133</v>
      </c>
      <c r="C53" s="348">
        <v>40396</v>
      </c>
      <c r="D53" s="329" t="s">
        <v>25</v>
      </c>
      <c r="E53" s="349">
        <v>4</v>
      </c>
      <c r="F53" s="349">
        <v>1</v>
      </c>
      <c r="G53" s="349">
        <v>19</v>
      </c>
      <c r="H53" s="332">
        <v>768</v>
      </c>
      <c r="I53" s="333">
        <v>83</v>
      </c>
      <c r="J53" s="334">
        <f>(I53/F53)</f>
        <v>83</v>
      </c>
      <c r="K53" s="335">
        <f>H53/I53</f>
        <v>9.25301204819277</v>
      </c>
      <c r="L53" s="336">
        <f>14959+9646+7725+4386+3960+14571+6049+4818+2605+3811+4797+6372+2996+165+950.5+1598.5+276+381+768</f>
        <v>90834</v>
      </c>
      <c r="M53" s="337">
        <f>1646+1123+1125+547+522+2218+896+595+438+656+743+1047+452+23+148+219+42+85+83</f>
        <v>12608</v>
      </c>
      <c r="N53" s="365">
        <f>L53/M53</f>
        <v>7.204473350253807</v>
      </c>
      <c r="O53" s="406"/>
      <c r="P53" s="304"/>
    </row>
    <row r="54" spans="1:16" s="4" customFormat="1" ht="15">
      <c r="A54" s="98">
        <v>50</v>
      </c>
      <c r="B54" s="364" t="s">
        <v>82</v>
      </c>
      <c r="C54" s="330">
        <v>40459</v>
      </c>
      <c r="D54" s="329" t="s">
        <v>25</v>
      </c>
      <c r="E54" s="331">
        <v>142</v>
      </c>
      <c r="F54" s="331">
        <v>1</v>
      </c>
      <c r="G54" s="331">
        <v>14</v>
      </c>
      <c r="H54" s="332">
        <v>594</v>
      </c>
      <c r="I54" s="333">
        <v>113</v>
      </c>
      <c r="J54" s="334">
        <f>(I54/F54)</f>
        <v>113</v>
      </c>
      <c r="K54" s="335">
        <f>H54/I54</f>
        <v>5.256637168141593</v>
      </c>
      <c r="L54" s="336">
        <f>569713+434829.5+295345.5+223420+26108+12415.5+5998+1904+1368+799+648+306+1782+594</f>
        <v>1575230.5</v>
      </c>
      <c r="M54" s="337">
        <f>61050+47827+36467+29781+4601+2405+1000+284+287+123+103+51+445+113</f>
        <v>184537</v>
      </c>
      <c r="N54" s="365">
        <f>L54/M54</f>
        <v>8.53612283715461</v>
      </c>
      <c r="O54" s="405">
        <v>1</v>
      </c>
      <c r="P54" s="304">
        <v>1</v>
      </c>
    </row>
    <row r="55" spans="1:16" s="4" customFormat="1" ht="15">
      <c r="A55" s="98">
        <v>51</v>
      </c>
      <c r="B55" s="362" t="s">
        <v>31</v>
      </c>
      <c r="C55" s="316">
        <v>40466</v>
      </c>
      <c r="D55" s="317" t="s">
        <v>23</v>
      </c>
      <c r="E55" s="318">
        <v>119</v>
      </c>
      <c r="F55" s="318">
        <v>1</v>
      </c>
      <c r="G55" s="318">
        <v>14</v>
      </c>
      <c r="H55" s="319">
        <v>558</v>
      </c>
      <c r="I55" s="320">
        <v>93</v>
      </c>
      <c r="J55" s="321">
        <f>I55/F55</f>
        <v>93</v>
      </c>
      <c r="K55" s="322">
        <f>+H55/I55</f>
        <v>6</v>
      </c>
      <c r="L55" s="323">
        <v>2011379</v>
      </c>
      <c r="M55" s="324">
        <v>174565</v>
      </c>
      <c r="N55" s="363">
        <f>+L55/M55</f>
        <v>11.522235270529603</v>
      </c>
      <c r="O55" s="403"/>
      <c r="P55" s="304"/>
    </row>
    <row r="56" spans="1:16" s="4" customFormat="1" ht="15">
      <c r="A56" s="98">
        <v>52</v>
      </c>
      <c r="B56" s="295" t="s">
        <v>65</v>
      </c>
      <c r="C56" s="194">
        <v>40452</v>
      </c>
      <c r="D56" s="328" t="s">
        <v>17</v>
      </c>
      <c r="E56" s="327">
        <v>148</v>
      </c>
      <c r="F56" s="327">
        <v>1</v>
      </c>
      <c r="G56" s="327">
        <v>16</v>
      </c>
      <c r="H56" s="281">
        <v>390</v>
      </c>
      <c r="I56" s="224">
        <v>65</v>
      </c>
      <c r="J56" s="204">
        <f>+I56/F56</f>
        <v>65</v>
      </c>
      <c r="K56" s="279">
        <f>+H56/I56</f>
        <v>6</v>
      </c>
      <c r="L56" s="282">
        <f>896117+528+390</f>
        <v>897035</v>
      </c>
      <c r="M56" s="213">
        <f>104061+88+65</f>
        <v>104214</v>
      </c>
      <c r="N56" s="296">
        <f>IF(L56&lt;&gt;0,L56/M56,"")</f>
        <v>8.607624695338439</v>
      </c>
      <c r="O56" s="404">
        <v>1</v>
      </c>
      <c r="P56" s="304"/>
    </row>
    <row r="57" spans="1:16" s="4" customFormat="1" ht="15">
      <c r="A57" s="98">
        <v>53</v>
      </c>
      <c r="B57" s="295" t="s">
        <v>12</v>
      </c>
      <c r="C57" s="194">
        <v>40466</v>
      </c>
      <c r="D57" s="328" t="s">
        <v>17</v>
      </c>
      <c r="E57" s="327">
        <v>10</v>
      </c>
      <c r="F57" s="327">
        <v>1</v>
      </c>
      <c r="G57" s="327">
        <v>8</v>
      </c>
      <c r="H57" s="281">
        <v>251</v>
      </c>
      <c r="I57" s="224">
        <v>68</v>
      </c>
      <c r="J57" s="204">
        <f>IF(H57&lt;&gt;0,I57/F57,"")</f>
        <v>68</v>
      </c>
      <c r="K57" s="279">
        <f>IF(H57&lt;&gt;0,H57/I57,"")</f>
        <v>3.6911764705882355</v>
      </c>
      <c r="L57" s="282">
        <f>7088+2486+815+33+201+698+325+251</f>
        <v>11897</v>
      </c>
      <c r="M57" s="213">
        <f>735+318+126+5+29+108+44+68</f>
        <v>1433</v>
      </c>
      <c r="N57" s="296">
        <f>IF(L57&lt;&gt;0,L57/M57,"")</f>
        <v>8.302163293789253</v>
      </c>
      <c r="O57" s="404"/>
      <c r="P57" s="304"/>
    </row>
    <row r="58" spans="1:16" s="4" customFormat="1" ht="15.75" thickBot="1">
      <c r="A58" s="100">
        <v>54</v>
      </c>
      <c r="B58" s="371" t="s">
        <v>100</v>
      </c>
      <c r="C58" s="372">
        <v>40347</v>
      </c>
      <c r="D58" s="373" t="s">
        <v>25</v>
      </c>
      <c r="E58" s="374">
        <v>66</v>
      </c>
      <c r="F58" s="374">
        <v>1</v>
      </c>
      <c r="G58" s="374">
        <v>28</v>
      </c>
      <c r="H58" s="375">
        <v>60</v>
      </c>
      <c r="I58" s="376">
        <v>20</v>
      </c>
      <c r="J58" s="377">
        <f>(I58/F58)</f>
        <v>20</v>
      </c>
      <c r="K58" s="378">
        <f>H58/I58</f>
        <v>3</v>
      </c>
      <c r="L58" s="379">
        <f>478213+7083+3309.5+6055+4900+8378+4378.5+2349+3103+2074+7679.5+6108+2991.5+2180+2234+642+2775.5+1757+1151+3382+60</f>
        <v>550803.5</v>
      </c>
      <c r="M58" s="380">
        <f>55327+1259+553+1133+756+1285+650+408+682+334+1688+1394+539+483+475+201+677+260+202+852+20</f>
        <v>69178</v>
      </c>
      <c r="N58" s="381">
        <f>L58/M58</f>
        <v>7.962119459943913</v>
      </c>
      <c r="O58" s="405"/>
      <c r="P58" s="304"/>
    </row>
    <row r="59" spans="1:16" s="4" customFormat="1" ht="15">
      <c r="A59" s="468"/>
      <c r="B59" s="469"/>
      <c r="C59" s="6"/>
      <c r="D59" s="7"/>
      <c r="E59" s="21"/>
      <c r="F59" s="22"/>
      <c r="G59" s="21"/>
      <c r="H59" s="9"/>
      <c r="I59" s="10"/>
      <c r="J59" s="13"/>
      <c r="K59" s="14"/>
      <c r="L59" s="15"/>
      <c r="M59" s="16"/>
      <c r="N59" s="61"/>
      <c r="O59" s="66"/>
      <c r="P59" s="66"/>
    </row>
    <row r="60" spans="1:16" s="4" customFormat="1" ht="13.5">
      <c r="A60" s="78"/>
      <c r="B60" s="24"/>
      <c r="C60" s="25"/>
      <c r="D60" s="26"/>
      <c r="E60" s="27"/>
      <c r="F60" s="27"/>
      <c r="G60" s="27"/>
      <c r="H60" s="28"/>
      <c r="I60" s="29"/>
      <c r="J60" s="30"/>
      <c r="K60" s="31"/>
      <c r="L60" s="32"/>
      <c r="M60" s="33"/>
      <c r="N60" s="31"/>
      <c r="O60" s="66"/>
      <c r="P60" s="66"/>
    </row>
    <row r="61" spans="1:52" s="126" customFormat="1" ht="21.75" customHeight="1">
      <c r="A61" s="465" t="s">
        <v>57</v>
      </c>
      <c r="B61" s="466"/>
      <c r="C61" s="466"/>
      <c r="D61" s="466"/>
      <c r="E61" s="466"/>
      <c r="F61" s="466"/>
      <c r="G61" s="466"/>
      <c r="H61" s="466"/>
      <c r="I61" s="466"/>
      <c r="J61" s="466"/>
      <c r="K61" s="466"/>
      <c r="L61" s="466"/>
      <c r="M61" s="466"/>
      <c r="N61" s="466"/>
      <c r="O61" s="174"/>
      <c r="P61" s="301"/>
      <c r="Q61" s="131"/>
      <c r="R61" s="131"/>
      <c r="S61" s="131"/>
      <c r="T61" s="131"/>
      <c r="U61" s="131"/>
      <c r="V61" s="131"/>
      <c r="W61" s="149"/>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46"/>
    </row>
    <row r="62" spans="1:256" s="126" customFormat="1" ht="18" customHeight="1">
      <c r="A62" s="465" t="s">
        <v>29</v>
      </c>
      <c r="B62" s="466"/>
      <c r="C62" s="466"/>
      <c r="D62" s="466"/>
      <c r="E62" s="466"/>
      <c r="F62" s="466"/>
      <c r="G62" s="466"/>
      <c r="H62" s="466"/>
      <c r="I62" s="466"/>
      <c r="J62" s="466"/>
      <c r="K62" s="466"/>
      <c r="L62" s="466"/>
      <c r="M62" s="466"/>
      <c r="N62" s="466"/>
      <c r="O62" s="174"/>
      <c r="P62" s="301"/>
      <c r="Q62" s="131"/>
      <c r="R62" s="131"/>
      <c r="S62" s="131"/>
      <c r="T62" s="131"/>
      <c r="U62" s="131"/>
      <c r="V62" s="131"/>
      <c r="W62" s="151"/>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1"/>
      <c r="AT62" s="152"/>
      <c r="AU62" s="152"/>
      <c r="AV62" s="152"/>
      <c r="AW62" s="152"/>
      <c r="AX62" s="152"/>
      <c r="AY62" s="152"/>
      <c r="AZ62" s="147"/>
      <c r="BA62" s="128"/>
      <c r="BB62" s="128"/>
      <c r="BC62" s="128"/>
      <c r="BD62" s="128"/>
      <c r="BE62" s="128"/>
      <c r="BF62" s="128"/>
      <c r="BG62" s="128"/>
      <c r="BH62" s="128"/>
      <c r="BI62" s="128"/>
      <c r="BJ62" s="128"/>
      <c r="BK62" s="128"/>
      <c r="BL62" s="128"/>
      <c r="BM62" s="128"/>
      <c r="BN62" s="128"/>
      <c r="BO62" s="127"/>
      <c r="BP62" s="128"/>
      <c r="BQ62" s="128"/>
      <c r="BR62" s="128"/>
      <c r="BS62" s="128"/>
      <c r="BT62" s="128"/>
      <c r="BU62" s="128"/>
      <c r="BV62" s="128"/>
      <c r="BW62" s="128"/>
      <c r="BX62" s="128"/>
      <c r="BY62" s="128"/>
      <c r="BZ62" s="128"/>
      <c r="CA62" s="128"/>
      <c r="CB62" s="128"/>
      <c r="CC62" s="128"/>
      <c r="CD62" s="128"/>
      <c r="CE62" s="128"/>
      <c r="CF62" s="128"/>
      <c r="CG62" s="128"/>
      <c r="CH62" s="128"/>
      <c r="CI62" s="128"/>
      <c r="CJ62" s="128"/>
      <c r="CK62" s="127"/>
      <c r="CL62" s="128"/>
      <c r="CM62" s="128"/>
      <c r="CN62" s="128"/>
      <c r="CO62" s="128"/>
      <c r="CP62" s="128"/>
      <c r="CQ62" s="128"/>
      <c r="CR62" s="128"/>
      <c r="CS62" s="128"/>
      <c r="CT62" s="128"/>
      <c r="CU62" s="128"/>
      <c r="CV62" s="128"/>
      <c r="CW62" s="128"/>
      <c r="CX62" s="128"/>
      <c r="CY62" s="128"/>
      <c r="CZ62" s="128"/>
      <c r="DA62" s="128"/>
      <c r="DB62" s="128"/>
      <c r="DC62" s="128"/>
      <c r="DD62" s="128"/>
      <c r="DE62" s="128"/>
      <c r="DF62" s="128"/>
      <c r="DG62" s="127"/>
      <c r="DH62" s="128"/>
      <c r="DI62" s="128"/>
      <c r="DJ62" s="128"/>
      <c r="DK62" s="128"/>
      <c r="DL62" s="128"/>
      <c r="DM62" s="128"/>
      <c r="DN62" s="128"/>
      <c r="DO62" s="128"/>
      <c r="DP62" s="128"/>
      <c r="DQ62" s="128"/>
      <c r="DR62" s="128"/>
      <c r="DS62" s="128"/>
      <c r="DT62" s="128"/>
      <c r="DU62" s="128"/>
      <c r="DV62" s="128"/>
      <c r="DW62" s="128"/>
      <c r="DX62" s="128"/>
      <c r="DY62" s="128"/>
      <c r="DZ62" s="128"/>
      <c r="EA62" s="128"/>
      <c r="EB62" s="128"/>
      <c r="EC62" s="127"/>
      <c r="ED62" s="128"/>
      <c r="EE62" s="128"/>
      <c r="EF62" s="128"/>
      <c r="EG62" s="128"/>
      <c r="EH62" s="128"/>
      <c r="EI62" s="128"/>
      <c r="EJ62" s="128"/>
      <c r="EK62" s="128"/>
      <c r="EL62" s="128"/>
      <c r="EM62" s="128"/>
      <c r="EN62" s="128"/>
      <c r="EO62" s="128"/>
      <c r="EP62" s="128"/>
      <c r="EQ62" s="128"/>
      <c r="ER62" s="128"/>
      <c r="ES62" s="128"/>
      <c r="ET62" s="128"/>
      <c r="EU62" s="128"/>
      <c r="EV62" s="128"/>
      <c r="EW62" s="128"/>
      <c r="EX62" s="128"/>
      <c r="EY62" s="127"/>
      <c r="EZ62" s="128"/>
      <c r="FA62" s="128"/>
      <c r="FB62" s="128"/>
      <c r="FC62" s="128"/>
      <c r="FD62" s="128"/>
      <c r="FE62" s="128"/>
      <c r="FF62" s="128"/>
      <c r="FG62" s="128"/>
      <c r="FH62" s="128"/>
      <c r="FI62" s="128"/>
      <c r="FJ62" s="128"/>
      <c r="FK62" s="128"/>
      <c r="FL62" s="128"/>
      <c r="FM62" s="128"/>
      <c r="FN62" s="128"/>
      <c r="FO62" s="128"/>
      <c r="FP62" s="128"/>
      <c r="FQ62" s="128"/>
      <c r="FR62" s="128"/>
      <c r="FS62" s="128"/>
      <c r="FT62" s="128"/>
      <c r="FU62" s="127"/>
      <c r="FV62" s="128"/>
      <c r="FW62" s="128"/>
      <c r="FX62" s="128"/>
      <c r="FY62" s="128"/>
      <c r="FZ62" s="128"/>
      <c r="GA62" s="128"/>
      <c r="GB62" s="128"/>
      <c r="GC62" s="128"/>
      <c r="GD62" s="128"/>
      <c r="GE62" s="128"/>
      <c r="GF62" s="128"/>
      <c r="GG62" s="128"/>
      <c r="GH62" s="128"/>
      <c r="GI62" s="128"/>
      <c r="GJ62" s="128"/>
      <c r="GK62" s="128"/>
      <c r="GL62" s="128"/>
      <c r="GM62" s="128"/>
      <c r="GN62" s="128"/>
      <c r="GO62" s="128"/>
      <c r="GP62" s="128"/>
      <c r="GQ62" s="127"/>
      <c r="GR62" s="128"/>
      <c r="GS62" s="128"/>
      <c r="GT62" s="128"/>
      <c r="GU62" s="128"/>
      <c r="GV62" s="128"/>
      <c r="GW62" s="128"/>
      <c r="GX62" s="128"/>
      <c r="GY62" s="128"/>
      <c r="GZ62" s="128"/>
      <c r="HA62" s="128"/>
      <c r="HB62" s="128"/>
      <c r="HC62" s="128"/>
      <c r="HD62" s="128"/>
      <c r="HE62" s="128"/>
      <c r="HF62" s="128"/>
      <c r="HG62" s="128"/>
      <c r="HH62" s="128"/>
      <c r="HI62" s="128"/>
      <c r="HJ62" s="128"/>
      <c r="HK62" s="128"/>
      <c r="HL62" s="128"/>
      <c r="HM62" s="127"/>
      <c r="HN62" s="128"/>
      <c r="HO62" s="128"/>
      <c r="HP62" s="128"/>
      <c r="HQ62" s="128"/>
      <c r="HR62" s="128"/>
      <c r="HS62" s="128"/>
      <c r="HT62" s="128"/>
      <c r="HU62" s="128"/>
      <c r="HV62" s="128"/>
      <c r="HW62" s="128"/>
      <c r="HX62" s="128"/>
      <c r="HY62" s="128"/>
      <c r="HZ62" s="128"/>
      <c r="IA62" s="128"/>
      <c r="IB62" s="128"/>
      <c r="IC62" s="128"/>
      <c r="ID62" s="128"/>
      <c r="IE62" s="128"/>
      <c r="IF62" s="128"/>
      <c r="IG62" s="128"/>
      <c r="IH62" s="128"/>
      <c r="II62" s="127"/>
      <c r="IJ62" s="128"/>
      <c r="IK62" s="128"/>
      <c r="IL62" s="128"/>
      <c r="IM62" s="128"/>
      <c r="IN62" s="128"/>
      <c r="IO62" s="128"/>
      <c r="IP62" s="128"/>
      <c r="IQ62" s="128"/>
      <c r="IR62" s="128"/>
      <c r="IS62" s="128"/>
      <c r="IT62" s="128"/>
      <c r="IU62" s="128"/>
      <c r="IV62" s="128"/>
    </row>
    <row r="63" spans="1:256" s="126" customFormat="1" ht="18" customHeight="1">
      <c r="A63" s="466"/>
      <c r="B63" s="466"/>
      <c r="C63" s="466"/>
      <c r="D63" s="466"/>
      <c r="E63" s="466"/>
      <c r="F63" s="466"/>
      <c r="G63" s="466"/>
      <c r="H63" s="466"/>
      <c r="I63" s="466"/>
      <c r="J63" s="466"/>
      <c r="K63" s="466"/>
      <c r="L63" s="466"/>
      <c r="M63" s="466"/>
      <c r="N63" s="466"/>
      <c r="O63" s="174"/>
      <c r="P63" s="301"/>
      <c r="Q63" s="131"/>
      <c r="R63" s="131"/>
      <c r="S63" s="131"/>
      <c r="T63" s="131"/>
      <c r="U63" s="131"/>
      <c r="V63" s="131"/>
      <c r="W63" s="151"/>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1"/>
      <c r="AT63" s="152"/>
      <c r="AU63" s="152"/>
      <c r="AV63" s="152"/>
      <c r="AW63" s="152"/>
      <c r="AX63" s="152"/>
      <c r="AY63" s="152"/>
      <c r="AZ63" s="147"/>
      <c r="BA63" s="128"/>
      <c r="BB63" s="128"/>
      <c r="BC63" s="128"/>
      <c r="BD63" s="128"/>
      <c r="BE63" s="128"/>
      <c r="BF63" s="128"/>
      <c r="BG63" s="128"/>
      <c r="BH63" s="128"/>
      <c r="BI63" s="128"/>
      <c r="BJ63" s="128"/>
      <c r="BK63" s="128"/>
      <c r="BL63" s="128"/>
      <c r="BM63" s="128"/>
      <c r="BN63" s="128"/>
      <c r="BO63" s="127"/>
      <c r="BP63" s="128"/>
      <c r="BQ63" s="128"/>
      <c r="BR63" s="128"/>
      <c r="BS63" s="128"/>
      <c r="BT63" s="128"/>
      <c r="BU63" s="128"/>
      <c r="BV63" s="128"/>
      <c r="BW63" s="128"/>
      <c r="BX63" s="128"/>
      <c r="BY63" s="128"/>
      <c r="BZ63" s="128"/>
      <c r="CA63" s="128"/>
      <c r="CB63" s="128"/>
      <c r="CC63" s="128"/>
      <c r="CD63" s="128"/>
      <c r="CE63" s="128"/>
      <c r="CF63" s="128"/>
      <c r="CG63" s="128"/>
      <c r="CH63" s="128"/>
      <c r="CI63" s="128"/>
      <c r="CJ63" s="128"/>
      <c r="CK63" s="127"/>
      <c r="CL63" s="128"/>
      <c r="CM63" s="128"/>
      <c r="CN63" s="128"/>
      <c r="CO63" s="128"/>
      <c r="CP63" s="128"/>
      <c r="CQ63" s="128"/>
      <c r="CR63" s="128"/>
      <c r="CS63" s="128"/>
      <c r="CT63" s="128"/>
      <c r="CU63" s="128"/>
      <c r="CV63" s="128"/>
      <c r="CW63" s="128"/>
      <c r="CX63" s="128"/>
      <c r="CY63" s="128"/>
      <c r="CZ63" s="128"/>
      <c r="DA63" s="128"/>
      <c r="DB63" s="128"/>
      <c r="DC63" s="128"/>
      <c r="DD63" s="128"/>
      <c r="DE63" s="128"/>
      <c r="DF63" s="128"/>
      <c r="DG63" s="127"/>
      <c r="DH63" s="128"/>
      <c r="DI63" s="128"/>
      <c r="DJ63" s="128"/>
      <c r="DK63" s="128"/>
      <c r="DL63" s="128"/>
      <c r="DM63" s="128"/>
      <c r="DN63" s="128"/>
      <c r="DO63" s="128"/>
      <c r="DP63" s="128"/>
      <c r="DQ63" s="128"/>
      <c r="DR63" s="128"/>
      <c r="DS63" s="128"/>
      <c r="DT63" s="128"/>
      <c r="DU63" s="128"/>
      <c r="DV63" s="128"/>
      <c r="DW63" s="128"/>
      <c r="DX63" s="128"/>
      <c r="DY63" s="128"/>
      <c r="DZ63" s="128"/>
      <c r="EA63" s="128"/>
      <c r="EB63" s="128"/>
      <c r="EC63" s="127"/>
      <c r="ED63" s="128"/>
      <c r="EE63" s="128"/>
      <c r="EF63" s="128"/>
      <c r="EG63" s="128"/>
      <c r="EH63" s="128"/>
      <c r="EI63" s="128"/>
      <c r="EJ63" s="128"/>
      <c r="EK63" s="128"/>
      <c r="EL63" s="128"/>
      <c r="EM63" s="128"/>
      <c r="EN63" s="128"/>
      <c r="EO63" s="128"/>
      <c r="EP63" s="128"/>
      <c r="EQ63" s="128"/>
      <c r="ER63" s="128"/>
      <c r="ES63" s="128"/>
      <c r="ET63" s="128"/>
      <c r="EU63" s="128"/>
      <c r="EV63" s="128"/>
      <c r="EW63" s="128"/>
      <c r="EX63" s="128"/>
      <c r="EY63" s="127"/>
      <c r="EZ63" s="128"/>
      <c r="FA63" s="128"/>
      <c r="FB63" s="128"/>
      <c r="FC63" s="128"/>
      <c r="FD63" s="128"/>
      <c r="FE63" s="128"/>
      <c r="FF63" s="128"/>
      <c r="FG63" s="128"/>
      <c r="FH63" s="128"/>
      <c r="FI63" s="128"/>
      <c r="FJ63" s="128"/>
      <c r="FK63" s="128"/>
      <c r="FL63" s="128"/>
      <c r="FM63" s="128"/>
      <c r="FN63" s="128"/>
      <c r="FO63" s="128"/>
      <c r="FP63" s="128"/>
      <c r="FQ63" s="128"/>
      <c r="FR63" s="128"/>
      <c r="FS63" s="128"/>
      <c r="FT63" s="128"/>
      <c r="FU63" s="127"/>
      <c r="FV63" s="128"/>
      <c r="FW63" s="128"/>
      <c r="FX63" s="128"/>
      <c r="FY63" s="128"/>
      <c r="FZ63" s="128"/>
      <c r="GA63" s="128"/>
      <c r="GB63" s="128"/>
      <c r="GC63" s="128"/>
      <c r="GD63" s="128"/>
      <c r="GE63" s="128"/>
      <c r="GF63" s="128"/>
      <c r="GG63" s="128"/>
      <c r="GH63" s="128"/>
      <c r="GI63" s="128"/>
      <c r="GJ63" s="128"/>
      <c r="GK63" s="128"/>
      <c r="GL63" s="128"/>
      <c r="GM63" s="128"/>
      <c r="GN63" s="128"/>
      <c r="GO63" s="128"/>
      <c r="GP63" s="128"/>
      <c r="GQ63" s="127"/>
      <c r="GR63" s="128"/>
      <c r="GS63" s="128"/>
      <c r="GT63" s="128"/>
      <c r="GU63" s="128"/>
      <c r="GV63" s="128"/>
      <c r="GW63" s="128"/>
      <c r="GX63" s="128"/>
      <c r="GY63" s="128"/>
      <c r="GZ63" s="128"/>
      <c r="HA63" s="128"/>
      <c r="HB63" s="128"/>
      <c r="HC63" s="128"/>
      <c r="HD63" s="128"/>
      <c r="HE63" s="128"/>
      <c r="HF63" s="128"/>
      <c r="HG63" s="128"/>
      <c r="HH63" s="128"/>
      <c r="HI63" s="128"/>
      <c r="HJ63" s="128"/>
      <c r="HK63" s="128"/>
      <c r="HL63" s="128"/>
      <c r="HM63" s="127"/>
      <c r="HN63" s="128"/>
      <c r="HO63" s="128"/>
      <c r="HP63" s="128"/>
      <c r="HQ63" s="128"/>
      <c r="HR63" s="128"/>
      <c r="HS63" s="128"/>
      <c r="HT63" s="128"/>
      <c r="HU63" s="128"/>
      <c r="HV63" s="128"/>
      <c r="HW63" s="128"/>
      <c r="HX63" s="128"/>
      <c r="HY63" s="128"/>
      <c r="HZ63" s="128"/>
      <c r="IA63" s="128"/>
      <c r="IB63" s="128"/>
      <c r="IC63" s="128"/>
      <c r="ID63" s="128"/>
      <c r="IE63" s="128"/>
      <c r="IF63" s="128"/>
      <c r="IG63" s="128"/>
      <c r="IH63" s="128"/>
      <c r="II63" s="127"/>
      <c r="IJ63" s="128"/>
      <c r="IK63" s="128"/>
      <c r="IL63" s="128"/>
      <c r="IM63" s="128"/>
      <c r="IN63" s="128"/>
      <c r="IO63" s="128"/>
      <c r="IP63" s="128"/>
      <c r="IQ63" s="128"/>
      <c r="IR63" s="128"/>
      <c r="IS63" s="128"/>
      <c r="IT63" s="128"/>
      <c r="IU63" s="128"/>
      <c r="IV63" s="128"/>
    </row>
    <row r="64" spans="1:256" s="126" customFormat="1" ht="18" customHeight="1">
      <c r="A64" s="466"/>
      <c r="B64" s="466"/>
      <c r="C64" s="466"/>
      <c r="D64" s="466"/>
      <c r="E64" s="466"/>
      <c r="F64" s="466"/>
      <c r="G64" s="466"/>
      <c r="H64" s="466"/>
      <c r="I64" s="466"/>
      <c r="J64" s="466"/>
      <c r="K64" s="466"/>
      <c r="L64" s="466"/>
      <c r="M64" s="466"/>
      <c r="N64" s="466"/>
      <c r="O64" s="174"/>
      <c r="P64" s="301"/>
      <c r="Q64" s="131"/>
      <c r="R64" s="131"/>
      <c r="S64" s="131"/>
      <c r="T64" s="131"/>
      <c r="U64" s="131"/>
      <c r="V64" s="131"/>
      <c r="W64" s="151"/>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1"/>
      <c r="AT64" s="152"/>
      <c r="AU64" s="152"/>
      <c r="AV64" s="152"/>
      <c r="AW64" s="152"/>
      <c r="AX64" s="152"/>
      <c r="AY64" s="152"/>
      <c r="AZ64" s="147"/>
      <c r="BA64" s="128"/>
      <c r="BB64" s="128"/>
      <c r="BC64" s="128"/>
      <c r="BD64" s="128"/>
      <c r="BE64" s="128"/>
      <c r="BF64" s="128"/>
      <c r="BG64" s="128"/>
      <c r="BH64" s="128"/>
      <c r="BI64" s="128"/>
      <c r="BJ64" s="128"/>
      <c r="BK64" s="128"/>
      <c r="BL64" s="128"/>
      <c r="BM64" s="128"/>
      <c r="BN64" s="128"/>
      <c r="BO64" s="127"/>
      <c r="BP64" s="128"/>
      <c r="BQ64" s="128"/>
      <c r="BR64" s="128"/>
      <c r="BS64" s="128"/>
      <c r="BT64" s="128"/>
      <c r="BU64" s="128"/>
      <c r="BV64" s="128"/>
      <c r="BW64" s="128"/>
      <c r="BX64" s="128"/>
      <c r="BY64" s="128"/>
      <c r="BZ64" s="128"/>
      <c r="CA64" s="128"/>
      <c r="CB64" s="128"/>
      <c r="CC64" s="128"/>
      <c r="CD64" s="128"/>
      <c r="CE64" s="128"/>
      <c r="CF64" s="128"/>
      <c r="CG64" s="128"/>
      <c r="CH64" s="128"/>
      <c r="CI64" s="128"/>
      <c r="CJ64" s="128"/>
      <c r="CK64" s="127"/>
      <c r="CL64" s="128"/>
      <c r="CM64" s="128"/>
      <c r="CN64" s="128"/>
      <c r="CO64" s="128"/>
      <c r="CP64" s="128"/>
      <c r="CQ64" s="128"/>
      <c r="CR64" s="128"/>
      <c r="CS64" s="128"/>
      <c r="CT64" s="128"/>
      <c r="CU64" s="128"/>
      <c r="CV64" s="128"/>
      <c r="CW64" s="128"/>
      <c r="CX64" s="128"/>
      <c r="CY64" s="128"/>
      <c r="CZ64" s="128"/>
      <c r="DA64" s="128"/>
      <c r="DB64" s="128"/>
      <c r="DC64" s="128"/>
      <c r="DD64" s="128"/>
      <c r="DE64" s="128"/>
      <c r="DF64" s="128"/>
      <c r="DG64" s="127"/>
      <c r="DH64" s="128"/>
      <c r="DI64" s="128"/>
      <c r="DJ64" s="128"/>
      <c r="DK64" s="128"/>
      <c r="DL64" s="128"/>
      <c r="DM64" s="128"/>
      <c r="DN64" s="128"/>
      <c r="DO64" s="128"/>
      <c r="DP64" s="128"/>
      <c r="DQ64" s="128"/>
      <c r="DR64" s="128"/>
      <c r="DS64" s="128"/>
      <c r="DT64" s="128"/>
      <c r="DU64" s="128"/>
      <c r="DV64" s="128"/>
      <c r="DW64" s="128"/>
      <c r="DX64" s="128"/>
      <c r="DY64" s="128"/>
      <c r="DZ64" s="128"/>
      <c r="EA64" s="128"/>
      <c r="EB64" s="128"/>
      <c r="EC64" s="127"/>
      <c r="ED64" s="128"/>
      <c r="EE64" s="128"/>
      <c r="EF64" s="128"/>
      <c r="EG64" s="128"/>
      <c r="EH64" s="128"/>
      <c r="EI64" s="128"/>
      <c r="EJ64" s="128"/>
      <c r="EK64" s="128"/>
      <c r="EL64" s="128"/>
      <c r="EM64" s="128"/>
      <c r="EN64" s="128"/>
      <c r="EO64" s="128"/>
      <c r="EP64" s="128"/>
      <c r="EQ64" s="128"/>
      <c r="ER64" s="128"/>
      <c r="ES64" s="128"/>
      <c r="ET64" s="128"/>
      <c r="EU64" s="128"/>
      <c r="EV64" s="128"/>
      <c r="EW64" s="128"/>
      <c r="EX64" s="128"/>
      <c r="EY64" s="127"/>
      <c r="EZ64" s="128"/>
      <c r="FA64" s="128"/>
      <c r="FB64" s="128"/>
      <c r="FC64" s="128"/>
      <c r="FD64" s="128"/>
      <c r="FE64" s="128"/>
      <c r="FF64" s="128"/>
      <c r="FG64" s="128"/>
      <c r="FH64" s="128"/>
      <c r="FI64" s="128"/>
      <c r="FJ64" s="128"/>
      <c r="FK64" s="128"/>
      <c r="FL64" s="128"/>
      <c r="FM64" s="128"/>
      <c r="FN64" s="128"/>
      <c r="FO64" s="128"/>
      <c r="FP64" s="128"/>
      <c r="FQ64" s="128"/>
      <c r="FR64" s="128"/>
      <c r="FS64" s="128"/>
      <c r="FT64" s="128"/>
      <c r="FU64" s="127"/>
      <c r="FV64" s="128"/>
      <c r="FW64" s="128"/>
      <c r="FX64" s="128"/>
      <c r="FY64" s="128"/>
      <c r="FZ64" s="128"/>
      <c r="GA64" s="128"/>
      <c r="GB64" s="128"/>
      <c r="GC64" s="128"/>
      <c r="GD64" s="128"/>
      <c r="GE64" s="128"/>
      <c r="GF64" s="128"/>
      <c r="GG64" s="128"/>
      <c r="GH64" s="128"/>
      <c r="GI64" s="128"/>
      <c r="GJ64" s="128"/>
      <c r="GK64" s="128"/>
      <c r="GL64" s="128"/>
      <c r="GM64" s="128"/>
      <c r="GN64" s="128"/>
      <c r="GO64" s="128"/>
      <c r="GP64" s="128"/>
      <c r="GQ64" s="127"/>
      <c r="GR64" s="128"/>
      <c r="GS64" s="128"/>
      <c r="GT64" s="128"/>
      <c r="GU64" s="128"/>
      <c r="GV64" s="128"/>
      <c r="GW64" s="128"/>
      <c r="GX64" s="128"/>
      <c r="GY64" s="128"/>
      <c r="GZ64" s="128"/>
      <c r="HA64" s="128"/>
      <c r="HB64" s="128"/>
      <c r="HC64" s="128"/>
      <c r="HD64" s="128"/>
      <c r="HE64" s="128"/>
      <c r="HF64" s="128"/>
      <c r="HG64" s="128"/>
      <c r="HH64" s="128"/>
      <c r="HI64" s="128"/>
      <c r="HJ64" s="128"/>
      <c r="HK64" s="128"/>
      <c r="HL64" s="128"/>
      <c r="HM64" s="127"/>
      <c r="HN64" s="128"/>
      <c r="HO64" s="128"/>
      <c r="HP64" s="128"/>
      <c r="HQ64" s="128"/>
      <c r="HR64" s="128"/>
      <c r="HS64" s="128"/>
      <c r="HT64" s="128"/>
      <c r="HU64" s="128"/>
      <c r="HV64" s="128"/>
      <c r="HW64" s="128"/>
      <c r="HX64" s="128"/>
      <c r="HY64" s="128"/>
      <c r="HZ64" s="128"/>
      <c r="IA64" s="128"/>
      <c r="IB64" s="128"/>
      <c r="IC64" s="128"/>
      <c r="ID64" s="128"/>
      <c r="IE64" s="128"/>
      <c r="IF64" s="128"/>
      <c r="IG64" s="128"/>
      <c r="IH64" s="128"/>
      <c r="II64" s="127"/>
      <c r="IJ64" s="128"/>
      <c r="IK64" s="128"/>
      <c r="IL64" s="128"/>
      <c r="IM64" s="128"/>
      <c r="IN64" s="128"/>
      <c r="IO64" s="128"/>
      <c r="IP64" s="128"/>
      <c r="IQ64" s="128"/>
      <c r="IR64" s="128"/>
      <c r="IS64" s="128"/>
      <c r="IT64" s="128"/>
      <c r="IU64" s="128"/>
      <c r="IV64" s="128"/>
    </row>
    <row r="65" spans="1:256" s="126" customFormat="1" ht="15" customHeight="1">
      <c r="A65" s="465" t="s">
        <v>55</v>
      </c>
      <c r="B65" s="467"/>
      <c r="C65" s="467"/>
      <c r="D65" s="467"/>
      <c r="E65" s="467"/>
      <c r="F65" s="467"/>
      <c r="G65" s="467"/>
      <c r="H65" s="467"/>
      <c r="I65" s="467"/>
      <c r="J65" s="467"/>
      <c r="K65" s="467"/>
      <c r="L65" s="467"/>
      <c r="M65" s="467"/>
      <c r="N65" s="467"/>
      <c r="O65" s="175"/>
      <c r="P65" s="302"/>
      <c r="Q65" s="132"/>
      <c r="R65" s="132"/>
      <c r="S65" s="132"/>
      <c r="T65" s="132"/>
      <c r="U65" s="132"/>
      <c r="V65" s="132"/>
      <c r="W65" s="151"/>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1"/>
      <c r="AT65" s="152"/>
      <c r="AU65" s="152"/>
      <c r="AV65" s="152"/>
      <c r="AW65" s="152"/>
      <c r="AX65" s="152"/>
      <c r="AY65" s="152"/>
      <c r="AZ65" s="147"/>
      <c r="BA65" s="128"/>
      <c r="BB65" s="128"/>
      <c r="BC65" s="128"/>
      <c r="BD65" s="128"/>
      <c r="BE65" s="128"/>
      <c r="BF65" s="128"/>
      <c r="BG65" s="128"/>
      <c r="BH65" s="128"/>
      <c r="BI65" s="128"/>
      <c r="BJ65" s="128"/>
      <c r="BK65" s="128"/>
      <c r="BL65" s="128"/>
      <c r="BM65" s="128"/>
      <c r="BN65" s="128"/>
      <c r="BO65" s="127"/>
      <c r="BP65" s="128"/>
      <c r="BQ65" s="128"/>
      <c r="BR65" s="128"/>
      <c r="BS65" s="128"/>
      <c r="BT65" s="128"/>
      <c r="BU65" s="128"/>
      <c r="BV65" s="128"/>
      <c r="BW65" s="128"/>
      <c r="BX65" s="128"/>
      <c r="BY65" s="128"/>
      <c r="BZ65" s="128"/>
      <c r="CA65" s="128"/>
      <c r="CB65" s="128"/>
      <c r="CC65" s="128"/>
      <c r="CD65" s="128"/>
      <c r="CE65" s="128"/>
      <c r="CF65" s="128"/>
      <c r="CG65" s="128"/>
      <c r="CH65" s="128"/>
      <c r="CI65" s="128"/>
      <c r="CJ65" s="128"/>
      <c r="CK65" s="127"/>
      <c r="CL65" s="128"/>
      <c r="CM65" s="128"/>
      <c r="CN65" s="128"/>
      <c r="CO65" s="128"/>
      <c r="CP65" s="128"/>
      <c r="CQ65" s="128"/>
      <c r="CR65" s="128"/>
      <c r="CS65" s="128"/>
      <c r="CT65" s="128"/>
      <c r="CU65" s="128"/>
      <c r="CV65" s="128"/>
      <c r="CW65" s="128"/>
      <c r="CX65" s="128"/>
      <c r="CY65" s="128"/>
      <c r="CZ65" s="128"/>
      <c r="DA65" s="128"/>
      <c r="DB65" s="128"/>
      <c r="DC65" s="128"/>
      <c r="DD65" s="128"/>
      <c r="DE65" s="128"/>
      <c r="DF65" s="128"/>
      <c r="DG65" s="127"/>
      <c r="DH65" s="128"/>
      <c r="DI65" s="128"/>
      <c r="DJ65" s="128"/>
      <c r="DK65" s="128"/>
      <c r="DL65" s="128"/>
      <c r="DM65" s="128"/>
      <c r="DN65" s="128"/>
      <c r="DO65" s="128"/>
      <c r="DP65" s="128"/>
      <c r="DQ65" s="128"/>
      <c r="DR65" s="128"/>
      <c r="DS65" s="128"/>
      <c r="DT65" s="128"/>
      <c r="DU65" s="128"/>
      <c r="DV65" s="128"/>
      <c r="DW65" s="128"/>
      <c r="DX65" s="128"/>
      <c r="DY65" s="128"/>
      <c r="DZ65" s="128"/>
      <c r="EA65" s="128"/>
      <c r="EB65" s="128"/>
      <c r="EC65" s="127"/>
      <c r="ED65" s="128"/>
      <c r="EE65" s="128"/>
      <c r="EF65" s="128"/>
      <c r="EG65" s="128"/>
      <c r="EH65" s="128"/>
      <c r="EI65" s="128"/>
      <c r="EJ65" s="128"/>
      <c r="EK65" s="128"/>
      <c r="EL65" s="128"/>
      <c r="EM65" s="128"/>
      <c r="EN65" s="128"/>
      <c r="EO65" s="128"/>
      <c r="EP65" s="128"/>
      <c r="EQ65" s="128"/>
      <c r="ER65" s="128"/>
      <c r="ES65" s="128"/>
      <c r="ET65" s="128"/>
      <c r="EU65" s="128"/>
      <c r="EV65" s="128"/>
      <c r="EW65" s="128"/>
      <c r="EX65" s="128"/>
      <c r="EY65" s="127"/>
      <c r="EZ65" s="128"/>
      <c r="FA65" s="128"/>
      <c r="FB65" s="128"/>
      <c r="FC65" s="128"/>
      <c r="FD65" s="128"/>
      <c r="FE65" s="128"/>
      <c r="FF65" s="128"/>
      <c r="FG65" s="128"/>
      <c r="FH65" s="128"/>
      <c r="FI65" s="128"/>
      <c r="FJ65" s="128"/>
      <c r="FK65" s="128"/>
      <c r="FL65" s="128"/>
      <c r="FM65" s="128"/>
      <c r="FN65" s="128"/>
      <c r="FO65" s="128"/>
      <c r="FP65" s="128"/>
      <c r="FQ65" s="128"/>
      <c r="FR65" s="128"/>
      <c r="FS65" s="128"/>
      <c r="FT65" s="128"/>
      <c r="FU65" s="127"/>
      <c r="FV65" s="128"/>
      <c r="FW65" s="128"/>
      <c r="FX65" s="128"/>
      <c r="FY65" s="128"/>
      <c r="FZ65" s="128"/>
      <c r="GA65" s="128"/>
      <c r="GB65" s="128"/>
      <c r="GC65" s="128"/>
      <c r="GD65" s="128"/>
      <c r="GE65" s="128"/>
      <c r="GF65" s="128"/>
      <c r="GG65" s="128"/>
      <c r="GH65" s="128"/>
      <c r="GI65" s="128"/>
      <c r="GJ65" s="128"/>
      <c r="GK65" s="128"/>
      <c r="GL65" s="128"/>
      <c r="GM65" s="128"/>
      <c r="GN65" s="128"/>
      <c r="GO65" s="128"/>
      <c r="GP65" s="128"/>
      <c r="GQ65" s="127"/>
      <c r="GR65" s="128"/>
      <c r="GS65" s="128"/>
      <c r="GT65" s="128"/>
      <c r="GU65" s="128"/>
      <c r="GV65" s="128"/>
      <c r="GW65" s="128"/>
      <c r="GX65" s="128"/>
      <c r="GY65" s="128"/>
      <c r="GZ65" s="128"/>
      <c r="HA65" s="128"/>
      <c r="HB65" s="128"/>
      <c r="HC65" s="128"/>
      <c r="HD65" s="128"/>
      <c r="HE65" s="128"/>
      <c r="HF65" s="128"/>
      <c r="HG65" s="128"/>
      <c r="HH65" s="128"/>
      <c r="HI65" s="128"/>
      <c r="HJ65" s="128"/>
      <c r="HK65" s="128"/>
      <c r="HL65" s="128"/>
      <c r="HM65" s="127"/>
      <c r="HN65" s="128"/>
      <c r="HO65" s="128"/>
      <c r="HP65" s="128"/>
      <c r="HQ65" s="128"/>
      <c r="HR65" s="128"/>
      <c r="HS65" s="128"/>
      <c r="HT65" s="128"/>
      <c r="HU65" s="128"/>
      <c r="HV65" s="128"/>
      <c r="HW65" s="128"/>
      <c r="HX65" s="128"/>
      <c r="HY65" s="128"/>
      <c r="HZ65" s="128"/>
      <c r="IA65" s="128"/>
      <c r="IB65" s="128"/>
      <c r="IC65" s="128"/>
      <c r="ID65" s="128"/>
      <c r="IE65" s="128"/>
      <c r="IF65" s="128"/>
      <c r="IG65" s="128"/>
      <c r="IH65" s="128"/>
      <c r="II65" s="127"/>
      <c r="IJ65" s="128"/>
      <c r="IK65" s="128"/>
      <c r="IL65" s="128"/>
      <c r="IM65" s="128"/>
      <c r="IN65" s="128"/>
      <c r="IO65" s="128"/>
      <c r="IP65" s="128"/>
      <c r="IQ65" s="128"/>
      <c r="IR65" s="128"/>
      <c r="IS65" s="128"/>
      <c r="IT65" s="128"/>
      <c r="IU65" s="128"/>
      <c r="IV65" s="128"/>
    </row>
    <row r="66" spans="1:256" s="126" customFormat="1" ht="15" customHeight="1">
      <c r="A66" s="467"/>
      <c r="B66" s="467"/>
      <c r="C66" s="467"/>
      <c r="D66" s="467"/>
      <c r="E66" s="467"/>
      <c r="F66" s="467"/>
      <c r="G66" s="467"/>
      <c r="H66" s="467"/>
      <c r="I66" s="467"/>
      <c r="J66" s="467"/>
      <c r="K66" s="467"/>
      <c r="L66" s="467"/>
      <c r="M66" s="467"/>
      <c r="N66" s="467"/>
      <c r="O66" s="175"/>
      <c r="P66" s="302"/>
      <c r="Q66" s="132"/>
      <c r="R66" s="132"/>
      <c r="S66" s="132"/>
      <c r="T66" s="132"/>
      <c r="U66" s="132"/>
      <c r="V66" s="132"/>
      <c r="W66" s="151"/>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1"/>
      <c r="AT66" s="152"/>
      <c r="AU66" s="152"/>
      <c r="AV66" s="152"/>
      <c r="AW66" s="152"/>
      <c r="AX66" s="152"/>
      <c r="AY66" s="152"/>
      <c r="AZ66" s="147"/>
      <c r="BA66" s="128"/>
      <c r="BB66" s="128"/>
      <c r="BC66" s="128"/>
      <c r="BD66" s="128"/>
      <c r="BE66" s="128"/>
      <c r="BF66" s="128"/>
      <c r="BG66" s="128"/>
      <c r="BH66" s="128"/>
      <c r="BI66" s="128"/>
      <c r="BJ66" s="128"/>
      <c r="BK66" s="128"/>
      <c r="BL66" s="128"/>
      <c r="BM66" s="128"/>
      <c r="BN66" s="128"/>
      <c r="BO66" s="127"/>
      <c r="BP66" s="128"/>
      <c r="BQ66" s="128"/>
      <c r="BR66" s="128"/>
      <c r="BS66" s="128"/>
      <c r="BT66" s="128"/>
      <c r="BU66" s="128"/>
      <c r="BV66" s="128"/>
      <c r="BW66" s="128"/>
      <c r="BX66" s="128"/>
      <c r="BY66" s="128"/>
      <c r="BZ66" s="128"/>
      <c r="CA66" s="128"/>
      <c r="CB66" s="128"/>
      <c r="CC66" s="128"/>
      <c r="CD66" s="128"/>
      <c r="CE66" s="128"/>
      <c r="CF66" s="128"/>
      <c r="CG66" s="128"/>
      <c r="CH66" s="128"/>
      <c r="CI66" s="128"/>
      <c r="CJ66" s="128"/>
      <c r="CK66" s="127"/>
      <c r="CL66" s="128"/>
      <c r="CM66" s="128"/>
      <c r="CN66" s="128"/>
      <c r="CO66" s="128"/>
      <c r="CP66" s="128"/>
      <c r="CQ66" s="128"/>
      <c r="CR66" s="128"/>
      <c r="CS66" s="128"/>
      <c r="CT66" s="128"/>
      <c r="CU66" s="128"/>
      <c r="CV66" s="128"/>
      <c r="CW66" s="128"/>
      <c r="CX66" s="128"/>
      <c r="CY66" s="128"/>
      <c r="CZ66" s="128"/>
      <c r="DA66" s="128"/>
      <c r="DB66" s="128"/>
      <c r="DC66" s="128"/>
      <c r="DD66" s="128"/>
      <c r="DE66" s="128"/>
      <c r="DF66" s="128"/>
      <c r="DG66" s="127"/>
      <c r="DH66" s="128"/>
      <c r="DI66" s="128"/>
      <c r="DJ66" s="128"/>
      <c r="DK66" s="128"/>
      <c r="DL66" s="128"/>
      <c r="DM66" s="128"/>
      <c r="DN66" s="128"/>
      <c r="DO66" s="128"/>
      <c r="DP66" s="128"/>
      <c r="DQ66" s="128"/>
      <c r="DR66" s="128"/>
      <c r="DS66" s="128"/>
      <c r="DT66" s="128"/>
      <c r="DU66" s="128"/>
      <c r="DV66" s="128"/>
      <c r="DW66" s="128"/>
      <c r="DX66" s="128"/>
      <c r="DY66" s="128"/>
      <c r="DZ66" s="128"/>
      <c r="EA66" s="128"/>
      <c r="EB66" s="128"/>
      <c r="EC66" s="127"/>
      <c r="ED66" s="128"/>
      <c r="EE66" s="128"/>
      <c r="EF66" s="128"/>
      <c r="EG66" s="128"/>
      <c r="EH66" s="128"/>
      <c r="EI66" s="128"/>
      <c r="EJ66" s="128"/>
      <c r="EK66" s="128"/>
      <c r="EL66" s="128"/>
      <c r="EM66" s="128"/>
      <c r="EN66" s="128"/>
      <c r="EO66" s="128"/>
      <c r="EP66" s="128"/>
      <c r="EQ66" s="128"/>
      <c r="ER66" s="128"/>
      <c r="ES66" s="128"/>
      <c r="ET66" s="128"/>
      <c r="EU66" s="128"/>
      <c r="EV66" s="128"/>
      <c r="EW66" s="128"/>
      <c r="EX66" s="128"/>
      <c r="EY66" s="127"/>
      <c r="EZ66" s="128"/>
      <c r="FA66" s="128"/>
      <c r="FB66" s="128"/>
      <c r="FC66" s="128"/>
      <c r="FD66" s="128"/>
      <c r="FE66" s="128"/>
      <c r="FF66" s="128"/>
      <c r="FG66" s="128"/>
      <c r="FH66" s="128"/>
      <c r="FI66" s="128"/>
      <c r="FJ66" s="128"/>
      <c r="FK66" s="128"/>
      <c r="FL66" s="128"/>
      <c r="FM66" s="128"/>
      <c r="FN66" s="128"/>
      <c r="FO66" s="128"/>
      <c r="FP66" s="128"/>
      <c r="FQ66" s="128"/>
      <c r="FR66" s="128"/>
      <c r="FS66" s="128"/>
      <c r="FT66" s="128"/>
      <c r="FU66" s="127"/>
      <c r="FV66" s="128"/>
      <c r="FW66" s="128"/>
      <c r="FX66" s="128"/>
      <c r="FY66" s="128"/>
      <c r="FZ66" s="128"/>
      <c r="GA66" s="128"/>
      <c r="GB66" s="128"/>
      <c r="GC66" s="128"/>
      <c r="GD66" s="128"/>
      <c r="GE66" s="128"/>
      <c r="GF66" s="128"/>
      <c r="GG66" s="128"/>
      <c r="GH66" s="128"/>
      <c r="GI66" s="128"/>
      <c r="GJ66" s="128"/>
      <c r="GK66" s="128"/>
      <c r="GL66" s="128"/>
      <c r="GM66" s="128"/>
      <c r="GN66" s="128"/>
      <c r="GO66" s="128"/>
      <c r="GP66" s="128"/>
      <c r="GQ66" s="127"/>
      <c r="GR66" s="128"/>
      <c r="GS66" s="128"/>
      <c r="GT66" s="128"/>
      <c r="GU66" s="128"/>
      <c r="GV66" s="128"/>
      <c r="GW66" s="128"/>
      <c r="GX66" s="128"/>
      <c r="GY66" s="128"/>
      <c r="GZ66" s="128"/>
      <c r="HA66" s="128"/>
      <c r="HB66" s="128"/>
      <c r="HC66" s="128"/>
      <c r="HD66" s="128"/>
      <c r="HE66" s="128"/>
      <c r="HF66" s="128"/>
      <c r="HG66" s="128"/>
      <c r="HH66" s="128"/>
      <c r="HI66" s="128"/>
      <c r="HJ66" s="128"/>
      <c r="HK66" s="128"/>
      <c r="HL66" s="128"/>
      <c r="HM66" s="127"/>
      <c r="HN66" s="128"/>
      <c r="HO66" s="128"/>
      <c r="HP66" s="128"/>
      <c r="HQ66" s="128"/>
      <c r="HR66" s="128"/>
      <c r="HS66" s="128"/>
      <c r="HT66" s="128"/>
      <c r="HU66" s="128"/>
      <c r="HV66" s="128"/>
      <c r="HW66" s="128"/>
      <c r="HX66" s="128"/>
      <c r="HY66" s="128"/>
      <c r="HZ66" s="128"/>
      <c r="IA66" s="128"/>
      <c r="IB66" s="128"/>
      <c r="IC66" s="128"/>
      <c r="ID66" s="128"/>
      <c r="IE66" s="128"/>
      <c r="IF66" s="128"/>
      <c r="IG66" s="128"/>
      <c r="IH66" s="128"/>
      <c r="II66" s="127"/>
      <c r="IJ66" s="128"/>
      <c r="IK66" s="128"/>
      <c r="IL66" s="128"/>
      <c r="IM66" s="128"/>
      <c r="IN66" s="128"/>
      <c r="IO66" s="128"/>
      <c r="IP66" s="128"/>
      <c r="IQ66" s="128"/>
      <c r="IR66" s="128"/>
      <c r="IS66" s="128"/>
      <c r="IT66" s="128"/>
      <c r="IU66" s="128"/>
      <c r="IV66" s="128"/>
    </row>
    <row r="67" spans="1:256" s="126" customFormat="1" ht="15" customHeight="1">
      <c r="A67" s="467"/>
      <c r="B67" s="467"/>
      <c r="C67" s="467"/>
      <c r="D67" s="467"/>
      <c r="E67" s="467"/>
      <c r="F67" s="467"/>
      <c r="G67" s="467"/>
      <c r="H67" s="467"/>
      <c r="I67" s="467"/>
      <c r="J67" s="467"/>
      <c r="K67" s="467"/>
      <c r="L67" s="467"/>
      <c r="M67" s="467"/>
      <c r="N67" s="467"/>
      <c r="O67" s="175"/>
      <c r="P67" s="302"/>
      <c r="Q67" s="132"/>
      <c r="R67" s="132"/>
      <c r="S67" s="132"/>
      <c r="T67" s="132"/>
      <c r="U67" s="132"/>
      <c r="V67" s="132"/>
      <c r="W67" s="151"/>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1"/>
      <c r="AT67" s="152"/>
      <c r="AU67" s="152"/>
      <c r="AV67" s="152"/>
      <c r="AW67" s="152"/>
      <c r="AX67" s="152"/>
      <c r="AY67" s="152"/>
      <c r="AZ67" s="147"/>
      <c r="BA67" s="128"/>
      <c r="BB67" s="128"/>
      <c r="BC67" s="128"/>
      <c r="BD67" s="128"/>
      <c r="BE67" s="128"/>
      <c r="BF67" s="128"/>
      <c r="BG67" s="128"/>
      <c r="BH67" s="128"/>
      <c r="BI67" s="128"/>
      <c r="BJ67" s="128"/>
      <c r="BK67" s="128"/>
      <c r="BL67" s="128"/>
      <c r="BM67" s="128"/>
      <c r="BN67" s="128"/>
      <c r="BO67" s="127"/>
      <c r="BP67" s="128"/>
      <c r="BQ67" s="128"/>
      <c r="BR67" s="128"/>
      <c r="BS67" s="128"/>
      <c r="BT67" s="128"/>
      <c r="BU67" s="128"/>
      <c r="BV67" s="128"/>
      <c r="BW67" s="128"/>
      <c r="BX67" s="128"/>
      <c r="BY67" s="128"/>
      <c r="BZ67" s="128"/>
      <c r="CA67" s="128"/>
      <c r="CB67" s="128"/>
      <c r="CC67" s="128"/>
      <c r="CD67" s="128"/>
      <c r="CE67" s="128"/>
      <c r="CF67" s="128"/>
      <c r="CG67" s="128"/>
      <c r="CH67" s="128"/>
      <c r="CI67" s="128"/>
      <c r="CJ67" s="128"/>
      <c r="CK67" s="127"/>
      <c r="CL67" s="128"/>
      <c r="CM67" s="128"/>
      <c r="CN67" s="128"/>
      <c r="CO67" s="128"/>
      <c r="CP67" s="128"/>
      <c r="CQ67" s="128"/>
      <c r="CR67" s="128"/>
      <c r="CS67" s="128"/>
      <c r="CT67" s="128"/>
      <c r="CU67" s="128"/>
      <c r="CV67" s="128"/>
      <c r="CW67" s="128"/>
      <c r="CX67" s="128"/>
      <c r="CY67" s="128"/>
      <c r="CZ67" s="128"/>
      <c r="DA67" s="128"/>
      <c r="DB67" s="128"/>
      <c r="DC67" s="128"/>
      <c r="DD67" s="128"/>
      <c r="DE67" s="128"/>
      <c r="DF67" s="128"/>
      <c r="DG67" s="127"/>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7"/>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7"/>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7"/>
      <c r="FV67" s="128"/>
      <c r="FW67" s="128"/>
      <c r="FX67" s="128"/>
      <c r="FY67" s="128"/>
      <c r="FZ67" s="128"/>
      <c r="GA67" s="128"/>
      <c r="GB67" s="128"/>
      <c r="GC67" s="128"/>
      <c r="GD67" s="128"/>
      <c r="GE67" s="128"/>
      <c r="GF67" s="128"/>
      <c r="GG67" s="128"/>
      <c r="GH67" s="128"/>
      <c r="GI67" s="128"/>
      <c r="GJ67" s="128"/>
      <c r="GK67" s="128"/>
      <c r="GL67" s="128"/>
      <c r="GM67" s="128"/>
      <c r="GN67" s="128"/>
      <c r="GO67" s="128"/>
      <c r="GP67" s="128"/>
      <c r="GQ67" s="127"/>
      <c r="GR67" s="128"/>
      <c r="GS67" s="128"/>
      <c r="GT67" s="128"/>
      <c r="GU67" s="128"/>
      <c r="GV67" s="128"/>
      <c r="GW67" s="128"/>
      <c r="GX67" s="128"/>
      <c r="GY67" s="128"/>
      <c r="GZ67" s="128"/>
      <c r="HA67" s="128"/>
      <c r="HB67" s="128"/>
      <c r="HC67" s="128"/>
      <c r="HD67" s="128"/>
      <c r="HE67" s="128"/>
      <c r="HF67" s="128"/>
      <c r="HG67" s="128"/>
      <c r="HH67" s="128"/>
      <c r="HI67" s="128"/>
      <c r="HJ67" s="128"/>
      <c r="HK67" s="128"/>
      <c r="HL67" s="128"/>
      <c r="HM67" s="127"/>
      <c r="HN67" s="128"/>
      <c r="HO67" s="128"/>
      <c r="HP67" s="128"/>
      <c r="HQ67" s="128"/>
      <c r="HR67" s="128"/>
      <c r="HS67" s="128"/>
      <c r="HT67" s="128"/>
      <c r="HU67" s="128"/>
      <c r="HV67" s="128"/>
      <c r="HW67" s="128"/>
      <c r="HX67" s="128"/>
      <c r="HY67" s="128"/>
      <c r="HZ67" s="128"/>
      <c r="IA67" s="128"/>
      <c r="IB67" s="128"/>
      <c r="IC67" s="128"/>
      <c r="ID67" s="128"/>
      <c r="IE67" s="128"/>
      <c r="IF67" s="128"/>
      <c r="IG67" s="128"/>
      <c r="IH67" s="128"/>
      <c r="II67" s="127"/>
      <c r="IJ67" s="128"/>
      <c r="IK67" s="128"/>
      <c r="IL67" s="128"/>
      <c r="IM67" s="128"/>
      <c r="IN67" s="128"/>
      <c r="IO67" s="128"/>
      <c r="IP67" s="128"/>
      <c r="IQ67" s="128"/>
      <c r="IR67" s="128"/>
      <c r="IS67" s="128"/>
      <c r="IT67" s="128"/>
      <c r="IU67" s="128"/>
      <c r="IV67" s="128"/>
    </row>
    <row r="68" spans="1:52" s="129" customFormat="1" ht="15" customHeight="1">
      <c r="A68" s="467"/>
      <c r="B68" s="467"/>
      <c r="C68" s="467"/>
      <c r="D68" s="467"/>
      <c r="E68" s="467"/>
      <c r="F68" s="467"/>
      <c r="G68" s="467"/>
      <c r="H68" s="467"/>
      <c r="I68" s="467"/>
      <c r="J68" s="467"/>
      <c r="K68" s="467"/>
      <c r="L68" s="467"/>
      <c r="M68" s="467"/>
      <c r="N68" s="467"/>
      <c r="O68" s="175"/>
      <c r="P68" s="302"/>
      <c r="Q68" s="132"/>
      <c r="R68" s="132"/>
      <c r="S68" s="132"/>
      <c r="T68" s="132"/>
      <c r="U68" s="132"/>
      <c r="V68" s="132"/>
      <c r="W68" s="153"/>
      <c r="X68" s="154"/>
      <c r="Y68" s="154"/>
      <c r="Z68" s="154"/>
      <c r="AA68" s="154"/>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c r="AX68" s="154"/>
      <c r="AY68" s="154"/>
      <c r="AZ68" s="148"/>
    </row>
    <row r="69" spans="2:15" ht="18">
      <c r="B69" s="35"/>
      <c r="C69" s="36"/>
      <c r="D69" s="37"/>
      <c r="E69" s="23"/>
      <c r="F69" s="23"/>
      <c r="G69" s="23"/>
      <c r="H69" s="38"/>
      <c r="I69" s="39"/>
      <c r="J69" s="40"/>
      <c r="K69" s="41"/>
      <c r="L69" s="42"/>
      <c r="M69" s="43"/>
      <c r="N69" s="41"/>
      <c r="O69" s="156"/>
    </row>
    <row r="70" spans="2:15" ht="18">
      <c r="B70" s="35"/>
      <c r="C70" s="36"/>
      <c r="D70" s="37"/>
      <c r="E70" s="23"/>
      <c r="F70" s="23"/>
      <c r="G70" s="23"/>
      <c r="H70" s="38"/>
      <c r="I70" s="39"/>
      <c r="J70" s="40"/>
      <c r="K70" s="41"/>
      <c r="L70" s="42"/>
      <c r="M70" s="43"/>
      <c r="N70" s="41"/>
      <c r="O70" s="156"/>
    </row>
    <row r="71" spans="6:15" ht="22.5">
      <c r="F71" s="23"/>
      <c r="G71" s="23"/>
      <c r="H71" s="38"/>
      <c r="I71" s="39"/>
      <c r="J71" s="40"/>
      <c r="K71" s="41"/>
      <c r="L71" s="42"/>
      <c r="M71" s="43"/>
      <c r="N71" s="41"/>
      <c r="O71" s="156"/>
    </row>
    <row r="72" spans="6:15" ht="22.5">
      <c r="F72" s="23"/>
      <c r="G72" s="23"/>
      <c r="H72" s="38"/>
      <c r="I72" s="39"/>
      <c r="J72" s="40"/>
      <c r="K72" s="41"/>
      <c r="L72" s="42"/>
      <c r="M72" s="43"/>
      <c r="N72" s="41"/>
      <c r="O72" s="156"/>
    </row>
    <row r="73" spans="6:15" ht="22.5">
      <c r="F73" s="23"/>
      <c r="G73" s="23"/>
      <c r="H73" s="38"/>
      <c r="I73" s="39"/>
      <c r="J73" s="40"/>
      <c r="K73" s="41"/>
      <c r="L73" s="42"/>
      <c r="M73" s="43"/>
      <c r="N73" s="41"/>
      <c r="O73" s="156"/>
    </row>
    <row r="74" spans="6:15" ht="22.5">
      <c r="F74" s="23"/>
      <c r="G74" s="23"/>
      <c r="H74" s="38"/>
      <c r="I74" s="39"/>
      <c r="J74" s="40"/>
      <c r="K74" s="41"/>
      <c r="L74" s="42"/>
      <c r="M74" s="43"/>
      <c r="N74" s="41"/>
      <c r="O74" s="156"/>
    </row>
    <row r="75" spans="6:15" ht="22.5">
      <c r="F75" s="23"/>
      <c r="G75" s="23"/>
      <c r="H75" s="38"/>
      <c r="I75" s="39"/>
      <c r="J75" s="40"/>
      <c r="K75" s="41"/>
      <c r="L75" s="42"/>
      <c r="M75" s="43"/>
      <c r="N75" s="41"/>
      <c r="O75" s="156"/>
    </row>
    <row r="76" spans="6:15" ht="22.5">
      <c r="F76" s="23"/>
      <c r="G76" s="23"/>
      <c r="H76" s="38"/>
      <c r="I76" s="39"/>
      <c r="J76" s="40"/>
      <c r="K76" s="41"/>
      <c r="L76" s="42"/>
      <c r="M76" s="43"/>
      <c r="N76" s="41"/>
      <c r="O76" s="156"/>
    </row>
    <row r="77" spans="14:15" ht="22.5">
      <c r="N77" s="31"/>
      <c r="O77" s="156"/>
    </row>
    <row r="78" spans="14:15" ht="22.5">
      <c r="N78" s="31"/>
      <c r="O78" s="145"/>
    </row>
    <row r="79" spans="14:15" ht="22.5">
      <c r="N79" s="31"/>
      <c r="O79" s="145"/>
    </row>
    <row r="80" spans="14:15" ht="22.5">
      <c r="N80" s="31"/>
      <c r="O80" s="145"/>
    </row>
    <row r="81" spans="14:15" ht="22.5">
      <c r="N81" s="31"/>
      <c r="O81" s="145"/>
    </row>
    <row r="82" spans="14:15" ht="22.5">
      <c r="N82" s="31"/>
      <c r="O82" s="145"/>
    </row>
    <row r="83" spans="14:15" ht="22.5">
      <c r="N83" s="31"/>
      <c r="O83" s="145"/>
    </row>
    <row r="84" spans="1:14" ht="22.5">
      <c r="A84" s="133"/>
      <c r="B84" s="134"/>
      <c r="C84" s="135"/>
      <c r="D84" s="136"/>
      <c r="E84" s="137"/>
      <c r="F84" s="137"/>
      <c r="G84" s="137"/>
      <c r="H84" s="138"/>
      <c r="I84" s="139"/>
      <c r="J84" s="140"/>
      <c r="K84" s="141"/>
      <c r="L84" s="142"/>
      <c r="M84" s="143"/>
      <c r="N84" s="144"/>
    </row>
  </sheetData>
  <sheetProtection insertRows="0" deleteRows="0" sort="0"/>
  <mergeCells count="13">
    <mergeCell ref="A62:N64"/>
    <mergeCell ref="A65:N68"/>
    <mergeCell ref="A59:B59"/>
    <mergeCell ref="A61:N61"/>
    <mergeCell ref="A2:N2"/>
    <mergeCell ref="L3:N3"/>
    <mergeCell ref="F3:F4"/>
    <mergeCell ref="E3:E4"/>
    <mergeCell ref="B3:B4"/>
    <mergeCell ref="D3:D4"/>
    <mergeCell ref="G3:G4"/>
    <mergeCell ref="H3:K3"/>
    <mergeCell ref="C3:C4"/>
  </mergeCells>
  <printOptions horizontalCentered="1" verticalCentered="1"/>
  <pageMargins left="0.53" right="0.19" top="0.5905511811023623" bottom="0.5" header="0.5118110236220472" footer="0.45"/>
  <pageSetup orientation="portrait" paperSize="9" scale="45" r:id="rId2"/>
  <ignoredErrors>
    <ignoredError sqref="K59:M60 N6:N31 K6:L8 J9:J31 M6:M8 K9:K33 J34:J53 K34:K53 L34:L36 K54:K55 J33 J54:J55 N34:N53" formula="1"/>
    <ignoredError sqref="E22:G30" numberStoredAsText="1"/>
    <ignoredError sqref="L9:L31 M32:M33 M9:M31 L32:L33 L37:L55" formula="1" unlockedFormula="1"/>
    <ignoredError sqref="M37:M58 L56:L58" unlockedFormula="1"/>
  </ignoredErrors>
  <drawing r:id="rId1"/>
</worksheet>
</file>

<file path=xl/worksheets/sheet2.xml><?xml version="1.0" encoding="utf-8"?>
<worksheet xmlns="http://schemas.openxmlformats.org/spreadsheetml/2006/main" xmlns:r="http://schemas.openxmlformats.org/officeDocument/2006/relationships">
  <dimension ref="A1:IV31"/>
  <sheetViews>
    <sheetView zoomScale="130" zoomScaleNormal="130" zoomScalePageLayoutView="0" workbookViewId="0" topLeftCell="A1">
      <selection activeCell="B12" sqref="B12"/>
    </sheetView>
  </sheetViews>
  <sheetFormatPr defaultColWidth="17.421875" defaultRowHeight="12.75"/>
  <cols>
    <col min="1" max="1" width="4.421875" style="76" bestFit="1" customWidth="1"/>
    <col min="2" max="2" width="52.140625" style="72" bestFit="1" customWidth="1"/>
    <col min="3" max="3" width="8.8515625" style="180" customWidth="1"/>
    <col min="4" max="4" width="22.00390625" style="73" bestFit="1" customWidth="1"/>
    <col min="5" max="5" width="7.421875" style="88" customWidth="1"/>
    <col min="6" max="6" width="8.421875" style="88" customWidth="1"/>
    <col min="7" max="7" width="14.7109375" style="38" bestFit="1" customWidth="1"/>
    <col min="8" max="8" width="10.421875" style="74" bestFit="1" customWidth="1"/>
    <col min="9" max="9" width="7.00390625" style="75" customWidth="1"/>
    <col min="10" max="10" width="2.140625" style="80" bestFit="1" customWidth="1"/>
    <col min="11" max="11" width="17.421875" style="192" customWidth="1"/>
    <col min="12" max="12" width="17.421875" style="70" customWidth="1"/>
    <col min="13" max="13" width="17.421875" style="71" customWidth="1"/>
    <col min="14" max="15" width="17.421875" style="68" customWidth="1"/>
    <col min="16" max="16384" width="17.421875" style="72" customWidth="1"/>
  </cols>
  <sheetData>
    <row r="1" spans="1:15" s="1" customFormat="1" ht="72.75" customHeight="1">
      <c r="A1" s="101"/>
      <c r="B1" s="102"/>
      <c r="C1" s="103"/>
      <c r="D1" s="104"/>
      <c r="E1" s="105"/>
      <c r="F1" s="105"/>
      <c r="G1" s="105"/>
      <c r="H1" s="106"/>
      <c r="I1" s="107"/>
      <c r="J1" s="176"/>
      <c r="K1" s="187"/>
      <c r="L1" s="110"/>
      <c r="M1" s="111"/>
      <c r="N1" s="112"/>
      <c r="O1" s="64"/>
    </row>
    <row r="2" spans="1:15" s="5" customFormat="1" ht="22.5" customHeight="1">
      <c r="A2" s="470" t="s">
        <v>87</v>
      </c>
      <c r="B2" s="471"/>
      <c r="C2" s="471"/>
      <c r="D2" s="471"/>
      <c r="E2" s="471"/>
      <c r="F2" s="471"/>
      <c r="G2" s="471"/>
      <c r="H2" s="471"/>
      <c r="I2" s="471"/>
      <c r="J2" s="177"/>
      <c r="K2" s="188"/>
      <c r="L2" s="113"/>
      <c r="M2" s="113"/>
      <c r="N2" s="113"/>
      <c r="O2" s="65"/>
    </row>
    <row r="3" spans="1:13" s="119" customFormat="1" ht="12.75">
      <c r="A3" s="115"/>
      <c r="B3" s="472" t="s">
        <v>6</v>
      </c>
      <c r="C3" s="473" t="s">
        <v>40</v>
      </c>
      <c r="D3" s="474" t="s">
        <v>43</v>
      </c>
      <c r="E3" s="475" t="s">
        <v>45</v>
      </c>
      <c r="F3" s="475" t="s">
        <v>41</v>
      </c>
      <c r="G3" s="475" t="s">
        <v>47</v>
      </c>
      <c r="H3" s="475"/>
      <c r="I3" s="476" t="s">
        <v>42</v>
      </c>
      <c r="J3" s="116"/>
      <c r="K3" s="189"/>
      <c r="L3" s="117"/>
      <c r="M3" s="118"/>
    </row>
    <row r="4" spans="1:13" s="123" customFormat="1" ht="13.5" thickBot="1">
      <c r="A4" s="120"/>
      <c r="B4" s="472"/>
      <c r="C4" s="473"/>
      <c r="D4" s="474"/>
      <c r="E4" s="475"/>
      <c r="F4" s="475"/>
      <c r="G4" s="226" t="s">
        <v>7</v>
      </c>
      <c r="H4" s="227" t="s">
        <v>5</v>
      </c>
      <c r="I4" s="476"/>
      <c r="J4" s="116"/>
      <c r="K4" s="190"/>
      <c r="L4" s="121"/>
      <c r="M4" s="122"/>
    </row>
    <row r="5" spans="1:11" ht="13.5" customHeight="1">
      <c r="A5" s="114">
        <v>1</v>
      </c>
      <c r="B5" s="350" t="s">
        <v>111</v>
      </c>
      <c r="C5" s="351">
        <v>40550</v>
      </c>
      <c r="D5" s="352" t="s">
        <v>23</v>
      </c>
      <c r="E5" s="353">
        <v>356</v>
      </c>
      <c r="F5" s="353">
        <v>2</v>
      </c>
      <c r="G5" s="358">
        <v>20354197</v>
      </c>
      <c r="H5" s="359">
        <v>2120112</v>
      </c>
      <c r="I5" s="360">
        <f>+G5/H5</f>
        <v>9.600529122989728</v>
      </c>
      <c r="J5" s="403">
        <v>1</v>
      </c>
      <c r="K5" s="191"/>
    </row>
    <row r="6" spans="1:11" ht="13.5" customHeight="1">
      <c r="A6" s="114">
        <v>2</v>
      </c>
      <c r="B6" s="361" t="s">
        <v>109</v>
      </c>
      <c r="C6" s="198">
        <v>40550</v>
      </c>
      <c r="D6" s="325" t="s">
        <v>27</v>
      </c>
      <c r="E6" s="326">
        <v>238</v>
      </c>
      <c r="F6" s="326">
        <v>2</v>
      </c>
      <c r="G6" s="271">
        <f>3050831.5+2178855.5</f>
        <v>5229687</v>
      </c>
      <c r="H6" s="200">
        <f>393137+282255</f>
        <v>675392</v>
      </c>
      <c r="I6" s="296">
        <f>IF(G6&lt;&gt;0,G6/H6,"")</f>
        <v>7.743187659907135</v>
      </c>
      <c r="J6" s="404"/>
      <c r="K6" s="191"/>
    </row>
    <row r="7" spans="1:11" ht="13.5" customHeight="1">
      <c r="A7" s="268">
        <v>3</v>
      </c>
      <c r="B7" s="445" t="s">
        <v>61</v>
      </c>
      <c r="C7" s="446">
        <v>40543</v>
      </c>
      <c r="D7" s="447" t="s">
        <v>25</v>
      </c>
      <c r="E7" s="448">
        <v>99</v>
      </c>
      <c r="F7" s="448">
        <v>3</v>
      </c>
      <c r="G7" s="449">
        <f>74157.5+721285.5+410076+112730.5</f>
        <v>1318249.5</v>
      </c>
      <c r="H7" s="450">
        <f>7361+62279+35611+10987</f>
        <v>116238</v>
      </c>
      <c r="I7" s="451">
        <f>G7/H7</f>
        <v>11.340951324007639</v>
      </c>
      <c r="J7" s="405"/>
      <c r="K7" s="191"/>
    </row>
    <row r="8" spans="1:11" ht="13.5" customHeight="1">
      <c r="A8" s="114">
        <v>4</v>
      </c>
      <c r="B8" s="440" t="s">
        <v>134</v>
      </c>
      <c r="C8" s="260">
        <v>40557</v>
      </c>
      <c r="D8" s="441" t="s">
        <v>28</v>
      </c>
      <c r="E8" s="442">
        <v>66</v>
      </c>
      <c r="F8" s="442">
        <v>1</v>
      </c>
      <c r="G8" s="315">
        <v>915374</v>
      </c>
      <c r="H8" s="443">
        <v>81861</v>
      </c>
      <c r="I8" s="444">
        <f>+G8/H8</f>
        <v>11.182052503634209</v>
      </c>
      <c r="J8" s="404"/>
      <c r="K8" s="191"/>
    </row>
    <row r="9" spans="1:11" ht="13.5" customHeight="1">
      <c r="A9" s="114">
        <v>5</v>
      </c>
      <c r="B9" s="362" t="s">
        <v>135</v>
      </c>
      <c r="C9" s="316">
        <v>40557</v>
      </c>
      <c r="D9" s="317" t="s">
        <v>23</v>
      </c>
      <c r="E9" s="318">
        <v>129</v>
      </c>
      <c r="F9" s="318">
        <v>1</v>
      </c>
      <c r="G9" s="323">
        <v>660392</v>
      </c>
      <c r="H9" s="434">
        <v>54227</v>
      </c>
      <c r="I9" s="363">
        <f>+G9/H9</f>
        <v>12.17828756892323</v>
      </c>
      <c r="J9" s="403"/>
      <c r="K9" s="191"/>
    </row>
    <row r="10" spans="1:11" ht="13.5" customHeight="1">
      <c r="A10" s="114">
        <v>6</v>
      </c>
      <c r="B10" s="364" t="s">
        <v>136</v>
      </c>
      <c r="C10" s="330">
        <v>40557</v>
      </c>
      <c r="D10" s="329" t="s">
        <v>25</v>
      </c>
      <c r="E10" s="331">
        <v>50</v>
      </c>
      <c r="F10" s="331">
        <v>1</v>
      </c>
      <c r="G10" s="336">
        <f>462113.75</f>
        <v>462113.75</v>
      </c>
      <c r="H10" s="337">
        <f>36845</f>
        <v>36845</v>
      </c>
      <c r="I10" s="365">
        <f>G10/H10</f>
        <v>12.542102049124711</v>
      </c>
      <c r="J10" s="405"/>
      <c r="K10" s="191"/>
    </row>
    <row r="11" spans="1:11" ht="13.5" customHeight="1">
      <c r="A11" s="114">
        <v>7</v>
      </c>
      <c r="B11" s="295" t="s">
        <v>90</v>
      </c>
      <c r="C11" s="194">
        <v>40543</v>
      </c>
      <c r="D11" s="328" t="s">
        <v>120</v>
      </c>
      <c r="E11" s="327" t="s">
        <v>75</v>
      </c>
      <c r="F11" s="327" t="s">
        <v>122</v>
      </c>
      <c r="G11" s="280">
        <v>215914</v>
      </c>
      <c r="H11" s="203">
        <v>16855</v>
      </c>
      <c r="I11" s="296">
        <f>IF(G11&lt;&gt;0,G11/H11,"")</f>
        <v>12.8100860278849</v>
      </c>
      <c r="J11" s="404"/>
      <c r="K11" s="191"/>
    </row>
    <row r="12" spans="1:11" ht="13.5" customHeight="1">
      <c r="A12" s="114">
        <v>8</v>
      </c>
      <c r="B12" s="369" t="s">
        <v>89</v>
      </c>
      <c r="C12" s="330">
        <v>40543</v>
      </c>
      <c r="D12" s="329" t="s">
        <v>25</v>
      </c>
      <c r="E12" s="331">
        <v>77</v>
      </c>
      <c r="F12" s="331">
        <v>3</v>
      </c>
      <c r="G12" s="336">
        <f>163528+30551+13366.5</f>
        <v>207445.5</v>
      </c>
      <c r="H12" s="337">
        <f>16190+3500+1888</f>
        <v>21578</v>
      </c>
      <c r="I12" s="365">
        <f>G12/H12</f>
        <v>9.613750115858744</v>
      </c>
      <c r="J12" s="405">
        <v>1</v>
      </c>
      <c r="K12" s="191"/>
    </row>
    <row r="13" spans="1:11" ht="13.5" customHeight="1">
      <c r="A13" s="114">
        <v>9</v>
      </c>
      <c r="B13" s="436" t="s">
        <v>91</v>
      </c>
      <c r="C13" s="316">
        <v>40543</v>
      </c>
      <c r="D13" s="317" t="s">
        <v>23</v>
      </c>
      <c r="E13" s="318">
        <v>118</v>
      </c>
      <c r="F13" s="318">
        <v>3</v>
      </c>
      <c r="G13" s="323">
        <v>198153</v>
      </c>
      <c r="H13" s="434">
        <v>21831</v>
      </c>
      <c r="I13" s="363">
        <f>+G13/H13</f>
        <v>9.076679950529064</v>
      </c>
      <c r="J13" s="403">
        <v>1</v>
      </c>
      <c r="K13" s="191"/>
    </row>
    <row r="14" spans="1:11" ht="13.5" customHeight="1">
      <c r="A14" s="114">
        <v>10</v>
      </c>
      <c r="B14" s="295" t="s">
        <v>137</v>
      </c>
      <c r="C14" s="194">
        <v>40557</v>
      </c>
      <c r="D14" s="328" t="s">
        <v>28</v>
      </c>
      <c r="E14" s="327">
        <v>66</v>
      </c>
      <c r="F14" s="327">
        <v>1</v>
      </c>
      <c r="G14" s="280">
        <v>138580</v>
      </c>
      <c r="H14" s="203">
        <v>15328</v>
      </c>
      <c r="I14" s="296">
        <f>+G14/H14</f>
        <v>9.040970772442588</v>
      </c>
      <c r="J14" s="404">
        <v>1</v>
      </c>
      <c r="K14" s="191"/>
    </row>
    <row r="15" spans="1:11" ht="13.5" customHeight="1">
      <c r="A15" s="114">
        <v>11</v>
      </c>
      <c r="B15" s="295" t="s">
        <v>95</v>
      </c>
      <c r="C15" s="194">
        <v>40543</v>
      </c>
      <c r="D15" s="328" t="s">
        <v>17</v>
      </c>
      <c r="E15" s="327">
        <v>20</v>
      </c>
      <c r="F15" s="327">
        <v>3</v>
      </c>
      <c r="G15" s="282">
        <f>66843.5+17122+2473.5</f>
        <v>86439</v>
      </c>
      <c r="H15" s="200">
        <f>6779+1684+271</f>
        <v>8734</v>
      </c>
      <c r="I15" s="296">
        <f>IF(G15&lt;&gt;0,G15/H15,"")</f>
        <v>9.896839935882758</v>
      </c>
      <c r="J15" s="404"/>
      <c r="K15" s="191"/>
    </row>
    <row r="16" spans="1:11" ht="13.5" customHeight="1">
      <c r="A16" s="114">
        <v>12</v>
      </c>
      <c r="B16" s="361" t="s">
        <v>98</v>
      </c>
      <c r="C16" s="198">
        <v>40543</v>
      </c>
      <c r="D16" s="325" t="s">
        <v>32</v>
      </c>
      <c r="E16" s="326">
        <v>37</v>
      </c>
      <c r="F16" s="326">
        <v>3</v>
      </c>
      <c r="G16" s="271">
        <v>56670.5</v>
      </c>
      <c r="H16" s="200">
        <v>6895</v>
      </c>
      <c r="I16" s="296">
        <f>IF(G16&lt;&gt;0,G16/H16,"")</f>
        <v>8.21907179115301</v>
      </c>
      <c r="J16" s="404">
        <v>1</v>
      </c>
      <c r="K16" s="191"/>
    </row>
    <row r="17" spans="1:11" ht="13.5" customHeight="1">
      <c r="A17" s="114">
        <v>13</v>
      </c>
      <c r="B17" s="366" t="s">
        <v>92</v>
      </c>
      <c r="C17" s="211">
        <v>40543</v>
      </c>
      <c r="D17" s="338" t="s">
        <v>96</v>
      </c>
      <c r="E17" s="435">
        <v>2</v>
      </c>
      <c r="F17" s="435">
        <v>3</v>
      </c>
      <c r="G17" s="285">
        <v>50208</v>
      </c>
      <c r="H17" s="213">
        <v>3370</v>
      </c>
      <c r="I17" s="298">
        <f>G17/H17</f>
        <v>14.898516320474778</v>
      </c>
      <c r="J17" s="404"/>
      <c r="K17" s="191"/>
    </row>
    <row r="18" spans="1:11" ht="13.5" customHeight="1">
      <c r="A18" s="114">
        <v>14</v>
      </c>
      <c r="B18" s="366" t="s">
        <v>138</v>
      </c>
      <c r="C18" s="211">
        <v>40557</v>
      </c>
      <c r="D18" s="338" t="s">
        <v>96</v>
      </c>
      <c r="E18" s="435">
        <v>7</v>
      </c>
      <c r="F18" s="435">
        <v>1</v>
      </c>
      <c r="G18" s="285">
        <v>48974</v>
      </c>
      <c r="H18" s="213">
        <v>3294</v>
      </c>
      <c r="I18" s="298">
        <f>G18/H18</f>
        <v>14.867638129933212</v>
      </c>
      <c r="J18" s="404"/>
      <c r="K18" s="191"/>
    </row>
    <row r="19" spans="1:11" ht="13.5" customHeight="1">
      <c r="A19" s="114">
        <v>15</v>
      </c>
      <c r="B19" s="367" t="s">
        <v>139</v>
      </c>
      <c r="C19" s="341">
        <v>40557</v>
      </c>
      <c r="D19" s="340" t="s">
        <v>119</v>
      </c>
      <c r="E19" s="342">
        <v>12</v>
      </c>
      <c r="F19" s="342">
        <v>1</v>
      </c>
      <c r="G19" s="347">
        <v>17557</v>
      </c>
      <c r="H19" s="345">
        <v>1599</v>
      </c>
      <c r="I19" s="368">
        <v>10.979987492182614</v>
      </c>
      <c r="J19" s="404"/>
      <c r="K19" s="191"/>
    </row>
    <row r="20" spans="1:11" ht="13.5" customHeight="1" thickBot="1">
      <c r="A20" s="114">
        <v>16</v>
      </c>
      <c r="B20" s="437" t="s">
        <v>110</v>
      </c>
      <c r="C20" s="438">
        <v>40550</v>
      </c>
      <c r="D20" s="373" t="s">
        <v>25</v>
      </c>
      <c r="E20" s="439">
        <v>2</v>
      </c>
      <c r="F20" s="439">
        <v>2</v>
      </c>
      <c r="G20" s="379">
        <f>8356+3109</f>
        <v>11465</v>
      </c>
      <c r="H20" s="380">
        <f>789+330</f>
        <v>1119</v>
      </c>
      <c r="I20" s="381">
        <f>G20/H20</f>
        <v>10.245755138516532</v>
      </c>
      <c r="J20" s="405"/>
      <c r="K20" s="191"/>
    </row>
    <row r="21" spans="2:9" ht="12.75">
      <c r="B21" s="81"/>
      <c r="C21" s="179"/>
      <c r="D21" s="82"/>
      <c r="E21" s="87"/>
      <c r="F21" s="87"/>
      <c r="G21" s="83"/>
      <c r="H21" s="84"/>
      <c r="I21" s="85"/>
    </row>
    <row r="22" spans="1:52" s="126" customFormat="1" ht="21.75" customHeight="1">
      <c r="A22" s="465" t="s">
        <v>56</v>
      </c>
      <c r="B22" s="466"/>
      <c r="C22" s="466"/>
      <c r="D22" s="466"/>
      <c r="E22" s="466"/>
      <c r="F22" s="466"/>
      <c r="G22" s="466"/>
      <c r="H22" s="466"/>
      <c r="I22" s="466"/>
      <c r="J22" s="466"/>
      <c r="K22" s="466"/>
      <c r="L22" s="466"/>
      <c r="M22" s="466"/>
      <c r="N22" s="466"/>
      <c r="O22" s="130"/>
      <c r="P22" s="131"/>
      <c r="Q22" s="131"/>
      <c r="R22" s="131"/>
      <c r="S22" s="131"/>
      <c r="T22" s="131"/>
      <c r="U22" s="131"/>
      <c r="V22" s="131"/>
      <c r="W22" s="149"/>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46"/>
    </row>
    <row r="23" spans="1:256" s="126" customFormat="1" ht="18" customHeight="1">
      <c r="A23" s="465" t="s">
        <v>29</v>
      </c>
      <c r="B23" s="466"/>
      <c r="C23" s="466"/>
      <c r="D23" s="466"/>
      <c r="E23" s="466"/>
      <c r="F23" s="466"/>
      <c r="G23" s="466"/>
      <c r="H23" s="466"/>
      <c r="I23" s="466"/>
      <c r="J23" s="466"/>
      <c r="K23" s="466"/>
      <c r="L23" s="466"/>
      <c r="M23" s="466"/>
      <c r="N23" s="466"/>
      <c r="O23" s="130"/>
      <c r="P23" s="131"/>
      <c r="Q23" s="131"/>
      <c r="R23" s="131"/>
      <c r="S23" s="131"/>
      <c r="T23" s="131"/>
      <c r="U23" s="131"/>
      <c r="V23" s="131"/>
      <c r="W23" s="151"/>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1"/>
      <c r="AT23" s="152"/>
      <c r="AU23" s="152"/>
      <c r="AV23" s="152"/>
      <c r="AW23" s="152"/>
      <c r="AX23" s="152"/>
      <c r="AY23" s="152"/>
      <c r="AZ23" s="147"/>
      <c r="BA23" s="128"/>
      <c r="BB23" s="128"/>
      <c r="BC23" s="128"/>
      <c r="BD23" s="128"/>
      <c r="BE23" s="128"/>
      <c r="BF23" s="128"/>
      <c r="BG23" s="128"/>
      <c r="BH23" s="128"/>
      <c r="BI23" s="128"/>
      <c r="BJ23" s="128"/>
      <c r="BK23" s="128"/>
      <c r="BL23" s="128"/>
      <c r="BM23" s="128"/>
      <c r="BN23" s="128"/>
      <c r="BO23" s="127"/>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7"/>
      <c r="CL23" s="128"/>
      <c r="CM23" s="128"/>
      <c r="CN23" s="128"/>
      <c r="CO23" s="128"/>
      <c r="CP23" s="128"/>
      <c r="CQ23" s="128"/>
      <c r="CR23" s="128"/>
      <c r="CS23" s="128"/>
      <c r="CT23" s="128"/>
      <c r="CU23" s="128"/>
      <c r="CV23" s="128"/>
      <c r="CW23" s="128"/>
      <c r="CX23" s="128"/>
      <c r="CY23" s="128"/>
      <c r="CZ23" s="128"/>
      <c r="DA23" s="128"/>
      <c r="DB23" s="128"/>
      <c r="DC23" s="128"/>
      <c r="DD23" s="128"/>
      <c r="DE23" s="128"/>
      <c r="DF23" s="128"/>
      <c r="DG23" s="127"/>
      <c r="DH23" s="128"/>
      <c r="DI23" s="128"/>
      <c r="DJ23" s="128"/>
      <c r="DK23" s="128"/>
      <c r="DL23" s="128"/>
      <c r="DM23" s="128"/>
      <c r="DN23" s="128"/>
      <c r="DO23" s="128"/>
      <c r="DP23" s="128"/>
      <c r="DQ23" s="128"/>
      <c r="DR23" s="128"/>
      <c r="DS23" s="128"/>
      <c r="DT23" s="128"/>
      <c r="DU23" s="128"/>
      <c r="DV23" s="128"/>
      <c r="DW23" s="128"/>
      <c r="DX23" s="128"/>
      <c r="DY23" s="128"/>
      <c r="DZ23" s="128"/>
      <c r="EA23" s="128"/>
      <c r="EB23" s="128"/>
      <c r="EC23" s="127"/>
      <c r="ED23" s="128"/>
      <c r="EE23" s="128"/>
      <c r="EF23" s="128"/>
      <c r="EG23" s="128"/>
      <c r="EH23" s="128"/>
      <c r="EI23" s="128"/>
      <c r="EJ23" s="128"/>
      <c r="EK23" s="128"/>
      <c r="EL23" s="128"/>
      <c r="EM23" s="128"/>
      <c r="EN23" s="128"/>
      <c r="EO23" s="128"/>
      <c r="EP23" s="128"/>
      <c r="EQ23" s="128"/>
      <c r="ER23" s="128"/>
      <c r="ES23" s="128"/>
      <c r="ET23" s="128"/>
      <c r="EU23" s="128"/>
      <c r="EV23" s="128"/>
      <c r="EW23" s="128"/>
      <c r="EX23" s="128"/>
      <c r="EY23" s="127"/>
      <c r="EZ23" s="128"/>
      <c r="FA23" s="128"/>
      <c r="FB23" s="128"/>
      <c r="FC23" s="128"/>
      <c r="FD23" s="128"/>
      <c r="FE23" s="128"/>
      <c r="FF23" s="128"/>
      <c r="FG23" s="128"/>
      <c r="FH23" s="128"/>
      <c r="FI23" s="128"/>
      <c r="FJ23" s="128"/>
      <c r="FK23" s="128"/>
      <c r="FL23" s="128"/>
      <c r="FM23" s="128"/>
      <c r="FN23" s="128"/>
      <c r="FO23" s="128"/>
      <c r="FP23" s="128"/>
      <c r="FQ23" s="128"/>
      <c r="FR23" s="128"/>
      <c r="FS23" s="128"/>
      <c r="FT23" s="128"/>
      <c r="FU23" s="127"/>
      <c r="FV23" s="128"/>
      <c r="FW23" s="128"/>
      <c r="FX23" s="128"/>
      <c r="FY23" s="128"/>
      <c r="FZ23" s="128"/>
      <c r="GA23" s="128"/>
      <c r="GB23" s="128"/>
      <c r="GC23" s="128"/>
      <c r="GD23" s="128"/>
      <c r="GE23" s="128"/>
      <c r="GF23" s="128"/>
      <c r="GG23" s="128"/>
      <c r="GH23" s="128"/>
      <c r="GI23" s="128"/>
      <c r="GJ23" s="128"/>
      <c r="GK23" s="128"/>
      <c r="GL23" s="128"/>
      <c r="GM23" s="128"/>
      <c r="GN23" s="128"/>
      <c r="GO23" s="128"/>
      <c r="GP23" s="128"/>
      <c r="GQ23" s="127"/>
      <c r="GR23" s="128"/>
      <c r="GS23" s="128"/>
      <c r="GT23" s="128"/>
      <c r="GU23" s="128"/>
      <c r="GV23" s="128"/>
      <c r="GW23" s="128"/>
      <c r="GX23" s="128"/>
      <c r="GY23" s="128"/>
      <c r="GZ23" s="128"/>
      <c r="HA23" s="128"/>
      <c r="HB23" s="128"/>
      <c r="HC23" s="128"/>
      <c r="HD23" s="128"/>
      <c r="HE23" s="128"/>
      <c r="HF23" s="128"/>
      <c r="HG23" s="128"/>
      <c r="HH23" s="128"/>
      <c r="HI23" s="128"/>
      <c r="HJ23" s="128"/>
      <c r="HK23" s="128"/>
      <c r="HL23" s="128"/>
      <c r="HM23" s="127"/>
      <c r="HN23" s="128"/>
      <c r="HO23" s="128"/>
      <c r="HP23" s="128"/>
      <c r="HQ23" s="128"/>
      <c r="HR23" s="128"/>
      <c r="HS23" s="128"/>
      <c r="HT23" s="128"/>
      <c r="HU23" s="128"/>
      <c r="HV23" s="128"/>
      <c r="HW23" s="128"/>
      <c r="HX23" s="128"/>
      <c r="HY23" s="128"/>
      <c r="HZ23" s="128"/>
      <c r="IA23" s="128"/>
      <c r="IB23" s="128"/>
      <c r="IC23" s="128"/>
      <c r="ID23" s="128"/>
      <c r="IE23" s="128"/>
      <c r="IF23" s="128"/>
      <c r="IG23" s="128"/>
      <c r="IH23" s="128"/>
      <c r="II23" s="127"/>
      <c r="IJ23" s="128"/>
      <c r="IK23" s="128"/>
      <c r="IL23" s="128"/>
      <c r="IM23" s="128"/>
      <c r="IN23" s="128"/>
      <c r="IO23" s="128"/>
      <c r="IP23" s="128"/>
      <c r="IQ23" s="128"/>
      <c r="IR23" s="128"/>
      <c r="IS23" s="128"/>
      <c r="IT23" s="128"/>
      <c r="IU23" s="128"/>
      <c r="IV23" s="128"/>
    </row>
    <row r="24" spans="1:256" s="126" customFormat="1" ht="18" customHeight="1">
      <c r="A24" s="466"/>
      <c r="B24" s="466"/>
      <c r="C24" s="466"/>
      <c r="D24" s="466"/>
      <c r="E24" s="466"/>
      <c r="F24" s="466"/>
      <c r="G24" s="466"/>
      <c r="H24" s="466"/>
      <c r="I24" s="466"/>
      <c r="J24" s="466"/>
      <c r="K24" s="466"/>
      <c r="L24" s="466"/>
      <c r="M24" s="466"/>
      <c r="N24" s="466"/>
      <c r="O24" s="130"/>
      <c r="P24" s="131"/>
      <c r="Q24" s="131"/>
      <c r="R24" s="131"/>
      <c r="S24" s="131"/>
      <c r="T24" s="131"/>
      <c r="U24" s="131"/>
      <c r="V24" s="131"/>
      <c r="W24" s="151"/>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1"/>
      <c r="AT24" s="152"/>
      <c r="AU24" s="152"/>
      <c r="AV24" s="152"/>
      <c r="AW24" s="152"/>
      <c r="AX24" s="152"/>
      <c r="AY24" s="152"/>
      <c r="AZ24" s="147"/>
      <c r="BA24" s="128"/>
      <c r="BB24" s="128"/>
      <c r="BC24" s="128"/>
      <c r="BD24" s="128"/>
      <c r="BE24" s="128"/>
      <c r="BF24" s="128"/>
      <c r="BG24" s="128"/>
      <c r="BH24" s="128"/>
      <c r="BI24" s="128"/>
      <c r="BJ24" s="128"/>
      <c r="BK24" s="128"/>
      <c r="BL24" s="128"/>
      <c r="BM24" s="128"/>
      <c r="BN24" s="128"/>
      <c r="BO24" s="127"/>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7"/>
      <c r="CL24" s="128"/>
      <c r="CM24" s="128"/>
      <c r="CN24" s="128"/>
      <c r="CO24" s="128"/>
      <c r="CP24" s="128"/>
      <c r="CQ24" s="128"/>
      <c r="CR24" s="128"/>
      <c r="CS24" s="128"/>
      <c r="CT24" s="128"/>
      <c r="CU24" s="128"/>
      <c r="CV24" s="128"/>
      <c r="CW24" s="128"/>
      <c r="CX24" s="128"/>
      <c r="CY24" s="128"/>
      <c r="CZ24" s="128"/>
      <c r="DA24" s="128"/>
      <c r="DB24" s="128"/>
      <c r="DC24" s="128"/>
      <c r="DD24" s="128"/>
      <c r="DE24" s="128"/>
      <c r="DF24" s="128"/>
      <c r="DG24" s="127"/>
      <c r="DH24" s="128"/>
      <c r="DI24" s="128"/>
      <c r="DJ24" s="128"/>
      <c r="DK24" s="128"/>
      <c r="DL24" s="128"/>
      <c r="DM24" s="128"/>
      <c r="DN24" s="128"/>
      <c r="DO24" s="128"/>
      <c r="DP24" s="128"/>
      <c r="DQ24" s="128"/>
      <c r="DR24" s="128"/>
      <c r="DS24" s="128"/>
      <c r="DT24" s="128"/>
      <c r="DU24" s="128"/>
      <c r="DV24" s="128"/>
      <c r="DW24" s="128"/>
      <c r="DX24" s="128"/>
      <c r="DY24" s="128"/>
      <c r="DZ24" s="128"/>
      <c r="EA24" s="128"/>
      <c r="EB24" s="128"/>
      <c r="EC24" s="127"/>
      <c r="ED24" s="128"/>
      <c r="EE24" s="128"/>
      <c r="EF24" s="128"/>
      <c r="EG24" s="128"/>
      <c r="EH24" s="128"/>
      <c r="EI24" s="128"/>
      <c r="EJ24" s="128"/>
      <c r="EK24" s="128"/>
      <c r="EL24" s="128"/>
      <c r="EM24" s="128"/>
      <c r="EN24" s="128"/>
      <c r="EO24" s="128"/>
      <c r="EP24" s="128"/>
      <c r="EQ24" s="128"/>
      <c r="ER24" s="128"/>
      <c r="ES24" s="128"/>
      <c r="ET24" s="128"/>
      <c r="EU24" s="128"/>
      <c r="EV24" s="128"/>
      <c r="EW24" s="128"/>
      <c r="EX24" s="128"/>
      <c r="EY24" s="127"/>
      <c r="EZ24" s="128"/>
      <c r="FA24" s="128"/>
      <c r="FB24" s="128"/>
      <c r="FC24" s="128"/>
      <c r="FD24" s="128"/>
      <c r="FE24" s="128"/>
      <c r="FF24" s="128"/>
      <c r="FG24" s="128"/>
      <c r="FH24" s="128"/>
      <c r="FI24" s="128"/>
      <c r="FJ24" s="128"/>
      <c r="FK24" s="128"/>
      <c r="FL24" s="128"/>
      <c r="FM24" s="128"/>
      <c r="FN24" s="128"/>
      <c r="FO24" s="128"/>
      <c r="FP24" s="128"/>
      <c r="FQ24" s="128"/>
      <c r="FR24" s="128"/>
      <c r="FS24" s="128"/>
      <c r="FT24" s="128"/>
      <c r="FU24" s="127"/>
      <c r="FV24" s="128"/>
      <c r="FW24" s="128"/>
      <c r="FX24" s="128"/>
      <c r="FY24" s="128"/>
      <c r="FZ24" s="128"/>
      <c r="GA24" s="128"/>
      <c r="GB24" s="128"/>
      <c r="GC24" s="128"/>
      <c r="GD24" s="128"/>
      <c r="GE24" s="128"/>
      <c r="GF24" s="128"/>
      <c r="GG24" s="128"/>
      <c r="GH24" s="128"/>
      <c r="GI24" s="128"/>
      <c r="GJ24" s="128"/>
      <c r="GK24" s="128"/>
      <c r="GL24" s="128"/>
      <c r="GM24" s="128"/>
      <c r="GN24" s="128"/>
      <c r="GO24" s="128"/>
      <c r="GP24" s="128"/>
      <c r="GQ24" s="127"/>
      <c r="GR24" s="128"/>
      <c r="GS24" s="128"/>
      <c r="GT24" s="128"/>
      <c r="GU24" s="128"/>
      <c r="GV24" s="128"/>
      <c r="GW24" s="128"/>
      <c r="GX24" s="128"/>
      <c r="GY24" s="128"/>
      <c r="GZ24" s="128"/>
      <c r="HA24" s="128"/>
      <c r="HB24" s="128"/>
      <c r="HC24" s="128"/>
      <c r="HD24" s="128"/>
      <c r="HE24" s="128"/>
      <c r="HF24" s="128"/>
      <c r="HG24" s="128"/>
      <c r="HH24" s="128"/>
      <c r="HI24" s="128"/>
      <c r="HJ24" s="128"/>
      <c r="HK24" s="128"/>
      <c r="HL24" s="128"/>
      <c r="HM24" s="127"/>
      <c r="HN24" s="128"/>
      <c r="HO24" s="128"/>
      <c r="HP24" s="128"/>
      <c r="HQ24" s="128"/>
      <c r="HR24" s="128"/>
      <c r="HS24" s="128"/>
      <c r="HT24" s="128"/>
      <c r="HU24" s="128"/>
      <c r="HV24" s="128"/>
      <c r="HW24" s="128"/>
      <c r="HX24" s="128"/>
      <c r="HY24" s="128"/>
      <c r="HZ24" s="128"/>
      <c r="IA24" s="128"/>
      <c r="IB24" s="128"/>
      <c r="IC24" s="128"/>
      <c r="ID24" s="128"/>
      <c r="IE24" s="128"/>
      <c r="IF24" s="128"/>
      <c r="IG24" s="128"/>
      <c r="IH24" s="128"/>
      <c r="II24" s="127"/>
      <c r="IJ24" s="128"/>
      <c r="IK24" s="128"/>
      <c r="IL24" s="128"/>
      <c r="IM24" s="128"/>
      <c r="IN24" s="128"/>
      <c r="IO24" s="128"/>
      <c r="IP24" s="128"/>
      <c r="IQ24" s="128"/>
      <c r="IR24" s="128"/>
      <c r="IS24" s="128"/>
      <c r="IT24" s="128"/>
      <c r="IU24" s="128"/>
      <c r="IV24" s="128"/>
    </row>
    <row r="25" spans="1:256" s="126" customFormat="1" ht="18" customHeight="1">
      <c r="A25" s="466"/>
      <c r="B25" s="466"/>
      <c r="C25" s="466"/>
      <c r="D25" s="466"/>
      <c r="E25" s="466"/>
      <c r="F25" s="466"/>
      <c r="G25" s="466"/>
      <c r="H25" s="466"/>
      <c r="I25" s="466"/>
      <c r="J25" s="466"/>
      <c r="K25" s="466"/>
      <c r="L25" s="466"/>
      <c r="M25" s="466"/>
      <c r="N25" s="466"/>
      <c r="O25" s="130"/>
      <c r="P25" s="131"/>
      <c r="Q25" s="131"/>
      <c r="R25" s="131"/>
      <c r="S25" s="131"/>
      <c r="T25" s="131"/>
      <c r="U25" s="131"/>
      <c r="V25" s="131"/>
      <c r="W25" s="151"/>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1"/>
      <c r="AT25" s="152"/>
      <c r="AU25" s="152"/>
      <c r="AV25" s="152"/>
      <c r="AW25" s="152"/>
      <c r="AX25" s="152"/>
      <c r="AY25" s="152"/>
      <c r="AZ25" s="147"/>
      <c r="BA25" s="128"/>
      <c r="BB25" s="128"/>
      <c r="BC25" s="128"/>
      <c r="BD25" s="128"/>
      <c r="BE25" s="128"/>
      <c r="BF25" s="128"/>
      <c r="BG25" s="128"/>
      <c r="BH25" s="128"/>
      <c r="BI25" s="128"/>
      <c r="BJ25" s="128"/>
      <c r="BK25" s="128"/>
      <c r="BL25" s="128"/>
      <c r="BM25" s="128"/>
      <c r="BN25" s="128"/>
      <c r="BO25" s="127"/>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7"/>
      <c r="CL25" s="128"/>
      <c r="CM25" s="128"/>
      <c r="CN25" s="128"/>
      <c r="CO25" s="128"/>
      <c r="CP25" s="128"/>
      <c r="CQ25" s="128"/>
      <c r="CR25" s="128"/>
      <c r="CS25" s="128"/>
      <c r="CT25" s="128"/>
      <c r="CU25" s="128"/>
      <c r="CV25" s="128"/>
      <c r="CW25" s="128"/>
      <c r="CX25" s="128"/>
      <c r="CY25" s="128"/>
      <c r="CZ25" s="128"/>
      <c r="DA25" s="128"/>
      <c r="DB25" s="128"/>
      <c r="DC25" s="128"/>
      <c r="DD25" s="128"/>
      <c r="DE25" s="128"/>
      <c r="DF25" s="128"/>
      <c r="DG25" s="127"/>
      <c r="DH25" s="128"/>
      <c r="DI25" s="128"/>
      <c r="DJ25" s="128"/>
      <c r="DK25" s="128"/>
      <c r="DL25" s="128"/>
      <c r="DM25" s="128"/>
      <c r="DN25" s="128"/>
      <c r="DO25" s="128"/>
      <c r="DP25" s="128"/>
      <c r="DQ25" s="128"/>
      <c r="DR25" s="128"/>
      <c r="DS25" s="128"/>
      <c r="DT25" s="128"/>
      <c r="DU25" s="128"/>
      <c r="DV25" s="128"/>
      <c r="DW25" s="128"/>
      <c r="DX25" s="128"/>
      <c r="DY25" s="128"/>
      <c r="DZ25" s="128"/>
      <c r="EA25" s="128"/>
      <c r="EB25" s="128"/>
      <c r="EC25" s="127"/>
      <c r="ED25" s="128"/>
      <c r="EE25" s="128"/>
      <c r="EF25" s="128"/>
      <c r="EG25" s="128"/>
      <c r="EH25" s="128"/>
      <c r="EI25" s="128"/>
      <c r="EJ25" s="128"/>
      <c r="EK25" s="128"/>
      <c r="EL25" s="128"/>
      <c r="EM25" s="128"/>
      <c r="EN25" s="128"/>
      <c r="EO25" s="128"/>
      <c r="EP25" s="128"/>
      <c r="EQ25" s="128"/>
      <c r="ER25" s="128"/>
      <c r="ES25" s="128"/>
      <c r="ET25" s="128"/>
      <c r="EU25" s="128"/>
      <c r="EV25" s="128"/>
      <c r="EW25" s="128"/>
      <c r="EX25" s="128"/>
      <c r="EY25" s="127"/>
      <c r="EZ25" s="128"/>
      <c r="FA25" s="128"/>
      <c r="FB25" s="128"/>
      <c r="FC25" s="128"/>
      <c r="FD25" s="128"/>
      <c r="FE25" s="128"/>
      <c r="FF25" s="128"/>
      <c r="FG25" s="128"/>
      <c r="FH25" s="128"/>
      <c r="FI25" s="128"/>
      <c r="FJ25" s="128"/>
      <c r="FK25" s="128"/>
      <c r="FL25" s="128"/>
      <c r="FM25" s="128"/>
      <c r="FN25" s="128"/>
      <c r="FO25" s="128"/>
      <c r="FP25" s="128"/>
      <c r="FQ25" s="128"/>
      <c r="FR25" s="128"/>
      <c r="FS25" s="128"/>
      <c r="FT25" s="128"/>
      <c r="FU25" s="127"/>
      <c r="FV25" s="128"/>
      <c r="FW25" s="128"/>
      <c r="FX25" s="128"/>
      <c r="FY25" s="128"/>
      <c r="FZ25" s="128"/>
      <c r="GA25" s="128"/>
      <c r="GB25" s="128"/>
      <c r="GC25" s="128"/>
      <c r="GD25" s="128"/>
      <c r="GE25" s="128"/>
      <c r="GF25" s="128"/>
      <c r="GG25" s="128"/>
      <c r="GH25" s="128"/>
      <c r="GI25" s="128"/>
      <c r="GJ25" s="128"/>
      <c r="GK25" s="128"/>
      <c r="GL25" s="128"/>
      <c r="GM25" s="128"/>
      <c r="GN25" s="128"/>
      <c r="GO25" s="128"/>
      <c r="GP25" s="128"/>
      <c r="GQ25" s="127"/>
      <c r="GR25" s="128"/>
      <c r="GS25" s="128"/>
      <c r="GT25" s="128"/>
      <c r="GU25" s="128"/>
      <c r="GV25" s="128"/>
      <c r="GW25" s="128"/>
      <c r="GX25" s="128"/>
      <c r="GY25" s="128"/>
      <c r="GZ25" s="128"/>
      <c r="HA25" s="128"/>
      <c r="HB25" s="128"/>
      <c r="HC25" s="128"/>
      <c r="HD25" s="128"/>
      <c r="HE25" s="128"/>
      <c r="HF25" s="128"/>
      <c r="HG25" s="128"/>
      <c r="HH25" s="128"/>
      <c r="HI25" s="128"/>
      <c r="HJ25" s="128"/>
      <c r="HK25" s="128"/>
      <c r="HL25" s="128"/>
      <c r="HM25" s="127"/>
      <c r="HN25" s="128"/>
      <c r="HO25" s="128"/>
      <c r="HP25" s="128"/>
      <c r="HQ25" s="128"/>
      <c r="HR25" s="128"/>
      <c r="HS25" s="128"/>
      <c r="HT25" s="128"/>
      <c r="HU25" s="128"/>
      <c r="HV25" s="128"/>
      <c r="HW25" s="128"/>
      <c r="HX25" s="128"/>
      <c r="HY25" s="128"/>
      <c r="HZ25" s="128"/>
      <c r="IA25" s="128"/>
      <c r="IB25" s="128"/>
      <c r="IC25" s="128"/>
      <c r="ID25" s="128"/>
      <c r="IE25" s="128"/>
      <c r="IF25" s="128"/>
      <c r="IG25" s="128"/>
      <c r="IH25" s="128"/>
      <c r="II25" s="127"/>
      <c r="IJ25" s="128"/>
      <c r="IK25" s="128"/>
      <c r="IL25" s="128"/>
      <c r="IM25" s="128"/>
      <c r="IN25" s="128"/>
      <c r="IO25" s="128"/>
      <c r="IP25" s="128"/>
      <c r="IQ25" s="128"/>
      <c r="IR25" s="128"/>
      <c r="IS25" s="128"/>
      <c r="IT25" s="128"/>
      <c r="IU25" s="128"/>
      <c r="IV25" s="128"/>
    </row>
    <row r="26" spans="1:256" s="126" customFormat="1" ht="15" customHeight="1">
      <c r="A26" s="465" t="s">
        <v>55</v>
      </c>
      <c r="B26" s="467"/>
      <c r="C26" s="467"/>
      <c r="D26" s="467"/>
      <c r="E26" s="467"/>
      <c r="F26" s="467"/>
      <c r="G26" s="467"/>
      <c r="H26" s="467"/>
      <c r="I26" s="467"/>
      <c r="J26" s="467"/>
      <c r="K26" s="467"/>
      <c r="L26" s="467"/>
      <c r="M26" s="467"/>
      <c r="N26" s="467"/>
      <c r="O26" s="155"/>
      <c r="P26" s="132"/>
      <c r="Q26" s="132"/>
      <c r="R26" s="132"/>
      <c r="S26" s="132"/>
      <c r="T26" s="132"/>
      <c r="U26" s="132"/>
      <c r="V26" s="132"/>
      <c r="W26" s="151"/>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1"/>
      <c r="AT26" s="152"/>
      <c r="AU26" s="152"/>
      <c r="AV26" s="152"/>
      <c r="AW26" s="152"/>
      <c r="AX26" s="152"/>
      <c r="AY26" s="152"/>
      <c r="AZ26" s="147"/>
      <c r="BA26" s="128"/>
      <c r="BB26" s="128"/>
      <c r="BC26" s="128"/>
      <c r="BD26" s="128"/>
      <c r="BE26" s="128"/>
      <c r="BF26" s="128"/>
      <c r="BG26" s="128"/>
      <c r="BH26" s="128"/>
      <c r="BI26" s="128"/>
      <c r="BJ26" s="128"/>
      <c r="BK26" s="128"/>
      <c r="BL26" s="128"/>
      <c r="BM26" s="128"/>
      <c r="BN26" s="128"/>
      <c r="BO26" s="127"/>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7"/>
      <c r="CL26" s="128"/>
      <c r="CM26" s="128"/>
      <c r="CN26" s="128"/>
      <c r="CO26" s="128"/>
      <c r="CP26" s="128"/>
      <c r="CQ26" s="128"/>
      <c r="CR26" s="128"/>
      <c r="CS26" s="128"/>
      <c r="CT26" s="128"/>
      <c r="CU26" s="128"/>
      <c r="CV26" s="128"/>
      <c r="CW26" s="128"/>
      <c r="CX26" s="128"/>
      <c r="CY26" s="128"/>
      <c r="CZ26" s="128"/>
      <c r="DA26" s="128"/>
      <c r="DB26" s="128"/>
      <c r="DC26" s="128"/>
      <c r="DD26" s="128"/>
      <c r="DE26" s="128"/>
      <c r="DF26" s="128"/>
      <c r="DG26" s="127"/>
      <c r="DH26" s="128"/>
      <c r="DI26" s="128"/>
      <c r="DJ26" s="128"/>
      <c r="DK26" s="128"/>
      <c r="DL26" s="128"/>
      <c r="DM26" s="128"/>
      <c r="DN26" s="128"/>
      <c r="DO26" s="128"/>
      <c r="DP26" s="128"/>
      <c r="DQ26" s="128"/>
      <c r="DR26" s="128"/>
      <c r="DS26" s="128"/>
      <c r="DT26" s="128"/>
      <c r="DU26" s="128"/>
      <c r="DV26" s="128"/>
      <c r="DW26" s="128"/>
      <c r="DX26" s="128"/>
      <c r="DY26" s="128"/>
      <c r="DZ26" s="128"/>
      <c r="EA26" s="128"/>
      <c r="EB26" s="128"/>
      <c r="EC26" s="127"/>
      <c r="ED26" s="128"/>
      <c r="EE26" s="128"/>
      <c r="EF26" s="128"/>
      <c r="EG26" s="128"/>
      <c r="EH26" s="128"/>
      <c r="EI26" s="128"/>
      <c r="EJ26" s="128"/>
      <c r="EK26" s="128"/>
      <c r="EL26" s="128"/>
      <c r="EM26" s="128"/>
      <c r="EN26" s="128"/>
      <c r="EO26" s="128"/>
      <c r="EP26" s="128"/>
      <c r="EQ26" s="128"/>
      <c r="ER26" s="128"/>
      <c r="ES26" s="128"/>
      <c r="ET26" s="128"/>
      <c r="EU26" s="128"/>
      <c r="EV26" s="128"/>
      <c r="EW26" s="128"/>
      <c r="EX26" s="128"/>
      <c r="EY26" s="127"/>
      <c r="EZ26" s="128"/>
      <c r="FA26" s="128"/>
      <c r="FB26" s="128"/>
      <c r="FC26" s="128"/>
      <c r="FD26" s="128"/>
      <c r="FE26" s="128"/>
      <c r="FF26" s="128"/>
      <c r="FG26" s="128"/>
      <c r="FH26" s="128"/>
      <c r="FI26" s="128"/>
      <c r="FJ26" s="128"/>
      <c r="FK26" s="128"/>
      <c r="FL26" s="128"/>
      <c r="FM26" s="128"/>
      <c r="FN26" s="128"/>
      <c r="FO26" s="128"/>
      <c r="FP26" s="128"/>
      <c r="FQ26" s="128"/>
      <c r="FR26" s="128"/>
      <c r="FS26" s="128"/>
      <c r="FT26" s="128"/>
      <c r="FU26" s="127"/>
      <c r="FV26" s="128"/>
      <c r="FW26" s="128"/>
      <c r="FX26" s="128"/>
      <c r="FY26" s="128"/>
      <c r="FZ26" s="128"/>
      <c r="GA26" s="128"/>
      <c r="GB26" s="128"/>
      <c r="GC26" s="128"/>
      <c r="GD26" s="128"/>
      <c r="GE26" s="128"/>
      <c r="GF26" s="128"/>
      <c r="GG26" s="128"/>
      <c r="GH26" s="128"/>
      <c r="GI26" s="128"/>
      <c r="GJ26" s="128"/>
      <c r="GK26" s="128"/>
      <c r="GL26" s="128"/>
      <c r="GM26" s="128"/>
      <c r="GN26" s="128"/>
      <c r="GO26" s="128"/>
      <c r="GP26" s="128"/>
      <c r="GQ26" s="127"/>
      <c r="GR26" s="128"/>
      <c r="GS26" s="128"/>
      <c r="GT26" s="128"/>
      <c r="GU26" s="128"/>
      <c r="GV26" s="128"/>
      <c r="GW26" s="128"/>
      <c r="GX26" s="128"/>
      <c r="GY26" s="128"/>
      <c r="GZ26" s="128"/>
      <c r="HA26" s="128"/>
      <c r="HB26" s="128"/>
      <c r="HC26" s="128"/>
      <c r="HD26" s="128"/>
      <c r="HE26" s="128"/>
      <c r="HF26" s="128"/>
      <c r="HG26" s="128"/>
      <c r="HH26" s="128"/>
      <c r="HI26" s="128"/>
      <c r="HJ26" s="128"/>
      <c r="HK26" s="128"/>
      <c r="HL26" s="128"/>
      <c r="HM26" s="127"/>
      <c r="HN26" s="128"/>
      <c r="HO26" s="128"/>
      <c r="HP26" s="128"/>
      <c r="HQ26" s="128"/>
      <c r="HR26" s="128"/>
      <c r="HS26" s="128"/>
      <c r="HT26" s="128"/>
      <c r="HU26" s="128"/>
      <c r="HV26" s="128"/>
      <c r="HW26" s="128"/>
      <c r="HX26" s="128"/>
      <c r="HY26" s="128"/>
      <c r="HZ26" s="128"/>
      <c r="IA26" s="128"/>
      <c r="IB26" s="128"/>
      <c r="IC26" s="128"/>
      <c r="ID26" s="128"/>
      <c r="IE26" s="128"/>
      <c r="IF26" s="128"/>
      <c r="IG26" s="128"/>
      <c r="IH26" s="128"/>
      <c r="II26" s="127"/>
      <c r="IJ26" s="128"/>
      <c r="IK26" s="128"/>
      <c r="IL26" s="128"/>
      <c r="IM26" s="128"/>
      <c r="IN26" s="128"/>
      <c r="IO26" s="128"/>
      <c r="IP26" s="128"/>
      <c r="IQ26" s="128"/>
      <c r="IR26" s="128"/>
      <c r="IS26" s="128"/>
      <c r="IT26" s="128"/>
      <c r="IU26" s="128"/>
      <c r="IV26" s="128"/>
    </row>
    <row r="27" spans="1:256" s="126" customFormat="1" ht="15" customHeight="1">
      <c r="A27" s="467"/>
      <c r="B27" s="467"/>
      <c r="C27" s="467"/>
      <c r="D27" s="467"/>
      <c r="E27" s="467"/>
      <c r="F27" s="467"/>
      <c r="G27" s="467"/>
      <c r="H27" s="467"/>
      <c r="I27" s="467"/>
      <c r="J27" s="467"/>
      <c r="K27" s="467"/>
      <c r="L27" s="467"/>
      <c r="M27" s="467"/>
      <c r="N27" s="467"/>
      <c r="O27" s="155"/>
      <c r="P27" s="132"/>
      <c r="Q27" s="132"/>
      <c r="R27" s="132"/>
      <c r="S27" s="132"/>
      <c r="T27" s="132"/>
      <c r="U27" s="132"/>
      <c r="V27" s="132"/>
      <c r="W27" s="151"/>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1"/>
      <c r="AT27" s="152"/>
      <c r="AU27" s="152"/>
      <c r="AV27" s="152"/>
      <c r="AW27" s="152"/>
      <c r="AX27" s="152"/>
      <c r="AY27" s="152"/>
      <c r="AZ27" s="147"/>
      <c r="BA27" s="128"/>
      <c r="BB27" s="128"/>
      <c r="BC27" s="128"/>
      <c r="BD27" s="128"/>
      <c r="BE27" s="128"/>
      <c r="BF27" s="128"/>
      <c r="BG27" s="128"/>
      <c r="BH27" s="128"/>
      <c r="BI27" s="128"/>
      <c r="BJ27" s="128"/>
      <c r="BK27" s="128"/>
      <c r="BL27" s="128"/>
      <c r="BM27" s="128"/>
      <c r="BN27" s="128"/>
      <c r="BO27" s="127"/>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7"/>
      <c r="CL27" s="128"/>
      <c r="CM27" s="128"/>
      <c r="CN27" s="128"/>
      <c r="CO27" s="128"/>
      <c r="CP27" s="128"/>
      <c r="CQ27" s="128"/>
      <c r="CR27" s="128"/>
      <c r="CS27" s="128"/>
      <c r="CT27" s="128"/>
      <c r="CU27" s="128"/>
      <c r="CV27" s="128"/>
      <c r="CW27" s="128"/>
      <c r="CX27" s="128"/>
      <c r="CY27" s="128"/>
      <c r="CZ27" s="128"/>
      <c r="DA27" s="128"/>
      <c r="DB27" s="128"/>
      <c r="DC27" s="128"/>
      <c r="DD27" s="128"/>
      <c r="DE27" s="128"/>
      <c r="DF27" s="128"/>
      <c r="DG27" s="127"/>
      <c r="DH27" s="128"/>
      <c r="DI27" s="128"/>
      <c r="DJ27" s="128"/>
      <c r="DK27" s="128"/>
      <c r="DL27" s="128"/>
      <c r="DM27" s="128"/>
      <c r="DN27" s="128"/>
      <c r="DO27" s="128"/>
      <c r="DP27" s="128"/>
      <c r="DQ27" s="128"/>
      <c r="DR27" s="128"/>
      <c r="DS27" s="128"/>
      <c r="DT27" s="128"/>
      <c r="DU27" s="128"/>
      <c r="DV27" s="128"/>
      <c r="DW27" s="128"/>
      <c r="DX27" s="128"/>
      <c r="DY27" s="128"/>
      <c r="DZ27" s="128"/>
      <c r="EA27" s="128"/>
      <c r="EB27" s="128"/>
      <c r="EC27" s="127"/>
      <c r="ED27" s="128"/>
      <c r="EE27" s="128"/>
      <c r="EF27" s="128"/>
      <c r="EG27" s="128"/>
      <c r="EH27" s="128"/>
      <c r="EI27" s="128"/>
      <c r="EJ27" s="128"/>
      <c r="EK27" s="128"/>
      <c r="EL27" s="128"/>
      <c r="EM27" s="128"/>
      <c r="EN27" s="128"/>
      <c r="EO27" s="128"/>
      <c r="EP27" s="128"/>
      <c r="EQ27" s="128"/>
      <c r="ER27" s="128"/>
      <c r="ES27" s="128"/>
      <c r="ET27" s="128"/>
      <c r="EU27" s="128"/>
      <c r="EV27" s="128"/>
      <c r="EW27" s="128"/>
      <c r="EX27" s="128"/>
      <c r="EY27" s="127"/>
      <c r="EZ27" s="128"/>
      <c r="FA27" s="128"/>
      <c r="FB27" s="128"/>
      <c r="FC27" s="128"/>
      <c r="FD27" s="128"/>
      <c r="FE27" s="128"/>
      <c r="FF27" s="128"/>
      <c r="FG27" s="128"/>
      <c r="FH27" s="128"/>
      <c r="FI27" s="128"/>
      <c r="FJ27" s="128"/>
      <c r="FK27" s="128"/>
      <c r="FL27" s="128"/>
      <c r="FM27" s="128"/>
      <c r="FN27" s="128"/>
      <c r="FO27" s="128"/>
      <c r="FP27" s="128"/>
      <c r="FQ27" s="128"/>
      <c r="FR27" s="128"/>
      <c r="FS27" s="128"/>
      <c r="FT27" s="128"/>
      <c r="FU27" s="127"/>
      <c r="FV27" s="128"/>
      <c r="FW27" s="128"/>
      <c r="FX27" s="128"/>
      <c r="FY27" s="128"/>
      <c r="FZ27" s="128"/>
      <c r="GA27" s="128"/>
      <c r="GB27" s="128"/>
      <c r="GC27" s="128"/>
      <c r="GD27" s="128"/>
      <c r="GE27" s="128"/>
      <c r="GF27" s="128"/>
      <c r="GG27" s="128"/>
      <c r="GH27" s="128"/>
      <c r="GI27" s="128"/>
      <c r="GJ27" s="128"/>
      <c r="GK27" s="128"/>
      <c r="GL27" s="128"/>
      <c r="GM27" s="128"/>
      <c r="GN27" s="128"/>
      <c r="GO27" s="128"/>
      <c r="GP27" s="128"/>
      <c r="GQ27" s="127"/>
      <c r="GR27" s="128"/>
      <c r="GS27" s="128"/>
      <c r="GT27" s="128"/>
      <c r="GU27" s="128"/>
      <c r="GV27" s="128"/>
      <c r="GW27" s="128"/>
      <c r="GX27" s="128"/>
      <c r="GY27" s="128"/>
      <c r="GZ27" s="128"/>
      <c r="HA27" s="128"/>
      <c r="HB27" s="128"/>
      <c r="HC27" s="128"/>
      <c r="HD27" s="128"/>
      <c r="HE27" s="128"/>
      <c r="HF27" s="128"/>
      <c r="HG27" s="128"/>
      <c r="HH27" s="128"/>
      <c r="HI27" s="128"/>
      <c r="HJ27" s="128"/>
      <c r="HK27" s="128"/>
      <c r="HL27" s="128"/>
      <c r="HM27" s="127"/>
      <c r="HN27" s="128"/>
      <c r="HO27" s="128"/>
      <c r="HP27" s="128"/>
      <c r="HQ27" s="128"/>
      <c r="HR27" s="128"/>
      <c r="HS27" s="128"/>
      <c r="HT27" s="128"/>
      <c r="HU27" s="128"/>
      <c r="HV27" s="128"/>
      <c r="HW27" s="128"/>
      <c r="HX27" s="128"/>
      <c r="HY27" s="128"/>
      <c r="HZ27" s="128"/>
      <c r="IA27" s="128"/>
      <c r="IB27" s="128"/>
      <c r="IC27" s="128"/>
      <c r="ID27" s="128"/>
      <c r="IE27" s="128"/>
      <c r="IF27" s="128"/>
      <c r="IG27" s="128"/>
      <c r="IH27" s="128"/>
      <c r="II27" s="127"/>
      <c r="IJ27" s="128"/>
      <c r="IK27" s="128"/>
      <c r="IL27" s="128"/>
      <c r="IM27" s="128"/>
      <c r="IN27" s="128"/>
      <c r="IO27" s="128"/>
      <c r="IP27" s="128"/>
      <c r="IQ27" s="128"/>
      <c r="IR27" s="128"/>
      <c r="IS27" s="128"/>
      <c r="IT27" s="128"/>
      <c r="IU27" s="128"/>
      <c r="IV27" s="128"/>
    </row>
    <row r="28" spans="1:256" s="126" customFormat="1" ht="15" customHeight="1">
      <c r="A28" s="467"/>
      <c r="B28" s="467"/>
      <c r="C28" s="467"/>
      <c r="D28" s="467"/>
      <c r="E28" s="467"/>
      <c r="F28" s="467"/>
      <c r="G28" s="467"/>
      <c r="H28" s="467"/>
      <c r="I28" s="467"/>
      <c r="J28" s="467"/>
      <c r="K28" s="467"/>
      <c r="L28" s="467"/>
      <c r="M28" s="467"/>
      <c r="N28" s="467"/>
      <c r="O28" s="155"/>
      <c r="P28" s="132"/>
      <c r="Q28" s="132"/>
      <c r="R28" s="132"/>
      <c r="S28" s="132"/>
      <c r="T28" s="132"/>
      <c r="U28" s="132"/>
      <c r="V28" s="132"/>
      <c r="W28" s="151"/>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1"/>
      <c r="AT28" s="152"/>
      <c r="AU28" s="152"/>
      <c r="AV28" s="152"/>
      <c r="AW28" s="152"/>
      <c r="AX28" s="152"/>
      <c r="AY28" s="152"/>
      <c r="AZ28" s="147"/>
      <c r="BA28" s="128"/>
      <c r="BB28" s="128"/>
      <c r="BC28" s="128"/>
      <c r="BD28" s="128"/>
      <c r="BE28" s="128"/>
      <c r="BF28" s="128"/>
      <c r="BG28" s="128"/>
      <c r="BH28" s="128"/>
      <c r="BI28" s="128"/>
      <c r="BJ28" s="128"/>
      <c r="BK28" s="128"/>
      <c r="BL28" s="128"/>
      <c r="BM28" s="128"/>
      <c r="BN28" s="128"/>
      <c r="BO28" s="127"/>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7"/>
      <c r="CL28" s="128"/>
      <c r="CM28" s="128"/>
      <c r="CN28" s="128"/>
      <c r="CO28" s="128"/>
      <c r="CP28" s="128"/>
      <c r="CQ28" s="128"/>
      <c r="CR28" s="128"/>
      <c r="CS28" s="128"/>
      <c r="CT28" s="128"/>
      <c r="CU28" s="128"/>
      <c r="CV28" s="128"/>
      <c r="CW28" s="128"/>
      <c r="CX28" s="128"/>
      <c r="CY28" s="128"/>
      <c r="CZ28" s="128"/>
      <c r="DA28" s="128"/>
      <c r="DB28" s="128"/>
      <c r="DC28" s="128"/>
      <c r="DD28" s="128"/>
      <c r="DE28" s="128"/>
      <c r="DF28" s="128"/>
      <c r="DG28" s="127"/>
      <c r="DH28" s="128"/>
      <c r="DI28" s="128"/>
      <c r="DJ28" s="128"/>
      <c r="DK28" s="128"/>
      <c r="DL28" s="128"/>
      <c r="DM28" s="128"/>
      <c r="DN28" s="128"/>
      <c r="DO28" s="128"/>
      <c r="DP28" s="128"/>
      <c r="DQ28" s="128"/>
      <c r="DR28" s="128"/>
      <c r="DS28" s="128"/>
      <c r="DT28" s="128"/>
      <c r="DU28" s="128"/>
      <c r="DV28" s="128"/>
      <c r="DW28" s="128"/>
      <c r="DX28" s="128"/>
      <c r="DY28" s="128"/>
      <c r="DZ28" s="128"/>
      <c r="EA28" s="128"/>
      <c r="EB28" s="128"/>
      <c r="EC28" s="127"/>
      <c r="ED28" s="128"/>
      <c r="EE28" s="128"/>
      <c r="EF28" s="128"/>
      <c r="EG28" s="128"/>
      <c r="EH28" s="128"/>
      <c r="EI28" s="128"/>
      <c r="EJ28" s="128"/>
      <c r="EK28" s="128"/>
      <c r="EL28" s="128"/>
      <c r="EM28" s="128"/>
      <c r="EN28" s="128"/>
      <c r="EO28" s="128"/>
      <c r="EP28" s="128"/>
      <c r="EQ28" s="128"/>
      <c r="ER28" s="128"/>
      <c r="ES28" s="128"/>
      <c r="ET28" s="128"/>
      <c r="EU28" s="128"/>
      <c r="EV28" s="128"/>
      <c r="EW28" s="128"/>
      <c r="EX28" s="128"/>
      <c r="EY28" s="127"/>
      <c r="EZ28" s="128"/>
      <c r="FA28" s="128"/>
      <c r="FB28" s="128"/>
      <c r="FC28" s="128"/>
      <c r="FD28" s="128"/>
      <c r="FE28" s="128"/>
      <c r="FF28" s="128"/>
      <c r="FG28" s="128"/>
      <c r="FH28" s="128"/>
      <c r="FI28" s="128"/>
      <c r="FJ28" s="128"/>
      <c r="FK28" s="128"/>
      <c r="FL28" s="128"/>
      <c r="FM28" s="128"/>
      <c r="FN28" s="128"/>
      <c r="FO28" s="128"/>
      <c r="FP28" s="128"/>
      <c r="FQ28" s="128"/>
      <c r="FR28" s="128"/>
      <c r="FS28" s="128"/>
      <c r="FT28" s="128"/>
      <c r="FU28" s="127"/>
      <c r="FV28" s="128"/>
      <c r="FW28" s="128"/>
      <c r="FX28" s="128"/>
      <c r="FY28" s="128"/>
      <c r="FZ28" s="128"/>
      <c r="GA28" s="128"/>
      <c r="GB28" s="128"/>
      <c r="GC28" s="128"/>
      <c r="GD28" s="128"/>
      <c r="GE28" s="128"/>
      <c r="GF28" s="128"/>
      <c r="GG28" s="128"/>
      <c r="GH28" s="128"/>
      <c r="GI28" s="128"/>
      <c r="GJ28" s="128"/>
      <c r="GK28" s="128"/>
      <c r="GL28" s="128"/>
      <c r="GM28" s="128"/>
      <c r="GN28" s="128"/>
      <c r="GO28" s="128"/>
      <c r="GP28" s="128"/>
      <c r="GQ28" s="127"/>
      <c r="GR28" s="128"/>
      <c r="GS28" s="128"/>
      <c r="GT28" s="128"/>
      <c r="GU28" s="128"/>
      <c r="GV28" s="128"/>
      <c r="GW28" s="128"/>
      <c r="GX28" s="128"/>
      <c r="GY28" s="128"/>
      <c r="GZ28" s="128"/>
      <c r="HA28" s="128"/>
      <c r="HB28" s="128"/>
      <c r="HC28" s="128"/>
      <c r="HD28" s="128"/>
      <c r="HE28" s="128"/>
      <c r="HF28" s="128"/>
      <c r="HG28" s="128"/>
      <c r="HH28" s="128"/>
      <c r="HI28" s="128"/>
      <c r="HJ28" s="128"/>
      <c r="HK28" s="128"/>
      <c r="HL28" s="128"/>
      <c r="HM28" s="127"/>
      <c r="HN28" s="128"/>
      <c r="HO28" s="128"/>
      <c r="HP28" s="128"/>
      <c r="HQ28" s="128"/>
      <c r="HR28" s="128"/>
      <c r="HS28" s="128"/>
      <c r="HT28" s="128"/>
      <c r="HU28" s="128"/>
      <c r="HV28" s="128"/>
      <c r="HW28" s="128"/>
      <c r="HX28" s="128"/>
      <c r="HY28" s="128"/>
      <c r="HZ28" s="128"/>
      <c r="IA28" s="128"/>
      <c r="IB28" s="128"/>
      <c r="IC28" s="128"/>
      <c r="ID28" s="128"/>
      <c r="IE28" s="128"/>
      <c r="IF28" s="128"/>
      <c r="IG28" s="128"/>
      <c r="IH28" s="128"/>
      <c r="II28" s="127"/>
      <c r="IJ28" s="128"/>
      <c r="IK28" s="128"/>
      <c r="IL28" s="128"/>
      <c r="IM28" s="128"/>
      <c r="IN28" s="128"/>
      <c r="IO28" s="128"/>
      <c r="IP28" s="128"/>
      <c r="IQ28" s="128"/>
      <c r="IR28" s="128"/>
      <c r="IS28" s="128"/>
      <c r="IT28" s="128"/>
      <c r="IU28" s="128"/>
      <c r="IV28" s="128"/>
    </row>
    <row r="29" spans="1:52" s="129" customFormat="1" ht="15" customHeight="1">
      <c r="A29" s="467"/>
      <c r="B29" s="467"/>
      <c r="C29" s="467"/>
      <c r="D29" s="467"/>
      <c r="E29" s="467"/>
      <c r="F29" s="467"/>
      <c r="G29" s="467"/>
      <c r="H29" s="467"/>
      <c r="I29" s="467"/>
      <c r="J29" s="467"/>
      <c r="K29" s="467"/>
      <c r="L29" s="467"/>
      <c r="M29" s="467"/>
      <c r="N29" s="467"/>
      <c r="O29" s="155"/>
      <c r="P29" s="132"/>
      <c r="Q29" s="132"/>
      <c r="R29" s="132"/>
      <c r="S29" s="132"/>
      <c r="T29" s="132"/>
      <c r="U29" s="132"/>
      <c r="V29" s="132"/>
      <c r="W29" s="153"/>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48"/>
    </row>
    <row r="30" spans="1:15" s="3" customFormat="1" ht="18">
      <c r="A30" s="78"/>
      <c r="B30" s="35"/>
      <c r="C30" s="36"/>
      <c r="D30" s="37"/>
      <c r="E30" s="23"/>
      <c r="F30" s="23"/>
      <c r="G30" s="23"/>
      <c r="H30" s="38"/>
      <c r="I30" s="39"/>
      <c r="J30" s="178"/>
      <c r="K30" s="193"/>
      <c r="L30" s="42"/>
      <c r="M30" s="43"/>
      <c r="N30" s="41"/>
      <c r="O30" s="156"/>
    </row>
    <row r="31" spans="1:15" s="3" customFormat="1" ht="18">
      <c r="A31" s="78"/>
      <c r="B31" s="35"/>
      <c r="C31" s="36"/>
      <c r="D31" s="37"/>
      <c r="E31" s="23"/>
      <c r="F31" s="23"/>
      <c r="G31" s="23"/>
      <c r="H31" s="38"/>
      <c r="I31" s="39"/>
      <c r="J31" s="178"/>
      <c r="K31" s="193"/>
      <c r="L31" s="42"/>
      <c r="M31" s="43"/>
      <c r="N31" s="41"/>
      <c r="O31" s="156"/>
    </row>
  </sheetData>
  <sheetProtection/>
  <mergeCells count="11">
    <mergeCell ref="E3:E4"/>
    <mergeCell ref="A2:I2"/>
    <mergeCell ref="A22:N22"/>
    <mergeCell ref="A23:N25"/>
    <mergeCell ref="A26:N29"/>
    <mergeCell ref="B3:B4"/>
    <mergeCell ref="C3:C4"/>
    <mergeCell ref="D3:D4"/>
    <mergeCell ref="F3:F4"/>
    <mergeCell ref="G3:H3"/>
    <mergeCell ref="I3:I4"/>
  </mergeCells>
  <printOptions/>
  <pageMargins left="0.87" right="0.58" top="0.63" bottom="0.76" header="0.11811023622047245" footer="0.5"/>
  <pageSetup orientation="portrait" paperSize="9" scale="80"/>
  <ignoredErrors>
    <ignoredError sqref="G7:H20" unlockedFormula="1"/>
    <ignoredError sqref="E11:F12" numberStoredAsText="1"/>
    <ignoredError sqref="I11" formula="1"/>
  </ignoredErrors>
  <drawing r:id="rId1"/>
</worksheet>
</file>

<file path=xl/worksheets/sheet3.xml><?xml version="1.0" encoding="utf-8"?>
<worksheet xmlns="http://schemas.openxmlformats.org/spreadsheetml/2006/main" xmlns:r="http://schemas.openxmlformats.org/officeDocument/2006/relationships">
  <dimension ref="A1:T208"/>
  <sheetViews>
    <sheetView zoomScale="110" zoomScaleNormal="110" zoomScalePageLayoutView="0" workbookViewId="0" topLeftCell="A1">
      <selection activeCell="A2" sqref="A2:N2"/>
    </sheetView>
  </sheetViews>
  <sheetFormatPr defaultColWidth="8.8515625" defaultRowHeight="12.75"/>
  <cols>
    <col min="1" max="1" width="3.7109375" style="86" bestFit="1" customWidth="1"/>
    <col min="2" max="2" width="44.28125" style="12" bestFit="1" customWidth="1"/>
    <col min="3" max="3" width="8.421875" style="17" bestFit="1" customWidth="1"/>
    <col min="4" max="4" width="22.00390625" style="11" bestFit="1" customWidth="1"/>
    <col min="5" max="5" width="6.8515625" style="417" customWidth="1"/>
    <col min="6" max="6" width="7.28125" style="418" customWidth="1"/>
    <col min="7" max="7" width="8.421875" style="419" customWidth="1"/>
    <col min="8" max="8" width="14.140625" style="185" bestFit="1" customWidth="1"/>
    <col min="9" max="9" width="9.00390625" style="186" bestFit="1" customWidth="1"/>
    <col min="10" max="10" width="7.7109375" style="18" customWidth="1"/>
    <col min="11" max="11" width="7.00390625" style="19" customWidth="1"/>
    <col min="12" max="12" width="13.7109375" style="20" bestFit="1" customWidth="1"/>
    <col min="13" max="13" width="9.421875" style="18" bestFit="1" customWidth="1"/>
    <col min="14" max="14" width="6.140625" style="63" customWidth="1"/>
    <col min="15" max="15" width="2.00390625" style="79" bestFit="1" customWidth="1"/>
    <col min="16" max="16" width="2.140625" style="8" bestFit="1" customWidth="1"/>
    <col min="17" max="18" width="4.00390625" style="0" customWidth="1"/>
    <col min="19" max="19" width="9.7109375" style="0" bestFit="1" customWidth="1"/>
    <col min="20" max="20" width="6.00390625" style="0" bestFit="1" customWidth="1"/>
  </cols>
  <sheetData>
    <row r="1" spans="1:16" s="1" customFormat="1" ht="72.75" customHeight="1">
      <c r="A1" s="101"/>
      <c r="B1" s="102"/>
      <c r="C1" s="103"/>
      <c r="D1" s="104"/>
      <c r="E1" s="408"/>
      <c r="F1" s="408"/>
      <c r="G1" s="408"/>
      <c r="H1" s="106"/>
      <c r="I1" s="107"/>
      <c r="J1" s="108"/>
      <c r="K1" s="109"/>
      <c r="L1" s="110"/>
      <c r="M1" s="111"/>
      <c r="N1" s="112"/>
      <c r="O1" s="64"/>
      <c r="P1" s="64"/>
    </row>
    <row r="2" spans="1:16" s="5" customFormat="1" ht="22.5" customHeight="1" thickBot="1">
      <c r="A2" s="479" t="s">
        <v>88</v>
      </c>
      <c r="B2" s="480"/>
      <c r="C2" s="480"/>
      <c r="D2" s="480"/>
      <c r="E2" s="480"/>
      <c r="F2" s="480"/>
      <c r="G2" s="480"/>
      <c r="H2" s="480"/>
      <c r="I2" s="480"/>
      <c r="J2" s="480"/>
      <c r="K2" s="480"/>
      <c r="L2" s="480"/>
      <c r="M2" s="480"/>
      <c r="N2" s="480"/>
      <c r="O2" s="65"/>
      <c r="P2" s="65"/>
    </row>
    <row r="3" spans="1:20" s="92" customFormat="1" ht="12.75">
      <c r="A3" s="124"/>
      <c r="B3" s="460" t="s">
        <v>6</v>
      </c>
      <c r="C3" s="464" t="s">
        <v>44</v>
      </c>
      <c r="D3" s="462" t="s">
        <v>34</v>
      </c>
      <c r="E3" s="458" t="s">
        <v>45</v>
      </c>
      <c r="F3" s="458" t="s">
        <v>52</v>
      </c>
      <c r="G3" s="458" t="s">
        <v>33</v>
      </c>
      <c r="H3" s="477" t="s">
        <v>46</v>
      </c>
      <c r="I3" s="477"/>
      <c r="J3" s="477"/>
      <c r="K3" s="477"/>
      <c r="L3" s="477" t="s">
        <v>47</v>
      </c>
      <c r="M3" s="477"/>
      <c r="N3" s="478"/>
      <c r="O3" s="261"/>
      <c r="P3" s="165"/>
      <c r="Q3" s="166"/>
      <c r="R3" s="166"/>
      <c r="S3" s="166"/>
      <c r="T3" s="166"/>
    </row>
    <row r="4" spans="1:20" s="92" customFormat="1" ht="39" thickBot="1">
      <c r="A4" s="125"/>
      <c r="B4" s="482"/>
      <c r="C4" s="483"/>
      <c r="D4" s="481"/>
      <c r="E4" s="481"/>
      <c r="F4" s="481"/>
      <c r="G4" s="484"/>
      <c r="H4" s="309" t="s">
        <v>48</v>
      </c>
      <c r="I4" s="310" t="s">
        <v>49</v>
      </c>
      <c r="J4" s="310" t="s">
        <v>39</v>
      </c>
      <c r="K4" s="311" t="s">
        <v>50</v>
      </c>
      <c r="L4" s="309" t="s">
        <v>48</v>
      </c>
      <c r="M4" s="310" t="s">
        <v>49</v>
      </c>
      <c r="N4" s="312" t="s">
        <v>51</v>
      </c>
      <c r="O4" s="313"/>
      <c r="P4" s="165"/>
      <c r="Q4" s="166"/>
      <c r="R4" s="166"/>
      <c r="S4" s="166"/>
      <c r="T4" s="166"/>
    </row>
    <row r="5" spans="1:20" ht="13.5" customHeight="1">
      <c r="A5" s="314">
        <v>1</v>
      </c>
      <c r="B5" s="262" t="s">
        <v>16</v>
      </c>
      <c r="C5" s="263">
        <v>40417</v>
      </c>
      <c r="D5" s="264" t="s">
        <v>25</v>
      </c>
      <c r="E5" s="264">
        <v>25</v>
      </c>
      <c r="F5" s="264">
        <v>1</v>
      </c>
      <c r="G5" s="264">
        <v>15</v>
      </c>
      <c r="H5" s="305">
        <v>807</v>
      </c>
      <c r="I5" s="306">
        <v>102</v>
      </c>
      <c r="J5" s="307">
        <f>(I5/F5)</f>
        <v>102</v>
      </c>
      <c r="K5" s="308">
        <f aca="true" t="shared" si="0" ref="K5:K11">H5/I5</f>
        <v>7.911764705882353</v>
      </c>
      <c r="L5" s="265">
        <f>87475.5+57473+42134+23624+14854.5+21662+13363.5+5246+6057+2099+300.5+763+292.5+496.5+807</f>
        <v>276648</v>
      </c>
      <c r="M5" s="266">
        <f>7817+5228+5394+3109+2109+2845+2026+770+762+416+44+111+45+73+102</f>
        <v>30851</v>
      </c>
      <c r="N5" s="267">
        <f>L5/M5</f>
        <v>8.96722958737156</v>
      </c>
      <c r="O5" s="216"/>
      <c r="P5" s="167"/>
      <c r="Q5" s="68"/>
      <c r="R5" s="68"/>
      <c r="S5" s="68"/>
      <c r="T5" s="68"/>
    </row>
    <row r="6" spans="1:20" ht="13.5" customHeight="1">
      <c r="A6" s="314">
        <v>2</v>
      </c>
      <c r="B6" s="364" t="s">
        <v>131</v>
      </c>
      <c r="C6" s="330">
        <v>40228</v>
      </c>
      <c r="D6" s="329" t="s">
        <v>25</v>
      </c>
      <c r="E6" s="409">
        <v>17</v>
      </c>
      <c r="F6" s="409">
        <v>1</v>
      </c>
      <c r="G6" s="409">
        <v>33</v>
      </c>
      <c r="H6" s="332">
        <v>1188</v>
      </c>
      <c r="I6" s="333">
        <v>297</v>
      </c>
      <c r="J6" s="334">
        <f>(I6/F6)</f>
        <v>297</v>
      </c>
      <c r="K6" s="335">
        <f t="shared" si="0"/>
        <v>4</v>
      </c>
      <c r="L6" s="336">
        <f>289107+1009.5+669+336+323+699+1238+121+1782+1782+1188</f>
        <v>298254.5</v>
      </c>
      <c r="M6" s="337">
        <f>30560+127+85+56+54+123+217+22+445+445+297</f>
        <v>32431</v>
      </c>
      <c r="N6" s="365">
        <f>L6/M6</f>
        <v>9.196586599241467</v>
      </c>
      <c r="O6" s="405"/>
      <c r="P6" s="167"/>
      <c r="Q6" s="68"/>
      <c r="R6" s="68"/>
      <c r="S6" s="68"/>
      <c r="T6" s="68"/>
    </row>
    <row r="7" spans="1:20" ht="13.5" customHeight="1">
      <c r="A7" s="314">
        <v>3</v>
      </c>
      <c r="B7" s="248" t="s">
        <v>82</v>
      </c>
      <c r="C7" s="198">
        <v>40459</v>
      </c>
      <c r="D7" s="205" t="s">
        <v>25</v>
      </c>
      <c r="E7" s="205">
        <v>142</v>
      </c>
      <c r="F7" s="205">
        <v>1</v>
      </c>
      <c r="G7" s="205">
        <v>13</v>
      </c>
      <c r="H7" s="231">
        <v>1782</v>
      </c>
      <c r="I7" s="220">
        <v>445</v>
      </c>
      <c r="J7" s="207">
        <f>(I7/F7)</f>
        <v>445</v>
      </c>
      <c r="K7" s="232">
        <f t="shared" si="0"/>
        <v>4.004494382022472</v>
      </c>
      <c r="L7" s="233">
        <f>569713+434829.5+295345.5+223420+26108+12415.5+5998+1904+1368+799+648+306+1782</f>
        <v>1574636.5</v>
      </c>
      <c r="M7" s="206">
        <f>61050+47827+36467+29781+4601+2405+1000+284+287+123+103+51+445</f>
        <v>184424</v>
      </c>
      <c r="N7" s="249">
        <f>L7/M7</f>
        <v>8.538132238754175</v>
      </c>
      <c r="O7" s="216"/>
      <c r="P7" s="167"/>
      <c r="Q7" s="68"/>
      <c r="R7" s="68"/>
      <c r="S7" s="68"/>
      <c r="T7" s="68"/>
    </row>
    <row r="8" spans="1:20" ht="13.5" customHeight="1">
      <c r="A8" s="314">
        <v>4</v>
      </c>
      <c r="B8" s="364" t="s">
        <v>82</v>
      </c>
      <c r="C8" s="330">
        <v>40459</v>
      </c>
      <c r="D8" s="329" t="s">
        <v>25</v>
      </c>
      <c r="E8" s="409">
        <v>142</v>
      </c>
      <c r="F8" s="409">
        <v>1</v>
      </c>
      <c r="G8" s="409">
        <v>14</v>
      </c>
      <c r="H8" s="332">
        <v>594</v>
      </c>
      <c r="I8" s="333">
        <v>113</v>
      </c>
      <c r="J8" s="334">
        <f>(I8/F8)</f>
        <v>113</v>
      </c>
      <c r="K8" s="335">
        <f t="shared" si="0"/>
        <v>5.256637168141593</v>
      </c>
      <c r="L8" s="336">
        <f>569713+434829.5+295345.5+223420+26108+12415.5+5998+1904+1368+799+648+306+1782+594</f>
        <v>1575230.5</v>
      </c>
      <c r="M8" s="337">
        <f>61050+47827+36467+29781+4601+2405+1000+284+287+123+103+51+445+113</f>
        <v>184537</v>
      </c>
      <c r="N8" s="365">
        <f>L8/M8</f>
        <v>8.53612283715461</v>
      </c>
      <c r="O8" s="405">
        <v>1</v>
      </c>
      <c r="P8" s="167"/>
      <c r="Q8" s="68"/>
      <c r="R8" s="68"/>
      <c r="S8" s="68"/>
      <c r="T8" s="68"/>
    </row>
    <row r="9" spans="1:20" ht="13.5" customHeight="1">
      <c r="A9" s="314">
        <v>5</v>
      </c>
      <c r="B9" s="254" t="s">
        <v>71</v>
      </c>
      <c r="C9" s="194">
        <v>40515</v>
      </c>
      <c r="D9" s="195" t="s">
        <v>24</v>
      </c>
      <c r="E9" s="195">
        <v>337</v>
      </c>
      <c r="F9" s="195">
        <v>349</v>
      </c>
      <c r="G9" s="195">
        <v>5</v>
      </c>
      <c r="H9" s="228">
        <v>1719523</v>
      </c>
      <c r="I9" s="219">
        <v>182375</v>
      </c>
      <c r="J9" s="197">
        <f>I9/F9</f>
        <v>522.5644699140402</v>
      </c>
      <c r="K9" s="229">
        <f t="shared" si="0"/>
        <v>9.4285017135024</v>
      </c>
      <c r="L9" s="230">
        <v>18655018</v>
      </c>
      <c r="M9" s="196">
        <v>1982618</v>
      </c>
      <c r="N9" s="255">
        <f>+L9/M9</f>
        <v>9.409285096776081</v>
      </c>
      <c r="O9" s="217">
        <v>1</v>
      </c>
      <c r="P9" s="167"/>
      <c r="Q9" s="68"/>
      <c r="R9" s="68"/>
      <c r="S9" s="68"/>
      <c r="T9" s="68"/>
    </row>
    <row r="10" spans="1:20" ht="13.5" customHeight="1">
      <c r="A10" s="314">
        <v>6</v>
      </c>
      <c r="B10" s="291" t="s">
        <v>93</v>
      </c>
      <c r="C10" s="194">
        <v>40515</v>
      </c>
      <c r="D10" s="195" t="s">
        <v>24</v>
      </c>
      <c r="E10" s="195">
        <v>337</v>
      </c>
      <c r="F10" s="195">
        <v>292</v>
      </c>
      <c r="G10" s="195">
        <v>6</v>
      </c>
      <c r="H10" s="272">
        <v>638062</v>
      </c>
      <c r="I10" s="219">
        <v>72167</v>
      </c>
      <c r="J10" s="197">
        <f>I10/F10</f>
        <v>247.1472602739726</v>
      </c>
      <c r="K10" s="273">
        <f t="shared" si="0"/>
        <v>8.841464935496834</v>
      </c>
      <c r="L10" s="274">
        <v>19293080</v>
      </c>
      <c r="M10" s="196">
        <v>2054938</v>
      </c>
      <c r="N10" s="292">
        <f>+L10/M10</f>
        <v>9.388643355663286</v>
      </c>
      <c r="O10" s="217">
        <v>1</v>
      </c>
      <c r="P10" s="167"/>
      <c r="Q10" s="68"/>
      <c r="R10" s="68"/>
      <c r="S10" s="68"/>
      <c r="T10" s="68"/>
    </row>
    <row r="11" spans="1:20" ht="13.5" customHeight="1">
      <c r="A11" s="314">
        <v>7</v>
      </c>
      <c r="B11" s="295" t="s">
        <v>71</v>
      </c>
      <c r="C11" s="194">
        <v>40515</v>
      </c>
      <c r="D11" s="328" t="s">
        <v>24</v>
      </c>
      <c r="E11" s="208">
        <v>337</v>
      </c>
      <c r="F11" s="208">
        <v>128</v>
      </c>
      <c r="G11" s="208">
        <v>7</v>
      </c>
      <c r="H11" s="272">
        <v>271404</v>
      </c>
      <c r="I11" s="219">
        <v>30669</v>
      </c>
      <c r="J11" s="197">
        <f>I11/F11</f>
        <v>239.6015625</v>
      </c>
      <c r="K11" s="273">
        <f t="shared" si="0"/>
        <v>8.849457106524504</v>
      </c>
      <c r="L11" s="274">
        <v>19564484</v>
      </c>
      <c r="M11" s="196">
        <v>2085607</v>
      </c>
      <c r="N11" s="292">
        <f>+L11/M11</f>
        <v>9.380714583332335</v>
      </c>
      <c r="O11" s="404">
        <v>1</v>
      </c>
      <c r="P11" s="167"/>
      <c r="Q11" s="68"/>
      <c r="R11" s="68"/>
      <c r="S11" s="68"/>
      <c r="T11" s="68"/>
    </row>
    <row r="12" spans="1:20" ht="13.5" customHeight="1">
      <c r="A12" s="314">
        <v>8</v>
      </c>
      <c r="B12" s="295" t="s">
        <v>124</v>
      </c>
      <c r="C12" s="194">
        <v>40249</v>
      </c>
      <c r="D12" s="328" t="s">
        <v>17</v>
      </c>
      <c r="E12" s="208">
        <v>116</v>
      </c>
      <c r="F12" s="208">
        <v>1</v>
      </c>
      <c r="G12" s="208">
        <v>30</v>
      </c>
      <c r="H12" s="281">
        <v>3020</v>
      </c>
      <c r="I12" s="224">
        <v>604</v>
      </c>
      <c r="J12" s="204">
        <f>+I12/F12</f>
        <v>604</v>
      </c>
      <c r="K12" s="279">
        <f>+H12/I12</f>
        <v>5</v>
      </c>
      <c r="L12" s="282">
        <f>1547543.25+3020+3020</f>
        <v>1553583.25</v>
      </c>
      <c r="M12" s="200">
        <f>209803+604+604</f>
        <v>211011</v>
      </c>
      <c r="N12" s="296">
        <f>IF(L12&lt;&gt;0,L12/M12,"")</f>
        <v>7.36256996080773</v>
      </c>
      <c r="O12" s="404">
        <v>1</v>
      </c>
      <c r="P12" s="167"/>
      <c r="Q12" s="68"/>
      <c r="R12" s="68"/>
      <c r="S12" s="68"/>
      <c r="T12" s="68"/>
    </row>
    <row r="13" spans="1:20" ht="13.5" customHeight="1">
      <c r="A13" s="314">
        <v>9</v>
      </c>
      <c r="B13" s="254" t="s">
        <v>12</v>
      </c>
      <c r="C13" s="194">
        <v>40466</v>
      </c>
      <c r="D13" s="195" t="s">
        <v>17</v>
      </c>
      <c r="E13" s="195">
        <v>10</v>
      </c>
      <c r="F13" s="195">
        <v>2</v>
      </c>
      <c r="G13" s="195">
        <v>7</v>
      </c>
      <c r="H13" s="243">
        <v>325</v>
      </c>
      <c r="I13" s="224">
        <v>44</v>
      </c>
      <c r="J13" s="204">
        <f>IF(H13&lt;&gt;0,I13/F13,"")</f>
        <v>22</v>
      </c>
      <c r="K13" s="238">
        <f>IF(H13&lt;&gt;0,H13/I13,"")</f>
        <v>7.386363636363637</v>
      </c>
      <c r="L13" s="244">
        <f>7088+2486+815+33+201+698+H13</f>
        <v>11646</v>
      </c>
      <c r="M13" s="200">
        <f>735+318+126+5+29+108+I13</f>
        <v>1365</v>
      </c>
      <c r="N13" s="253">
        <f>IF(L13&lt;&gt;0,L13/M13,"")</f>
        <v>8.531868131868132</v>
      </c>
      <c r="O13" s="216"/>
      <c r="P13" s="167"/>
      <c r="Q13" s="68"/>
      <c r="R13" s="68"/>
      <c r="S13" s="68"/>
      <c r="T13" s="68"/>
    </row>
    <row r="14" spans="1:20" ht="13.5" customHeight="1">
      <c r="A14" s="314">
        <v>10</v>
      </c>
      <c r="B14" s="295" t="s">
        <v>12</v>
      </c>
      <c r="C14" s="194">
        <v>40466</v>
      </c>
      <c r="D14" s="328" t="s">
        <v>17</v>
      </c>
      <c r="E14" s="208">
        <v>10</v>
      </c>
      <c r="F14" s="208">
        <v>1</v>
      </c>
      <c r="G14" s="208">
        <v>8</v>
      </c>
      <c r="H14" s="281">
        <v>251</v>
      </c>
      <c r="I14" s="224">
        <v>68</v>
      </c>
      <c r="J14" s="204">
        <f>IF(H14&lt;&gt;0,I14/F14,"")</f>
        <v>68</v>
      </c>
      <c r="K14" s="279">
        <f>IF(H14&lt;&gt;0,H14/I14,"")</f>
        <v>3.6911764705882355</v>
      </c>
      <c r="L14" s="282">
        <f>7088+2486+815+33+201+698+325+251</f>
        <v>11897</v>
      </c>
      <c r="M14" s="200">
        <f>735+318+126+5+29+108+44+68</f>
        <v>1433</v>
      </c>
      <c r="N14" s="296">
        <f>IF(L14&lt;&gt;0,L14/M14,"")</f>
        <v>8.302163293789253</v>
      </c>
      <c r="O14" s="404"/>
      <c r="P14" s="167"/>
      <c r="Q14" s="68"/>
      <c r="R14" s="68"/>
      <c r="S14" s="68"/>
      <c r="T14" s="68"/>
    </row>
    <row r="15" spans="1:20" ht="13.5" customHeight="1">
      <c r="A15" s="314">
        <v>11</v>
      </c>
      <c r="B15" s="250" t="s">
        <v>4</v>
      </c>
      <c r="C15" s="211">
        <v>40529</v>
      </c>
      <c r="D15" s="212" t="s">
        <v>77</v>
      </c>
      <c r="E15" s="212">
        <v>5</v>
      </c>
      <c r="F15" s="212">
        <v>4</v>
      </c>
      <c r="G15" s="212">
        <v>3</v>
      </c>
      <c r="H15" s="245">
        <v>2473</v>
      </c>
      <c r="I15" s="221">
        <v>284</v>
      </c>
      <c r="J15" s="201">
        <f>I15/F15</f>
        <v>71</v>
      </c>
      <c r="K15" s="246">
        <f>H15/I15</f>
        <v>8.70774647887324</v>
      </c>
      <c r="L15" s="247">
        <v>15169</v>
      </c>
      <c r="M15" s="201">
        <v>1420</v>
      </c>
      <c r="N15" s="258">
        <f>L15/M15</f>
        <v>10.682394366197183</v>
      </c>
      <c r="O15" s="216"/>
      <c r="P15" s="167"/>
      <c r="Q15" s="68"/>
      <c r="R15" s="68"/>
      <c r="S15" s="68"/>
      <c r="T15" s="68"/>
    </row>
    <row r="16" spans="1:20" ht="13.5" customHeight="1">
      <c r="A16" s="314">
        <v>12</v>
      </c>
      <c r="B16" s="366" t="s">
        <v>4</v>
      </c>
      <c r="C16" s="211">
        <v>40529</v>
      </c>
      <c r="D16" s="338" t="s">
        <v>96</v>
      </c>
      <c r="E16" s="410">
        <v>5</v>
      </c>
      <c r="F16" s="410">
        <v>5</v>
      </c>
      <c r="G16" s="410">
        <v>4</v>
      </c>
      <c r="H16" s="283">
        <v>4388</v>
      </c>
      <c r="I16" s="221">
        <v>375</v>
      </c>
      <c r="J16" s="201">
        <f>I16/F16</f>
        <v>75</v>
      </c>
      <c r="K16" s="284">
        <f>H16/I16</f>
        <v>11.701333333333332</v>
      </c>
      <c r="L16" s="285">
        <v>19557</v>
      </c>
      <c r="M16" s="201">
        <v>1795</v>
      </c>
      <c r="N16" s="298">
        <f>L16/M16</f>
        <v>10.895264623955432</v>
      </c>
      <c r="O16" s="404"/>
      <c r="P16" s="167"/>
      <c r="Q16" s="68"/>
      <c r="R16" s="68"/>
      <c r="S16" s="68"/>
      <c r="T16" s="68"/>
    </row>
    <row r="17" spans="1:20" ht="13.5" customHeight="1">
      <c r="A17" s="314">
        <v>13</v>
      </c>
      <c r="B17" s="254" t="s">
        <v>65</v>
      </c>
      <c r="C17" s="194">
        <v>40452</v>
      </c>
      <c r="D17" s="195" t="s">
        <v>17</v>
      </c>
      <c r="E17" s="195">
        <v>148</v>
      </c>
      <c r="F17" s="195">
        <v>3</v>
      </c>
      <c r="G17" s="195">
        <v>14</v>
      </c>
      <c r="H17" s="243">
        <v>4104.5</v>
      </c>
      <c r="I17" s="224">
        <v>531</v>
      </c>
      <c r="J17" s="204">
        <f>IF(H17&lt;&gt;0,I17/F17,"")</f>
        <v>177</v>
      </c>
      <c r="K17" s="238">
        <f>IF(H17&lt;&gt;0,H17/I17,"")</f>
        <v>7.7297551789077215</v>
      </c>
      <c r="L17" s="244">
        <f>699440.5+93480+55329+21058.5+2054+5186.5+3036+2522+4090+1329+2064+2423+H17</f>
        <v>896117</v>
      </c>
      <c r="M17" s="200">
        <f>74937+13125+8283+3296+346+1058+497+365+749+203+322+349+531</f>
        <v>104061</v>
      </c>
      <c r="N17" s="253">
        <f>IF(L17&lt;&gt;0,L17/M17,"")</f>
        <v>8.611458663668426</v>
      </c>
      <c r="O17" s="216">
        <v>1</v>
      </c>
      <c r="P17" s="167"/>
      <c r="Q17" s="68"/>
      <c r="R17" s="68"/>
      <c r="S17" s="68"/>
      <c r="T17" s="68"/>
    </row>
    <row r="18" spans="1:20" ht="13.5" customHeight="1">
      <c r="A18" s="314">
        <v>14</v>
      </c>
      <c r="B18" s="291" t="s">
        <v>65</v>
      </c>
      <c r="C18" s="194">
        <v>40452</v>
      </c>
      <c r="D18" s="195" t="s">
        <v>17</v>
      </c>
      <c r="E18" s="195">
        <v>148</v>
      </c>
      <c r="F18" s="195">
        <v>1</v>
      </c>
      <c r="G18" s="195">
        <v>15</v>
      </c>
      <c r="H18" s="281">
        <v>528</v>
      </c>
      <c r="I18" s="224">
        <v>88</v>
      </c>
      <c r="J18" s="204">
        <f>IF(H18&lt;&gt;0,I18/F18,"")</f>
        <v>88</v>
      </c>
      <c r="K18" s="279">
        <f>IF(H18&lt;&gt;0,H18/I18,"")</f>
        <v>6</v>
      </c>
      <c r="L18" s="282">
        <f>896117+528</f>
        <v>896645</v>
      </c>
      <c r="M18" s="200">
        <f>104061+88</f>
        <v>104149</v>
      </c>
      <c r="N18" s="296">
        <f>IF(L18&lt;&gt;0,L18/M18,"")</f>
        <v>8.609252129161106</v>
      </c>
      <c r="O18" s="217">
        <v>1</v>
      </c>
      <c r="P18" s="167"/>
      <c r="Q18" s="68"/>
      <c r="R18" s="68"/>
      <c r="S18" s="68"/>
      <c r="T18" s="68"/>
    </row>
    <row r="19" spans="1:20" ht="13.5" customHeight="1">
      <c r="A19" s="314">
        <v>15</v>
      </c>
      <c r="B19" s="295" t="s">
        <v>65</v>
      </c>
      <c r="C19" s="194">
        <v>40452</v>
      </c>
      <c r="D19" s="328" t="s">
        <v>17</v>
      </c>
      <c r="E19" s="208">
        <v>148</v>
      </c>
      <c r="F19" s="208">
        <v>1</v>
      </c>
      <c r="G19" s="208">
        <v>16</v>
      </c>
      <c r="H19" s="281">
        <v>390</v>
      </c>
      <c r="I19" s="224">
        <v>65</v>
      </c>
      <c r="J19" s="204">
        <f>+I19/F19</f>
        <v>65</v>
      </c>
      <c r="K19" s="279">
        <f>+H19/I19</f>
        <v>6</v>
      </c>
      <c r="L19" s="282">
        <f>896117+528+390</f>
        <v>897035</v>
      </c>
      <c r="M19" s="200">
        <f>104061+88+65</f>
        <v>104214</v>
      </c>
      <c r="N19" s="296">
        <f>IF(L19&lt;&gt;0,L19/M19,"")</f>
        <v>8.607624695338439</v>
      </c>
      <c r="O19" s="404">
        <v>1</v>
      </c>
      <c r="P19" s="167"/>
      <c r="Q19" s="68"/>
      <c r="R19" s="68"/>
      <c r="S19" s="68"/>
      <c r="T19" s="68"/>
    </row>
    <row r="20" spans="1:20" ht="13.5" customHeight="1">
      <c r="A20" s="314">
        <v>16</v>
      </c>
      <c r="B20" s="250" t="s">
        <v>14</v>
      </c>
      <c r="C20" s="211">
        <v>40473</v>
      </c>
      <c r="D20" s="212" t="s">
        <v>25</v>
      </c>
      <c r="E20" s="212">
        <v>28</v>
      </c>
      <c r="F20" s="212">
        <v>3</v>
      </c>
      <c r="G20" s="212">
        <v>11</v>
      </c>
      <c r="H20" s="231">
        <v>2166</v>
      </c>
      <c r="I20" s="220">
        <v>302</v>
      </c>
      <c r="J20" s="207">
        <f>(I20/F20)</f>
        <v>100.66666666666667</v>
      </c>
      <c r="K20" s="232">
        <f aca="true" t="shared" si="1" ref="K20:K26">H20/I20</f>
        <v>7.172185430463577</v>
      </c>
      <c r="L20" s="233">
        <f>152569.5+122205.5+10562+6863.5+9619+5655+1726.5+3593+4508+310+2166</f>
        <v>319778</v>
      </c>
      <c r="M20" s="206">
        <f>12992+10278+1201+886+1535+877+246+644+1351+56+302</f>
        <v>30368</v>
      </c>
      <c r="N20" s="249">
        <f>L20/M20</f>
        <v>10.53009747102213</v>
      </c>
      <c r="O20" s="216">
        <v>1</v>
      </c>
      <c r="P20" s="167"/>
      <c r="Q20" s="68"/>
      <c r="R20" s="68"/>
      <c r="S20" s="68"/>
      <c r="T20" s="68"/>
    </row>
    <row r="21" spans="1:20" ht="13.5" customHeight="1">
      <c r="A21" s="314">
        <v>17</v>
      </c>
      <c r="B21" s="252" t="s">
        <v>68</v>
      </c>
      <c r="C21" s="194">
        <v>40529</v>
      </c>
      <c r="D21" s="208" t="s">
        <v>26</v>
      </c>
      <c r="E21" s="208">
        <v>81</v>
      </c>
      <c r="F21" s="208">
        <v>69</v>
      </c>
      <c r="G21" s="208">
        <v>3</v>
      </c>
      <c r="H21" s="240">
        <v>90040</v>
      </c>
      <c r="I21" s="222">
        <v>10688</v>
      </c>
      <c r="J21" s="210">
        <f>I21/F21</f>
        <v>154.8985507246377</v>
      </c>
      <c r="K21" s="241">
        <f t="shared" si="1"/>
        <v>8.42440119760479</v>
      </c>
      <c r="L21" s="242">
        <v>472298</v>
      </c>
      <c r="M21" s="209">
        <v>55934</v>
      </c>
      <c r="N21" s="257">
        <f>+L21/M21</f>
        <v>8.443844531054458</v>
      </c>
      <c r="O21" s="216"/>
      <c r="P21" s="167"/>
      <c r="Q21" s="68"/>
      <c r="R21" s="68"/>
      <c r="S21" s="68"/>
      <c r="T21" s="68"/>
    </row>
    <row r="22" spans="1:20" ht="13.5" customHeight="1">
      <c r="A22" s="314">
        <v>18</v>
      </c>
      <c r="B22" s="295" t="s">
        <v>68</v>
      </c>
      <c r="C22" s="194">
        <v>40529</v>
      </c>
      <c r="D22" s="208" t="s">
        <v>26</v>
      </c>
      <c r="E22" s="208">
        <v>81</v>
      </c>
      <c r="F22" s="208">
        <v>5</v>
      </c>
      <c r="G22" s="208">
        <v>4</v>
      </c>
      <c r="H22" s="286">
        <v>431</v>
      </c>
      <c r="I22" s="222">
        <v>43</v>
      </c>
      <c r="J22" s="210">
        <f>I22/F22</f>
        <v>8.6</v>
      </c>
      <c r="K22" s="287">
        <f t="shared" si="1"/>
        <v>10.023255813953488</v>
      </c>
      <c r="L22" s="288">
        <v>472729</v>
      </c>
      <c r="M22" s="209">
        <v>55977</v>
      </c>
      <c r="N22" s="299">
        <f>+L22/M22</f>
        <v>8.445057791592976</v>
      </c>
      <c r="O22" s="217">
        <v>1</v>
      </c>
      <c r="P22" s="167"/>
      <c r="Q22" s="68"/>
      <c r="R22" s="68"/>
      <c r="S22" s="68"/>
      <c r="T22" s="68"/>
    </row>
    <row r="23" spans="1:20" ht="13.5" customHeight="1">
      <c r="A23" s="314">
        <v>19</v>
      </c>
      <c r="B23" s="295" t="s">
        <v>68</v>
      </c>
      <c r="C23" s="194">
        <v>40529</v>
      </c>
      <c r="D23" s="328" t="s">
        <v>26</v>
      </c>
      <c r="E23" s="208">
        <v>81</v>
      </c>
      <c r="F23" s="208">
        <v>5</v>
      </c>
      <c r="G23" s="208">
        <v>5</v>
      </c>
      <c r="H23" s="286">
        <v>5631</v>
      </c>
      <c r="I23" s="222">
        <v>879</v>
      </c>
      <c r="J23" s="210">
        <f>I23/F23</f>
        <v>175.8</v>
      </c>
      <c r="K23" s="287">
        <f t="shared" si="1"/>
        <v>6.406143344709897</v>
      </c>
      <c r="L23" s="288">
        <v>478360</v>
      </c>
      <c r="M23" s="209">
        <v>56856</v>
      </c>
      <c r="N23" s="299">
        <f>+L23/M23</f>
        <v>8.413535950471367</v>
      </c>
      <c r="O23" s="403">
        <v>1</v>
      </c>
      <c r="P23" s="167"/>
      <c r="Q23" s="68"/>
      <c r="R23" s="68"/>
      <c r="S23" s="68"/>
      <c r="T23" s="68"/>
    </row>
    <row r="24" spans="1:20" ht="13.5" customHeight="1">
      <c r="A24" s="314">
        <v>20</v>
      </c>
      <c r="B24" s="248" t="s">
        <v>58</v>
      </c>
      <c r="C24" s="198">
        <v>40529</v>
      </c>
      <c r="D24" s="205" t="s">
        <v>25</v>
      </c>
      <c r="E24" s="205">
        <v>147</v>
      </c>
      <c r="F24" s="205">
        <v>147</v>
      </c>
      <c r="G24" s="205">
        <v>3</v>
      </c>
      <c r="H24" s="231">
        <v>518408</v>
      </c>
      <c r="I24" s="220">
        <v>61133</v>
      </c>
      <c r="J24" s="207">
        <f>(I24/F24)</f>
        <v>415.8707482993197</v>
      </c>
      <c r="K24" s="232">
        <f t="shared" si="1"/>
        <v>8.480002617244368</v>
      </c>
      <c r="L24" s="233">
        <f>691567.5+648414.5+518408</f>
        <v>1858390</v>
      </c>
      <c r="M24" s="206">
        <f>79327+75064+61133</f>
        <v>215524</v>
      </c>
      <c r="N24" s="249">
        <f>L24/M24</f>
        <v>8.622659193407694</v>
      </c>
      <c r="O24" s="225"/>
      <c r="P24" s="167"/>
      <c r="Q24" s="68"/>
      <c r="R24" s="68"/>
      <c r="S24" s="68"/>
      <c r="T24" s="68"/>
    </row>
    <row r="25" spans="1:20" ht="13.5" customHeight="1">
      <c r="A25" s="314">
        <v>21</v>
      </c>
      <c r="B25" s="289" t="s">
        <v>94</v>
      </c>
      <c r="C25" s="198">
        <v>40529</v>
      </c>
      <c r="D25" s="205" t="s">
        <v>25</v>
      </c>
      <c r="E25" s="205">
        <v>147</v>
      </c>
      <c r="F25" s="205">
        <v>70</v>
      </c>
      <c r="G25" s="205">
        <v>4</v>
      </c>
      <c r="H25" s="275">
        <v>71112.5</v>
      </c>
      <c r="I25" s="220">
        <v>10235</v>
      </c>
      <c r="J25" s="207">
        <f>(I25/F25)</f>
        <v>146.21428571428572</v>
      </c>
      <c r="K25" s="276">
        <f t="shared" si="1"/>
        <v>6.947972642892037</v>
      </c>
      <c r="L25" s="277">
        <f>691567.5+648414.5+518408+71112.5</f>
        <v>1929502.5</v>
      </c>
      <c r="M25" s="206">
        <f>79327+75064+61133+10235</f>
        <v>225759</v>
      </c>
      <c r="N25" s="294">
        <f>L25/M25</f>
        <v>8.546735678311828</v>
      </c>
      <c r="O25" s="218">
        <v>1</v>
      </c>
      <c r="P25" s="167"/>
      <c r="Q25" s="68"/>
      <c r="R25" s="68"/>
      <c r="S25" s="68"/>
      <c r="T25" s="68"/>
    </row>
    <row r="26" spans="1:20" ht="13.5" customHeight="1">
      <c r="A26" s="314">
        <v>22</v>
      </c>
      <c r="B26" s="364" t="s">
        <v>94</v>
      </c>
      <c r="C26" s="330">
        <v>40529</v>
      </c>
      <c r="D26" s="329" t="s">
        <v>25</v>
      </c>
      <c r="E26" s="409">
        <v>147</v>
      </c>
      <c r="F26" s="409">
        <v>41</v>
      </c>
      <c r="G26" s="409">
        <v>5</v>
      </c>
      <c r="H26" s="332">
        <v>45526</v>
      </c>
      <c r="I26" s="333">
        <v>7792</v>
      </c>
      <c r="J26" s="334">
        <f>(I26/F26)</f>
        <v>190.0487804878049</v>
      </c>
      <c r="K26" s="335">
        <f t="shared" si="1"/>
        <v>5.842659137577002</v>
      </c>
      <c r="L26" s="336">
        <f>691567.5+648414.5+518408+71321.5+45526</f>
        <v>1975237.5</v>
      </c>
      <c r="M26" s="337">
        <f>79327+75064+61133+10266+7792</f>
        <v>233582</v>
      </c>
      <c r="N26" s="365">
        <f>L26/M26</f>
        <v>8.456291580686868</v>
      </c>
      <c r="O26" s="405">
        <v>1</v>
      </c>
      <c r="P26" s="167"/>
      <c r="Q26" s="68"/>
      <c r="R26" s="68"/>
      <c r="S26" s="68"/>
      <c r="T26" s="68"/>
    </row>
    <row r="27" spans="1:20" ht="13.5" customHeight="1">
      <c r="A27" s="314">
        <v>23</v>
      </c>
      <c r="B27" s="248" t="s">
        <v>63</v>
      </c>
      <c r="C27" s="198">
        <v>40466</v>
      </c>
      <c r="D27" s="205" t="s">
        <v>27</v>
      </c>
      <c r="E27" s="205">
        <v>22</v>
      </c>
      <c r="F27" s="205">
        <v>1</v>
      </c>
      <c r="G27" s="205">
        <v>12</v>
      </c>
      <c r="H27" s="234">
        <v>2002</v>
      </c>
      <c r="I27" s="221">
        <v>232</v>
      </c>
      <c r="J27" s="204">
        <f>IF(H27&lt;&gt;0,I27/F27,"")</f>
        <v>232</v>
      </c>
      <c r="K27" s="238">
        <f>IF(H27&lt;&gt;0,H27/I27,"")</f>
        <v>8.629310344827585</v>
      </c>
      <c r="L27" s="236">
        <f>75899.5+52129.5+37227.5+14454+10905+6815+10220.5+4115+4193+1577.5+113+940+2002</f>
        <v>220591.5</v>
      </c>
      <c r="M27" s="200">
        <f>7028+5164+3832+1471+1190+1095+1727+519+460+216+17+109+232</f>
        <v>23060</v>
      </c>
      <c r="N27" s="253">
        <f>IF(L27&lt;&gt;0,L27/M27,"")</f>
        <v>9.565980052038162</v>
      </c>
      <c r="O27" s="216"/>
      <c r="P27" s="167"/>
      <c r="Q27" s="68"/>
      <c r="R27" s="68"/>
      <c r="S27" s="68"/>
      <c r="T27" s="68"/>
    </row>
    <row r="28" spans="1:20" ht="13.5" customHeight="1">
      <c r="A28" s="314">
        <v>24</v>
      </c>
      <c r="B28" s="289" t="s">
        <v>106</v>
      </c>
      <c r="C28" s="198">
        <v>40466</v>
      </c>
      <c r="D28" s="205" t="s">
        <v>27</v>
      </c>
      <c r="E28" s="205">
        <v>22</v>
      </c>
      <c r="F28" s="205">
        <v>1</v>
      </c>
      <c r="G28" s="205">
        <v>13</v>
      </c>
      <c r="H28" s="269">
        <v>820.5</v>
      </c>
      <c r="I28" s="221">
        <v>274</v>
      </c>
      <c r="J28" s="200">
        <f>I28/F28</f>
        <v>274</v>
      </c>
      <c r="K28" s="270">
        <f>H28/I28</f>
        <v>2.9945255474452557</v>
      </c>
      <c r="L28" s="271">
        <f>75899.5+52129.5+37227.5+14454+10905+6815+10220.5+4115+4193+1577.5+113+940+2002+820.5</f>
        <v>221412</v>
      </c>
      <c r="M28" s="200">
        <f>7028+5164+3832+1471+1190+1095+1727+519+460+216+17+109+232+274</f>
        <v>23334</v>
      </c>
      <c r="N28" s="290">
        <f>L28/M28</f>
        <v>9.48881460529699</v>
      </c>
      <c r="O28" s="217">
        <v>1</v>
      </c>
      <c r="P28" s="167"/>
      <c r="Q28" s="68"/>
      <c r="R28" s="68"/>
      <c r="S28" s="68"/>
      <c r="T28" s="68"/>
    </row>
    <row r="29" spans="1:20" ht="13.5" customHeight="1">
      <c r="A29" s="314">
        <v>25</v>
      </c>
      <c r="B29" s="293" t="s">
        <v>103</v>
      </c>
      <c r="C29" s="198">
        <v>40424</v>
      </c>
      <c r="D29" s="199" t="s">
        <v>23</v>
      </c>
      <c r="E29" s="205">
        <v>107</v>
      </c>
      <c r="F29" s="205">
        <v>1</v>
      </c>
      <c r="G29" s="205">
        <v>19</v>
      </c>
      <c r="H29" s="269">
        <v>1204</v>
      </c>
      <c r="I29" s="221">
        <v>350</v>
      </c>
      <c r="J29" s="200">
        <f>I29/F29</f>
        <v>350</v>
      </c>
      <c r="K29" s="270">
        <f>+H29/I29</f>
        <v>3.44</v>
      </c>
      <c r="L29" s="271">
        <v>2166347</v>
      </c>
      <c r="M29" s="201">
        <v>195743</v>
      </c>
      <c r="N29" s="290">
        <f>+L29/M29</f>
        <v>11.067302534445677</v>
      </c>
      <c r="O29" s="303"/>
      <c r="P29" s="167"/>
      <c r="Q29" s="68"/>
      <c r="R29" s="68"/>
      <c r="S29" s="68"/>
      <c r="T29" s="68"/>
    </row>
    <row r="30" spans="1:20" ht="13.5" customHeight="1">
      <c r="A30" s="314">
        <v>26</v>
      </c>
      <c r="B30" s="362" t="s">
        <v>103</v>
      </c>
      <c r="C30" s="316">
        <v>40424</v>
      </c>
      <c r="D30" s="317" t="s">
        <v>23</v>
      </c>
      <c r="E30" s="411">
        <v>107</v>
      </c>
      <c r="F30" s="411">
        <v>1</v>
      </c>
      <c r="G30" s="411">
        <v>20</v>
      </c>
      <c r="H30" s="319">
        <v>1204</v>
      </c>
      <c r="I30" s="320">
        <v>350</v>
      </c>
      <c r="J30" s="321">
        <f>I30/F30</f>
        <v>350</v>
      </c>
      <c r="K30" s="322">
        <f>+H30/I30</f>
        <v>3.44</v>
      </c>
      <c r="L30" s="323">
        <v>2167551</v>
      </c>
      <c r="M30" s="324">
        <v>196093</v>
      </c>
      <c r="N30" s="363">
        <f>+L30/M30</f>
        <v>11.053688810921349</v>
      </c>
      <c r="O30" s="403"/>
      <c r="P30" s="167"/>
      <c r="Q30" s="68"/>
      <c r="R30" s="68"/>
      <c r="S30" s="68"/>
      <c r="T30" s="68"/>
    </row>
    <row r="31" spans="1:20" ht="13.5" customHeight="1">
      <c r="A31" s="314">
        <v>27</v>
      </c>
      <c r="B31" s="370" t="s">
        <v>133</v>
      </c>
      <c r="C31" s="348">
        <v>40396</v>
      </c>
      <c r="D31" s="329" t="s">
        <v>25</v>
      </c>
      <c r="E31" s="412">
        <v>4</v>
      </c>
      <c r="F31" s="412">
        <v>1</v>
      </c>
      <c r="G31" s="412">
        <v>19</v>
      </c>
      <c r="H31" s="332">
        <v>768</v>
      </c>
      <c r="I31" s="333">
        <v>83</v>
      </c>
      <c r="J31" s="334">
        <f>(I31/F31)</f>
        <v>83</v>
      </c>
      <c r="K31" s="335">
        <f aca="true" t="shared" si="2" ref="K31:K36">H31/I31</f>
        <v>9.25301204819277</v>
      </c>
      <c r="L31" s="336">
        <f>14959+9646+7725+4386+3960+14571+6049+4818+2605+3811+4797+6372+2996+165+950.5+1598.5+276+381+768</f>
        <v>90834</v>
      </c>
      <c r="M31" s="337">
        <f>1646+1123+1125+547+522+2218+896+595+438+656+743+1047+452+23+148+219+42+85+83</f>
        <v>12608</v>
      </c>
      <c r="N31" s="365">
        <f>L31/M31</f>
        <v>7.204473350253807</v>
      </c>
      <c r="O31" s="406"/>
      <c r="P31" s="167"/>
      <c r="Q31" s="68"/>
      <c r="R31" s="68"/>
      <c r="S31" s="68"/>
      <c r="T31" s="68"/>
    </row>
    <row r="32" spans="1:20" ht="13.5" customHeight="1">
      <c r="A32" s="314">
        <v>28</v>
      </c>
      <c r="B32" s="289" t="s">
        <v>102</v>
      </c>
      <c r="C32" s="198">
        <v>40430</v>
      </c>
      <c r="D32" s="205" t="s">
        <v>25</v>
      </c>
      <c r="E32" s="205">
        <v>57</v>
      </c>
      <c r="F32" s="205">
        <v>1</v>
      </c>
      <c r="G32" s="205">
        <v>15</v>
      </c>
      <c r="H32" s="275">
        <v>1782</v>
      </c>
      <c r="I32" s="220">
        <v>445</v>
      </c>
      <c r="J32" s="207">
        <f>(I32/F32)</f>
        <v>445</v>
      </c>
      <c r="K32" s="276">
        <f t="shared" si="2"/>
        <v>4.004494382022472</v>
      </c>
      <c r="L32" s="277">
        <f>15818.5+150711.5+75138.5+33591.5+30249.5+17415.5+8294.5+10566+6016+6121.5+888.5+2484+322+4243.5+950.5+1782</f>
        <v>364593.5</v>
      </c>
      <c r="M32" s="206">
        <f>1512+15643+7345+4634+4073+2646+1136+2027+1109+1483+117+572+47+1041+237+445</f>
        <v>44067</v>
      </c>
      <c r="N32" s="294">
        <f>L32/M32</f>
        <v>8.273617446161527</v>
      </c>
      <c r="O32" s="218"/>
      <c r="P32" s="167"/>
      <c r="Q32" s="68"/>
      <c r="R32" s="68"/>
      <c r="S32" s="68"/>
      <c r="T32" s="68"/>
    </row>
    <row r="33" spans="1:20" ht="13.5" customHeight="1">
      <c r="A33" s="314">
        <v>29</v>
      </c>
      <c r="B33" s="254" t="s">
        <v>35</v>
      </c>
      <c r="C33" s="194">
        <v>40508</v>
      </c>
      <c r="D33" s="195" t="s">
        <v>24</v>
      </c>
      <c r="E33" s="195">
        <v>72</v>
      </c>
      <c r="F33" s="195">
        <v>12</v>
      </c>
      <c r="G33" s="195">
        <v>6</v>
      </c>
      <c r="H33" s="228">
        <v>10277</v>
      </c>
      <c r="I33" s="219">
        <v>1355</v>
      </c>
      <c r="J33" s="197">
        <f>I33/F33</f>
        <v>112.91666666666667</v>
      </c>
      <c r="K33" s="229">
        <f t="shared" si="2"/>
        <v>7.58450184501845</v>
      </c>
      <c r="L33" s="230">
        <v>1208960</v>
      </c>
      <c r="M33" s="196">
        <v>105047</v>
      </c>
      <c r="N33" s="255">
        <f>+L33/M33</f>
        <v>11.508753224747018</v>
      </c>
      <c r="O33" s="216">
        <v>1</v>
      </c>
      <c r="P33" s="167"/>
      <c r="Q33" s="68"/>
      <c r="R33" s="68"/>
      <c r="S33" s="68"/>
      <c r="T33" s="68"/>
    </row>
    <row r="34" spans="1:20" ht="13.5" customHeight="1">
      <c r="A34" s="314">
        <v>30</v>
      </c>
      <c r="B34" s="291" t="s">
        <v>35</v>
      </c>
      <c r="C34" s="194">
        <v>40508</v>
      </c>
      <c r="D34" s="195" t="s">
        <v>24</v>
      </c>
      <c r="E34" s="195">
        <v>72</v>
      </c>
      <c r="F34" s="195">
        <v>1</v>
      </c>
      <c r="G34" s="195">
        <v>7</v>
      </c>
      <c r="H34" s="272">
        <v>513</v>
      </c>
      <c r="I34" s="219">
        <v>59</v>
      </c>
      <c r="J34" s="197">
        <f>I34/F34</f>
        <v>59</v>
      </c>
      <c r="K34" s="273">
        <f t="shared" si="2"/>
        <v>8.694915254237289</v>
      </c>
      <c r="L34" s="274">
        <v>1209473</v>
      </c>
      <c r="M34" s="196">
        <v>105106</v>
      </c>
      <c r="N34" s="292">
        <f>+L34/M34</f>
        <v>11.507173710349551</v>
      </c>
      <c r="O34" s="217"/>
      <c r="P34" s="167"/>
      <c r="Q34" s="68"/>
      <c r="R34" s="68"/>
      <c r="S34" s="68"/>
      <c r="T34" s="68"/>
    </row>
    <row r="35" spans="1:20" ht="13.5" customHeight="1">
      <c r="A35" s="314">
        <v>31</v>
      </c>
      <c r="B35" s="295" t="s">
        <v>35</v>
      </c>
      <c r="C35" s="194">
        <v>40508</v>
      </c>
      <c r="D35" s="328" t="s">
        <v>24</v>
      </c>
      <c r="E35" s="208">
        <v>72</v>
      </c>
      <c r="F35" s="208">
        <v>2</v>
      </c>
      <c r="G35" s="208">
        <v>8</v>
      </c>
      <c r="H35" s="272">
        <v>2043</v>
      </c>
      <c r="I35" s="219">
        <v>282</v>
      </c>
      <c r="J35" s="197">
        <f>I35/F35</f>
        <v>141</v>
      </c>
      <c r="K35" s="273">
        <f t="shared" si="2"/>
        <v>7.24468085106383</v>
      </c>
      <c r="L35" s="274">
        <v>1211516</v>
      </c>
      <c r="M35" s="196">
        <v>105388</v>
      </c>
      <c r="N35" s="292">
        <f>+L35/M35</f>
        <v>11.495768019129313</v>
      </c>
      <c r="O35" s="404"/>
      <c r="P35" s="167"/>
      <c r="Q35" s="68"/>
      <c r="R35" s="68"/>
      <c r="S35" s="68"/>
      <c r="T35" s="68"/>
    </row>
    <row r="36" spans="1:20" ht="13.5" customHeight="1">
      <c r="A36" s="314">
        <v>32</v>
      </c>
      <c r="B36" s="254" t="s">
        <v>10</v>
      </c>
      <c r="C36" s="194">
        <v>40459</v>
      </c>
      <c r="D36" s="195" t="s">
        <v>24</v>
      </c>
      <c r="E36" s="195">
        <v>55</v>
      </c>
      <c r="F36" s="195">
        <v>3</v>
      </c>
      <c r="G36" s="195">
        <v>13</v>
      </c>
      <c r="H36" s="228">
        <v>2794</v>
      </c>
      <c r="I36" s="219">
        <v>385</v>
      </c>
      <c r="J36" s="197">
        <f>I36/F36</f>
        <v>128.33333333333334</v>
      </c>
      <c r="K36" s="229">
        <f t="shared" si="2"/>
        <v>7.257142857142857</v>
      </c>
      <c r="L36" s="230">
        <v>2711808</v>
      </c>
      <c r="M36" s="196">
        <v>235959</v>
      </c>
      <c r="N36" s="255">
        <f>+L36/M36</f>
        <v>11.492708479015421</v>
      </c>
      <c r="O36" s="218"/>
      <c r="P36" s="167"/>
      <c r="Q36" s="68"/>
      <c r="R36" s="68"/>
      <c r="S36" s="68"/>
      <c r="T36" s="68"/>
    </row>
    <row r="37" spans="1:20" ht="13.5" customHeight="1">
      <c r="A37" s="314">
        <v>33</v>
      </c>
      <c r="B37" s="254" t="s">
        <v>20</v>
      </c>
      <c r="C37" s="194">
        <v>40207</v>
      </c>
      <c r="D37" s="195" t="s">
        <v>17</v>
      </c>
      <c r="E37" s="195">
        <v>47</v>
      </c>
      <c r="F37" s="195">
        <v>2</v>
      </c>
      <c r="G37" s="195">
        <v>40</v>
      </c>
      <c r="H37" s="243">
        <v>1782</v>
      </c>
      <c r="I37" s="224">
        <v>356</v>
      </c>
      <c r="J37" s="204">
        <f>IF(H37&lt;&gt;0,I37/F37,"")</f>
        <v>178</v>
      </c>
      <c r="K37" s="238">
        <f>IF(H37&lt;&gt;0,H37/I37,"")</f>
        <v>5.00561797752809</v>
      </c>
      <c r="L37" s="244">
        <f>1873890.5+5542+564+70+558+190+292+283.5+618+H37</f>
        <v>1883790</v>
      </c>
      <c r="M37" s="200">
        <f>160830+1202+112+10+80+27+42+44+119+I37</f>
        <v>162822</v>
      </c>
      <c r="N37" s="253">
        <f>IF(L37&lt;&gt;0,L37/M37,"")</f>
        <v>11.569628182923683</v>
      </c>
      <c r="O37" s="225">
        <v>1</v>
      </c>
      <c r="P37" s="167"/>
      <c r="Q37" s="68"/>
      <c r="R37" s="68"/>
      <c r="S37" s="68"/>
      <c r="T37" s="68"/>
    </row>
    <row r="38" spans="1:20" ht="13.5" customHeight="1">
      <c r="A38" s="314">
        <v>34</v>
      </c>
      <c r="B38" s="291" t="s">
        <v>20</v>
      </c>
      <c r="C38" s="194">
        <v>40207</v>
      </c>
      <c r="D38" s="195" t="s">
        <v>17</v>
      </c>
      <c r="E38" s="195">
        <v>47</v>
      </c>
      <c r="F38" s="195">
        <v>1</v>
      </c>
      <c r="G38" s="195">
        <v>41</v>
      </c>
      <c r="H38" s="281">
        <v>184</v>
      </c>
      <c r="I38" s="224">
        <v>46</v>
      </c>
      <c r="J38" s="204">
        <f>IF(H38&lt;&gt;0,I38/F38,"")</f>
        <v>46</v>
      </c>
      <c r="K38" s="279">
        <f>IF(H38&lt;&gt;0,H38/I38,"")</f>
        <v>4</v>
      </c>
      <c r="L38" s="282">
        <f>1883790+184</f>
        <v>1883974</v>
      </c>
      <c r="M38" s="213">
        <f>162822+46</f>
        <v>162868</v>
      </c>
      <c r="N38" s="296">
        <f>IF(L38&lt;&gt;0,L38/M38,"")</f>
        <v>11.567490237492938</v>
      </c>
      <c r="O38" s="217"/>
      <c r="P38" s="167"/>
      <c r="Q38" s="68"/>
      <c r="R38" s="68"/>
      <c r="S38" s="68"/>
      <c r="T38" s="68"/>
    </row>
    <row r="39" spans="1:20" ht="13.5" customHeight="1">
      <c r="A39" s="314">
        <v>35</v>
      </c>
      <c r="B39" s="248" t="s">
        <v>79</v>
      </c>
      <c r="C39" s="198">
        <v>40529</v>
      </c>
      <c r="D39" s="205" t="s">
        <v>25</v>
      </c>
      <c r="E39" s="205">
        <v>27</v>
      </c>
      <c r="F39" s="205">
        <v>11</v>
      </c>
      <c r="G39" s="205">
        <v>3</v>
      </c>
      <c r="H39" s="231">
        <v>7073.5</v>
      </c>
      <c r="I39" s="220">
        <v>920</v>
      </c>
      <c r="J39" s="207">
        <f>(I39/F39)</f>
        <v>83.63636363636364</v>
      </c>
      <c r="K39" s="232">
        <f>H39/I39</f>
        <v>7.688586956521739</v>
      </c>
      <c r="L39" s="233">
        <f>68045+25663+7073.5</f>
        <v>100781.5</v>
      </c>
      <c r="M39" s="206">
        <f>5442+2277+920</f>
        <v>8639</v>
      </c>
      <c r="N39" s="249">
        <f>L39/M39</f>
        <v>11.665875680055562</v>
      </c>
      <c r="O39" s="216">
        <v>1</v>
      </c>
      <c r="P39" s="167"/>
      <c r="Q39" s="68"/>
      <c r="R39" s="68"/>
      <c r="S39" s="68"/>
      <c r="T39" s="68"/>
    </row>
    <row r="40" spans="1:20" ht="13.5" customHeight="1">
      <c r="A40" s="314">
        <v>36</v>
      </c>
      <c r="B40" s="254" t="s">
        <v>18</v>
      </c>
      <c r="C40" s="194">
        <v>40499</v>
      </c>
      <c r="D40" s="195" t="s">
        <v>24</v>
      </c>
      <c r="E40" s="195">
        <v>216</v>
      </c>
      <c r="F40" s="195">
        <v>34</v>
      </c>
      <c r="G40" s="195">
        <v>7</v>
      </c>
      <c r="H40" s="228">
        <v>30434</v>
      </c>
      <c r="I40" s="219">
        <v>4757</v>
      </c>
      <c r="J40" s="197">
        <f>I40/F40</f>
        <v>139.91176470588235</v>
      </c>
      <c r="K40" s="229">
        <f>H40/I40</f>
        <v>6.397729661551398</v>
      </c>
      <c r="L40" s="230">
        <v>7544141</v>
      </c>
      <c r="M40" s="196">
        <v>795478</v>
      </c>
      <c r="N40" s="255">
        <f>+L40/M40</f>
        <v>9.4837833353028</v>
      </c>
      <c r="O40" s="216"/>
      <c r="P40" s="167"/>
      <c r="Q40" s="68"/>
      <c r="R40" s="68"/>
      <c r="S40" s="68"/>
      <c r="T40" s="68"/>
    </row>
    <row r="41" spans="1:20" ht="13.5" customHeight="1">
      <c r="A41" s="314">
        <v>37</v>
      </c>
      <c r="B41" s="291" t="s">
        <v>18</v>
      </c>
      <c r="C41" s="194">
        <v>40499</v>
      </c>
      <c r="D41" s="195" t="s">
        <v>24</v>
      </c>
      <c r="E41" s="195">
        <v>216</v>
      </c>
      <c r="F41" s="195">
        <v>6</v>
      </c>
      <c r="G41" s="195">
        <v>8</v>
      </c>
      <c r="H41" s="272">
        <v>5700</v>
      </c>
      <c r="I41" s="219">
        <v>1097</v>
      </c>
      <c r="J41" s="197">
        <f>I41/F41</f>
        <v>182.83333333333334</v>
      </c>
      <c r="K41" s="273">
        <f>H41/I41</f>
        <v>5.195989061075661</v>
      </c>
      <c r="L41" s="274">
        <v>7549841</v>
      </c>
      <c r="M41" s="196">
        <v>796575</v>
      </c>
      <c r="N41" s="292">
        <f>+L41/M41</f>
        <v>9.477878416972665</v>
      </c>
      <c r="O41" s="217"/>
      <c r="P41" s="167"/>
      <c r="Q41" s="68"/>
      <c r="R41" s="68"/>
      <c r="S41" s="68"/>
      <c r="T41" s="68"/>
    </row>
    <row r="42" spans="1:20" ht="13.5" customHeight="1">
      <c r="A42" s="314">
        <v>38</v>
      </c>
      <c r="B42" s="295" t="s">
        <v>18</v>
      </c>
      <c r="C42" s="194">
        <v>40499</v>
      </c>
      <c r="D42" s="328" t="s">
        <v>24</v>
      </c>
      <c r="E42" s="208">
        <v>216</v>
      </c>
      <c r="F42" s="208">
        <v>6</v>
      </c>
      <c r="G42" s="208">
        <v>9</v>
      </c>
      <c r="H42" s="272">
        <v>5414</v>
      </c>
      <c r="I42" s="219">
        <v>1277</v>
      </c>
      <c r="J42" s="197">
        <f>I42/F42</f>
        <v>212.83333333333334</v>
      </c>
      <c r="K42" s="273">
        <f>H42/I42</f>
        <v>4.239624119028974</v>
      </c>
      <c r="L42" s="274">
        <v>7555255</v>
      </c>
      <c r="M42" s="196">
        <v>797852</v>
      </c>
      <c r="N42" s="292">
        <f>+L42/M42</f>
        <v>9.4694943423091</v>
      </c>
      <c r="O42" s="404"/>
      <c r="P42" s="167"/>
      <c r="Q42" s="68"/>
      <c r="R42" s="68"/>
      <c r="S42" s="68"/>
      <c r="T42" s="68"/>
    </row>
    <row r="43" spans="1:20" ht="13.5" customHeight="1">
      <c r="A43" s="314">
        <v>39</v>
      </c>
      <c r="B43" s="252" t="s">
        <v>22</v>
      </c>
      <c r="C43" s="194">
        <v>40480</v>
      </c>
      <c r="D43" s="202" t="s">
        <v>28</v>
      </c>
      <c r="E43" s="208">
        <v>1</v>
      </c>
      <c r="F43" s="208">
        <v>1</v>
      </c>
      <c r="G43" s="208">
        <v>8</v>
      </c>
      <c r="H43" s="237">
        <v>42</v>
      </c>
      <c r="I43" s="223">
        <v>6</v>
      </c>
      <c r="J43" s="204">
        <f>+I43/F43</f>
        <v>6</v>
      </c>
      <c r="K43" s="238">
        <f>+H43/I43</f>
        <v>7</v>
      </c>
      <c r="L43" s="239">
        <v>14175</v>
      </c>
      <c r="M43" s="203">
        <v>1015</v>
      </c>
      <c r="N43" s="253">
        <f>+L43/M43</f>
        <v>13.96551724137931</v>
      </c>
      <c r="O43" s="216"/>
      <c r="P43" s="167"/>
      <c r="Q43" s="68"/>
      <c r="R43" s="68"/>
      <c r="S43" s="68"/>
      <c r="T43" s="68"/>
    </row>
    <row r="44" spans="1:20" ht="13.5" customHeight="1">
      <c r="A44" s="314">
        <v>40</v>
      </c>
      <c r="B44" s="289" t="s">
        <v>104</v>
      </c>
      <c r="C44" s="198">
        <v>40424</v>
      </c>
      <c r="D44" s="205" t="s">
        <v>25</v>
      </c>
      <c r="E44" s="205">
        <v>5</v>
      </c>
      <c r="F44" s="205">
        <v>1</v>
      </c>
      <c r="G44" s="205">
        <v>10</v>
      </c>
      <c r="H44" s="275">
        <v>1188</v>
      </c>
      <c r="I44" s="220">
        <v>297</v>
      </c>
      <c r="J44" s="207">
        <f>(I44/F44)</f>
        <v>297</v>
      </c>
      <c r="K44" s="276">
        <f>H44/I44</f>
        <v>4</v>
      </c>
      <c r="L44" s="277">
        <f>11822.5+3468.5+3273+3742.5+3152+1092+927+1058+2153.5+1188</f>
        <v>31877</v>
      </c>
      <c r="M44" s="206">
        <f>827+293+410+398+368+137+124+170+462+297</f>
        <v>3486</v>
      </c>
      <c r="N44" s="294">
        <f>L44/M44</f>
        <v>9.144291451520367</v>
      </c>
      <c r="O44" s="218"/>
      <c r="P44" s="167"/>
      <c r="Q44" s="68"/>
      <c r="R44" s="68"/>
      <c r="S44" s="68"/>
      <c r="T44" s="68"/>
    </row>
    <row r="45" spans="1:20" ht="13.5" customHeight="1">
      <c r="A45" s="314">
        <v>41</v>
      </c>
      <c r="B45" s="295" t="s">
        <v>125</v>
      </c>
      <c r="C45" s="194">
        <v>39647</v>
      </c>
      <c r="D45" s="328" t="s">
        <v>17</v>
      </c>
      <c r="E45" s="208">
        <v>108</v>
      </c>
      <c r="F45" s="208">
        <v>1</v>
      </c>
      <c r="G45" s="208">
        <v>20</v>
      </c>
      <c r="H45" s="281">
        <v>3020</v>
      </c>
      <c r="I45" s="224">
        <v>604</v>
      </c>
      <c r="J45" s="204">
        <f>+I45/F45</f>
        <v>604</v>
      </c>
      <c r="K45" s="279">
        <f>+H45/I45</f>
        <v>5</v>
      </c>
      <c r="L45" s="282">
        <f>4275145.5+3020</f>
        <v>4278165.5</v>
      </c>
      <c r="M45" s="200">
        <f>437002+604</f>
        <v>437606</v>
      </c>
      <c r="N45" s="296">
        <f>IF(L45&lt;&gt;0,L45/M45,"")</f>
        <v>9.776295343299681</v>
      </c>
      <c r="O45" s="404"/>
      <c r="P45" s="167"/>
      <c r="Q45" s="68"/>
      <c r="R45" s="68"/>
      <c r="S45" s="68"/>
      <c r="T45" s="68"/>
    </row>
    <row r="46" spans="1:20" ht="13.5" customHeight="1">
      <c r="A46" s="314">
        <v>42</v>
      </c>
      <c r="B46" s="254" t="s">
        <v>67</v>
      </c>
      <c r="C46" s="194">
        <v>40452</v>
      </c>
      <c r="D46" s="195" t="s">
        <v>17</v>
      </c>
      <c r="E46" s="195">
        <v>67</v>
      </c>
      <c r="F46" s="195">
        <v>3</v>
      </c>
      <c r="G46" s="195">
        <v>11</v>
      </c>
      <c r="H46" s="243">
        <v>258</v>
      </c>
      <c r="I46" s="224">
        <v>51</v>
      </c>
      <c r="J46" s="204">
        <f>IF(H46&lt;&gt;0,I46/F46,"")</f>
        <v>17</v>
      </c>
      <c r="K46" s="238">
        <f>IF(H46&lt;&gt;0,H46/I46,"")</f>
        <v>5.0588235294117645</v>
      </c>
      <c r="L46" s="244">
        <f>148907+7057+8529+4040+573.5+1227+412+727+521+H46</f>
        <v>172251.5</v>
      </c>
      <c r="M46" s="200">
        <f>14954+1128+1323+621+141+331+59+105+73+I46</f>
        <v>18786</v>
      </c>
      <c r="N46" s="253">
        <f>IF(L46&lt;&gt;0,L46/M46,"")</f>
        <v>9.16914191419142</v>
      </c>
      <c r="O46" s="216">
        <v>1</v>
      </c>
      <c r="P46" s="167"/>
      <c r="Q46" s="68"/>
      <c r="R46" s="68"/>
      <c r="S46" s="68"/>
      <c r="T46" s="68"/>
    </row>
    <row r="47" spans="1:20" ht="13.5" customHeight="1">
      <c r="A47" s="314">
        <v>43</v>
      </c>
      <c r="B47" s="254" t="s">
        <v>85</v>
      </c>
      <c r="C47" s="194">
        <v>40480</v>
      </c>
      <c r="D47" s="195" t="s">
        <v>17</v>
      </c>
      <c r="E47" s="195">
        <v>71</v>
      </c>
      <c r="F47" s="195">
        <v>8</v>
      </c>
      <c r="G47" s="195">
        <v>10</v>
      </c>
      <c r="H47" s="243">
        <v>496.5</v>
      </c>
      <c r="I47" s="224">
        <v>79</v>
      </c>
      <c r="J47" s="204">
        <f>IF(H47&lt;&gt;0,I47/F47,"")</f>
        <v>9.875</v>
      </c>
      <c r="K47" s="238">
        <f>IF(H47&lt;&gt;0,H47/I47,"")</f>
        <v>6.284810126582278</v>
      </c>
      <c r="L47" s="244">
        <f>72774.5+23673+5827+3625+7534.5+38620+936+11563+4979+H47</f>
        <v>170028.5</v>
      </c>
      <c r="M47" s="200">
        <f>8533+3652+916+601+1795+7393+145+2290+697+I47</f>
        <v>26101</v>
      </c>
      <c r="N47" s="253">
        <f>IF(L47&lt;&gt;0,L47/M47,"")</f>
        <v>6.514252327497031</v>
      </c>
      <c r="O47" s="216">
        <v>1</v>
      </c>
      <c r="P47" s="167"/>
      <c r="Q47" s="68"/>
      <c r="R47" s="68"/>
      <c r="S47" s="68"/>
      <c r="T47" s="68"/>
    </row>
    <row r="48" spans="1:20" ht="13.5" customHeight="1">
      <c r="A48" s="314">
        <v>44</v>
      </c>
      <c r="B48" s="295" t="s">
        <v>85</v>
      </c>
      <c r="C48" s="194">
        <v>40480</v>
      </c>
      <c r="D48" s="328" t="s">
        <v>17</v>
      </c>
      <c r="E48" s="208">
        <v>71</v>
      </c>
      <c r="F48" s="208">
        <v>2</v>
      </c>
      <c r="G48" s="208">
        <v>11</v>
      </c>
      <c r="H48" s="281">
        <v>3270</v>
      </c>
      <c r="I48" s="224">
        <v>654</v>
      </c>
      <c r="J48" s="204">
        <f>IF(H48&lt;&gt;0,I48/F48,"")</f>
        <v>327</v>
      </c>
      <c r="K48" s="279">
        <f>IF(H48&lt;&gt;0,H48/I48,"")</f>
        <v>5</v>
      </c>
      <c r="L48" s="282">
        <f>72774.5+23673+5827+3625+7534.5+38620+936+11563+4979+496.5+3270</f>
        <v>173298.5</v>
      </c>
      <c r="M48" s="200">
        <f>8533+3652+916+601+1795+7393+145+2290+697+79+654</f>
        <v>26755</v>
      </c>
      <c r="N48" s="296">
        <f>IF(L48&lt;&gt;0,L48/M48,"")</f>
        <v>6.4772378994580455</v>
      </c>
      <c r="O48" s="404">
        <v>1</v>
      </c>
      <c r="P48" s="167"/>
      <c r="Q48" s="68"/>
      <c r="R48" s="68"/>
      <c r="S48" s="68"/>
      <c r="T48" s="68"/>
    </row>
    <row r="49" spans="1:20" ht="13.5" customHeight="1">
      <c r="A49" s="314">
        <v>45</v>
      </c>
      <c r="B49" s="248" t="s">
        <v>15</v>
      </c>
      <c r="C49" s="198">
        <v>40473</v>
      </c>
      <c r="D49" s="205" t="s">
        <v>25</v>
      </c>
      <c r="E49" s="205">
        <v>30</v>
      </c>
      <c r="F49" s="205">
        <v>10</v>
      </c>
      <c r="G49" s="205">
        <v>11</v>
      </c>
      <c r="H49" s="231">
        <v>8357</v>
      </c>
      <c r="I49" s="220">
        <v>1374</v>
      </c>
      <c r="J49" s="207">
        <f>(I49/F49)</f>
        <v>137.4</v>
      </c>
      <c r="K49" s="232">
        <f>H49/I49</f>
        <v>6.082241630276565</v>
      </c>
      <c r="L49" s="233">
        <f>140269+106844+7979+4849+4700.5+7059+2232+1390+2769+13917+8357</f>
        <v>300365.5</v>
      </c>
      <c r="M49" s="206">
        <f>11518+8629+641+577+660+1341+325+348+324+2259+1374</f>
        <v>27996</v>
      </c>
      <c r="N49" s="249">
        <f>L49/M49</f>
        <v>10.728871981711674</v>
      </c>
      <c r="O49" s="218"/>
      <c r="P49" s="167"/>
      <c r="Q49" s="68"/>
      <c r="R49" s="68"/>
      <c r="S49" s="68"/>
      <c r="T49" s="68"/>
    </row>
    <row r="50" spans="1:20" ht="13.5" customHeight="1">
      <c r="A50" s="314">
        <v>46</v>
      </c>
      <c r="B50" s="289" t="s">
        <v>15</v>
      </c>
      <c r="C50" s="198">
        <v>40473</v>
      </c>
      <c r="D50" s="205" t="s">
        <v>25</v>
      </c>
      <c r="E50" s="205">
        <v>30</v>
      </c>
      <c r="F50" s="205">
        <v>1</v>
      </c>
      <c r="G50" s="205">
        <v>12</v>
      </c>
      <c r="H50" s="275">
        <v>891.5</v>
      </c>
      <c r="I50" s="220">
        <v>332</v>
      </c>
      <c r="J50" s="207">
        <f>(I50/F50)</f>
        <v>332</v>
      </c>
      <c r="K50" s="276">
        <f>H50/I50</f>
        <v>2.6852409638554215</v>
      </c>
      <c r="L50" s="277">
        <f>140269+106844+7979+4849+4700.5+7059+2232+1390+2769+13917+8357+891.5</f>
        <v>301257</v>
      </c>
      <c r="M50" s="206">
        <f>11518+8629+641+577+660+1341+325+348+324+2259+1374+332</f>
        <v>28328</v>
      </c>
      <c r="N50" s="294">
        <f>L50/M50</f>
        <v>10.63460180739904</v>
      </c>
      <c r="O50" s="218"/>
      <c r="P50" s="167"/>
      <c r="Q50" s="68"/>
      <c r="R50" s="68"/>
      <c r="S50" s="68"/>
      <c r="T50" s="68"/>
    </row>
    <row r="51" spans="1:20" ht="13.5" customHeight="1">
      <c r="A51" s="314">
        <v>47</v>
      </c>
      <c r="B51" s="364" t="s">
        <v>15</v>
      </c>
      <c r="C51" s="330">
        <v>40473</v>
      </c>
      <c r="D51" s="329" t="s">
        <v>25</v>
      </c>
      <c r="E51" s="409">
        <v>30</v>
      </c>
      <c r="F51" s="409">
        <v>3</v>
      </c>
      <c r="G51" s="409">
        <v>13</v>
      </c>
      <c r="H51" s="332">
        <v>4704</v>
      </c>
      <c r="I51" s="333">
        <v>506</v>
      </c>
      <c r="J51" s="334">
        <f>(I51/F51)</f>
        <v>168.66666666666666</v>
      </c>
      <c r="K51" s="335">
        <f>H51/I51</f>
        <v>9.296442687747035</v>
      </c>
      <c r="L51" s="336">
        <f>140269+106844+7979+4849+4700.5+7059+2232+1390+2769+13917+8357+891.5+4704</f>
        <v>305961</v>
      </c>
      <c r="M51" s="337">
        <f>11518+8629+641+577+660+1341+325+348+324+2259+1374+332+506</f>
        <v>28834</v>
      </c>
      <c r="N51" s="365">
        <f>L51/M51</f>
        <v>10.61111881806201</v>
      </c>
      <c r="O51" s="405"/>
      <c r="P51" s="167"/>
      <c r="Q51" s="68"/>
      <c r="R51" s="68"/>
      <c r="S51" s="68"/>
      <c r="T51" s="68"/>
    </row>
    <row r="52" spans="1:20" ht="13.5" customHeight="1">
      <c r="A52" s="314">
        <v>48</v>
      </c>
      <c r="B52" s="259" t="s">
        <v>9</v>
      </c>
      <c r="C52" s="214">
        <v>40438</v>
      </c>
      <c r="D52" s="205" t="s">
        <v>25</v>
      </c>
      <c r="E52" s="407">
        <v>19</v>
      </c>
      <c r="F52" s="407">
        <v>1</v>
      </c>
      <c r="G52" s="407">
        <v>13</v>
      </c>
      <c r="H52" s="231">
        <v>1188</v>
      </c>
      <c r="I52" s="220">
        <v>297</v>
      </c>
      <c r="J52" s="207">
        <f>(I52/F52)</f>
        <v>297</v>
      </c>
      <c r="K52" s="232">
        <f>H52/I52</f>
        <v>4</v>
      </c>
      <c r="L52" s="233">
        <f>56752.5+38871+22868.5+4839+2786+2829.5+8012+670+1368+140+42+628+1188</f>
        <v>140994.5</v>
      </c>
      <c r="M52" s="206">
        <f>4639+3072+2103+531+316+368+936+83+203+20+6+98+297</f>
        <v>12672</v>
      </c>
      <c r="N52" s="249">
        <f>L52/M52</f>
        <v>11.12645991161616</v>
      </c>
      <c r="O52" s="216">
        <v>1</v>
      </c>
      <c r="P52" s="167"/>
      <c r="Q52" s="68"/>
      <c r="R52" s="68"/>
      <c r="S52" s="68"/>
      <c r="T52" s="68"/>
    </row>
    <row r="53" spans="1:20" ht="13.5" customHeight="1">
      <c r="A53" s="314">
        <v>49</v>
      </c>
      <c r="B53" s="254" t="s">
        <v>59</v>
      </c>
      <c r="C53" s="194">
        <v>40529</v>
      </c>
      <c r="D53" s="195" t="s">
        <v>24</v>
      </c>
      <c r="E53" s="195">
        <v>72</v>
      </c>
      <c r="F53" s="195">
        <v>71</v>
      </c>
      <c r="G53" s="195">
        <v>3</v>
      </c>
      <c r="H53" s="228">
        <v>165182</v>
      </c>
      <c r="I53" s="219">
        <v>14707</v>
      </c>
      <c r="J53" s="197">
        <f>I53/F53</f>
        <v>207.14084507042253</v>
      </c>
      <c r="K53" s="235">
        <f>+H53/I53</f>
        <v>11.231522404297273</v>
      </c>
      <c r="L53" s="230">
        <v>909930</v>
      </c>
      <c r="M53" s="196">
        <v>83118</v>
      </c>
      <c r="N53" s="255">
        <f>+L53/M53</f>
        <v>10.94744820616473</v>
      </c>
      <c r="O53" s="217">
        <v>1</v>
      </c>
      <c r="P53" s="167"/>
      <c r="Q53" s="68"/>
      <c r="R53" s="68"/>
      <c r="S53" s="68"/>
      <c r="T53" s="68"/>
    </row>
    <row r="54" spans="1:20" ht="13.5" customHeight="1">
      <c r="A54" s="314">
        <v>50</v>
      </c>
      <c r="B54" s="291" t="s">
        <v>59</v>
      </c>
      <c r="C54" s="194">
        <v>40529</v>
      </c>
      <c r="D54" s="195" t="s">
        <v>24</v>
      </c>
      <c r="E54" s="195">
        <v>72</v>
      </c>
      <c r="F54" s="195">
        <v>2</v>
      </c>
      <c r="G54" s="195">
        <v>4</v>
      </c>
      <c r="H54" s="272">
        <v>2401</v>
      </c>
      <c r="I54" s="219">
        <v>570</v>
      </c>
      <c r="J54" s="197">
        <f>I54/F54</f>
        <v>285</v>
      </c>
      <c r="K54" s="273">
        <f>H54/I54</f>
        <v>4.212280701754386</v>
      </c>
      <c r="L54" s="274">
        <v>912331</v>
      </c>
      <c r="M54" s="196">
        <v>83688</v>
      </c>
      <c r="N54" s="292">
        <f>+L54/M54</f>
        <v>10.901574897237358</v>
      </c>
      <c r="O54" s="217"/>
      <c r="P54" s="167"/>
      <c r="Q54" s="68"/>
      <c r="R54" s="68"/>
      <c r="S54" s="68"/>
      <c r="T54" s="68"/>
    </row>
    <row r="55" spans="1:20" ht="13.5" customHeight="1">
      <c r="A55" s="314">
        <v>51</v>
      </c>
      <c r="B55" s="295" t="s">
        <v>59</v>
      </c>
      <c r="C55" s="194">
        <v>40529</v>
      </c>
      <c r="D55" s="328" t="s">
        <v>24</v>
      </c>
      <c r="E55" s="208">
        <v>72</v>
      </c>
      <c r="F55" s="208">
        <v>3</v>
      </c>
      <c r="G55" s="208">
        <v>5</v>
      </c>
      <c r="H55" s="272">
        <v>3407</v>
      </c>
      <c r="I55" s="219">
        <v>461</v>
      </c>
      <c r="J55" s="197">
        <f>I55/F55</f>
        <v>153.66666666666666</v>
      </c>
      <c r="K55" s="273">
        <f>H55/I55</f>
        <v>7.390455531453362</v>
      </c>
      <c r="L55" s="274">
        <v>915738</v>
      </c>
      <c r="M55" s="196">
        <v>84149</v>
      </c>
      <c r="N55" s="292">
        <f>+L55/M55</f>
        <v>10.88233965941366</v>
      </c>
      <c r="O55" s="404"/>
      <c r="P55" s="167"/>
      <c r="Q55" s="68"/>
      <c r="R55" s="68"/>
      <c r="S55" s="68"/>
      <c r="T55" s="68"/>
    </row>
    <row r="56" spans="1:20" ht="13.5" customHeight="1">
      <c r="A56" s="314">
        <v>52</v>
      </c>
      <c r="B56" s="367" t="s">
        <v>127</v>
      </c>
      <c r="C56" s="341">
        <v>40480</v>
      </c>
      <c r="D56" s="340" t="s">
        <v>119</v>
      </c>
      <c r="E56" s="413">
        <v>15</v>
      </c>
      <c r="F56" s="413">
        <v>1</v>
      </c>
      <c r="G56" s="413">
        <v>7</v>
      </c>
      <c r="H56" s="343">
        <v>1779</v>
      </c>
      <c r="I56" s="344">
        <v>356</v>
      </c>
      <c r="J56" s="345">
        <v>356</v>
      </c>
      <c r="K56" s="346">
        <v>4.997191011235955</v>
      </c>
      <c r="L56" s="347">
        <v>57513</v>
      </c>
      <c r="M56" s="345">
        <v>6199</v>
      </c>
      <c r="N56" s="368">
        <v>9.277786739796742</v>
      </c>
      <c r="O56" s="404"/>
      <c r="P56" s="164"/>
      <c r="Q56" s="68"/>
      <c r="R56" s="68"/>
      <c r="S56" s="68"/>
      <c r="T56" s="68"/>
    </row>
    <row r="57" spans="1:20" ht="13.5" customHeight="1">
      <c r="A57" s="314">
        <v>53</v>
      </c>
      <c r="B57" s="250" t="s">
        <v>73</v>
      </c>
      <c r="C57" s="198">
        <v>40536</v>
      </c>
      <c r="D57" s="199" t="s">
        <v>23</v>
      </c>
      <c r="E57" s="205">
        <v>91</v>
      </c>
      <c r="F57" s="205">
        <v>92</v>
      </c>
      <c r="G57" s="205">
        <v>2</v>
      </c>
      <c r="H57" s="234">
        <v>390086</v>
      </c>
      <c r="I57" s="221">
        <v>33581</v>
      </c>
      <c r="J57" s="200">
        <f>I57/F57</f>
        <v>365.0108695652174</v>
      </c>
      <c r="K57" s="235">
        <f>+H57/I57</f>
        <v>11.616271105684762</v>
      </c>
      <c r="L57" s="236">
        <v>972705</v>
      </c>
      <c r="M57" s="201">
        <v>84601</v>
      </c>
      <c r="N57" s="251">
        <f>+L57/M57</f>
        <v>11.497559130506732</v>
      </c>
      <c r="O57" s="216"/>
      <c r="P57" s="164"/>
      <c r="Q57" s="68"/>
      <c r="R57" s="68"/>
      <c r="S57" s="68"/>
      <c r="T57" s="68"/>
    </row>
    <row r="58" spans="1:20" ht="13.5" customHeight="1">
      <c r="A58" s="314">
        <v>54</v>
      </c>
      <c r="B58" s="293" t="s">
        <v>73</v>
      </c>
      <c r="C58" s="198">
        <v>40536</v>
      </c>
      <c r="D58" s="199" t="s">
        <v>23</v>
      </c>
      <c r="E58" s="205">
        <v>91</v>
      </c>
      <c r="F58" s="205">
        <v>90</v>
      </c>
      <c r="G58" s="205">
        <v>3</v>
      </c>
      <c r="H58" s="269">
        <v>191201</v>
      </c>
      <c r="I58" s="221">
        <v>16807</v>
      </c>
      <c r="J58" s="200">
        <f>I58/F58</f>
        <v>186.74444444444444</v>
      </c>
      <c r="K58" s="270">
        <f>+H58/I58</f>
        <v>11.37627179151544</v>
      </c>
      <c r="L58" s="271">
        <v>1163906</v>
      </c>
      <c r="M58" s="201">
        <v>101408</v>
      </c>
      <c r="N58" s="290">
        <f>+L58/M58</f>
        <v>11.477457399810666</v>
      </c>
      <c r="O58" s="303"/>
      <c r="P58" s="164"/>
      <c r="Q58" s="68"/>
      <c r="R58" s="68"/>
      <c r="S58" s="68"/>
      <c r="T58" s="68"/>
    </row>
    <row r="59" spans="1:20" ht="13.5" customHeight="1">
      <c r="A59" s="314">
        <v>55</v>
      </c>
      <c r="B59" s="362" t="s">
        <v>73</v>
      </c>
      <c r="C59" s="316">
        <v>40536</v>
      </c>
      <c r="D59" s="317" t="s">
        <v>23</v>
      </c>
      <c r="E59" s="411">
        <v>91</v>
      </c>
      <c r="F59" s="411">
        <v>22</v>
      </c>
      <c r="G59" s="411">
        <v>4</v>
      </c>
      <c r="H59" s="319">
        <v>28672</v>
      </c>
      <c r="I59" s="320">
        <v>2679</v>
      </c>
      <c r="J59" s="321">
        <f>I59/F59</f>
        <v>121.77272727272727</v>
      </c>
      <c r="K59" s="322">
        <f>+H59/I59</f>
        <v>10.702500933184023</v>
      </c>
      <c r="L59" s="323">
        <v>1192578</v>
      </c>
      <c r="M59" s="324">
        <v>104087</v>
      </c>
      <c r="N59" s="363">
        <f>+L59/M59</f>
        <v>11.45751150479887</v>
      </c>
      <c r="O59" s="403"/>
      <c r="P59" s="164"/>
      <c r="Q59" s="68"/>
      <c r="R59" s="68"/>
      <c r="S59" s="68"/>
      <c r="T59" s="68"/>
    </row>
    <row r="60" spans="1:20" ht="13.5" customHeight="1">
      <c r="A60" s="314">
        <v>56</v>
      </c>
      <c r="B60" s="250" t="s">
        <v>62</v>
      </c>
      <c r="C60" s="198">
        <v>40515</v>
      </c>
      <c r="D60" s="199" t="s">
        <v>23</v>
      </c>
      <c r="E60" s="205">
        <v>122</v>
      </c>
      <c r="F60" s="205">
        <v>7</v>
      </c>
      <c r="G60" s="205">
        <v>4</v>
      </c>
      <c r="H60" s="234">
        <v>4679</v>
      </c>
      <c r="I60" s="221">
        <v>723</v>
      </c>
      <c r="J60" s="200">
        <f>I60/F60</f>
        <v>103.28571428571429</v>
      </c>
      <c r="K60" s="235">
        <f>+H60/I60</f>
        <v>6.4716459197787</v>
      </c>
      <c r="L60" s="236">
        <v>611175</v>
      </c>
      <c r="M60" s="201">
        <v>72305</v>
      </c>
      <c r="N60" s="251">
        <f>+L60/M60</f>
        <v>8.452734942258488</v>
      </c>
      <c r="O60" s="217">
        <v>1</v>
      </c>
      <c r="P60" s="164"/>
      <c r="Q60" s="68"/>
      <c r="R60" s="68"/>
      <c r="S60" s="68"/>
      <c r="T60" s="68"/>
    </row>
    <row r="61" spans="1:20" ht="13.5" customHeight="1">
      <c r="A61" s="314">
        <v>57</v>
      </c>
      <c r="B61" s="293" t="s">
        <v>62</v>
      </c>
      <c r="C61" s="198">
        <v>40515</v>
      </c>
      <c r="D61" s="199" t="s">
        <v>23</v>
      </c>
      <c r="E61" s="205">
        <v>122</v>
      </c>
      <c r="F61" s="205">
        <v>2</v>
      </c>
      <c r="G61" s="205">
        <v>5</v>
      </c>
      <c r="H61" s="269">
        <v>474</v>
      </c>
      <c r="I61" s="221">
        <v>70</v>
      </c>
      <c r="J61" s="200">
        <f>I61/F61</f>
        <v>35</v>
      </c>
      <c r="K61" s="270">
        <f>+H61/I61</f>
        <v>6.771428571428571</v>
      </c>
      <c r="L61" s="271">
        <v>611649</v>
      </c>
      <c r="M61" s="201">
        <v>72375</v>
      </c>
      <c r="N61" s="290">
        <f>+L61/M61</f>
        <v>8.451108808290156</v>
      </c>
      <c r="O61" s="303">
        <v>1</v>
      </c>
      <c r="P61" s="164"/>
      <c r="Q61" s="68"/>
      <c r="R61" s="68"/>
      <c r="S61" s="68"/>
      <c r="T61" s="68"/>
    </row>
    <row r="62" spans="1:20" ht="13.5" customHeight="1">
      <c r="A62" s="314">
        <v>58</v>
      </c>
      <c r="B62" s="364" t="s">
        <v>129</v>
      </c>
      <c r="C62" s="330">
        <v>40389</v>
      </c>
      <c r="D62" s="329" t="s">
        <v>25</v>
      </c>
      <c r="E62" s="409">
        <v>19</v>
      </c>
      <c r="F62" s="409">
        <v>1</v>
      </c>
      <c r="G62" s="409">
        <v>13</v>
      </c>
      <c r="H62" s="332">
        <v>1307</v>
      </c>
      <c r="I62" s="333">
        <v>327</v>
      </c>
      <c r="J62" s="334">
        <f>(I62/F62)</f>
        <v>327</v>
      </c>
      <c r="K62" s="335">
        <f>H62/I62</f>
        <v>3.996941896024465</v>
      </c>
      <c r="L62" s="336">
        <f>69032+15425.5+9802+4755.5+7049.5+3610.5+8536+6024.5+2322+245+405.5+1307</f>
        <v>128515</v>
      </c>
      <c r="M62" s="337">
        <f>5509+1589+1417+704+842+602+1038+829+323+37+46+327</f>
        <v>13263</v>
      </c>
      <c r="N62" s="365">
        <f>L62/M62</f>
        <v>9.68973836990123</v>
      </c>
      <c r="O62" s="405"/>
      <c r="P62" s="164"/>
      <c r="Q62" s="68"/>
      <c r="R62" s="68"/>
      <c r="S62" s="68"/>
      <c r="T62" s="68"/>
    </row>
    <row r="63" spans="1:20" ht="13.5" customHeight="1">
      <c r="A63" s="314">
        <v>59</v>
      </c>
      <c r="B63" s="252" t="s">
        <v>11</v>
      </c>
      <c r="C63" s="194">
        <v>40459</v>
      </c>
      <c r="D63" s="202" t="s">
        <v>28</v>
      </c>
      <c r="E63" s="208">
        <v>50</v>
      </c>
      <c r="F63" s="208">
        <v>5</v>
      </c>
      <c r="G63" s="208">
        <v>13</v>
      </c>
      <c r="H63" s="237">
        <v>4218</v>
      </c>
      <c r="I63" s="223">
        <v>597</v>
      </c>
      <c r="J63" s="204">
        <f>+I63/F63</f>
        <v>119.4</v>
      </c>
      <c r="K63" s="238">
        <f>+H63/I63</f>
        <v>7.065326633165829</v>
      </c>
      <c r="L63" s="239">
        <v>377106</v>
      </c>
      <c r="M63" s="203">
        <v>34343</v>
      </c>
      <c r="N63" s="253">
        <f>+L63/M63</f>
        <v>10.980578283784178</v>
      </c>
      <c r="O63" s="216"/>
      <c r="P63" s="164"/>
      <c r="Q63" s="68"/>
      <c r="R63" s="68"/>
      <c r="S63" s="68"/>
      <c r="T63" s="68"/>
    </row>
    <row r="64" spans="1:20" ht="13.5" customHeight="1">
      <c r="A64" s="314">
        <v>60</v>
      </c>
      <c r="B64" s="295" t="s">
        <v>11</v>
      </c>
      <c r="C64" s="194">
        <v>40459</v>
      </c>
      <c r="D64" s="202" t="s">
        <v>28</v>
      </c>
      <c r="E64" s="208">
        <v>50</v>
      </c>
      <c r="F64" s="208">
        <v>1</v>
      </c>
      <c r="G64" s="208">
        <v>14</v>
      </c>
      <c r="H64" s="278">
        <v>62</v>
      </c>
      <c r="I64" s="223">
        <v>10</v>
      </c>
      <c r="J64" s="204">
        <f>+I64/F64</f>
        <v>10</v>
      </c>
      <c r="K64" s="279">
        <f>+H64/I64</f>
        <v>6.2</v>
      </c>
      <c r="L64" s="280">
        <v>377168</v>
      </c>
      <c r="M64" s="203">
        <v>34353</v>
      </c>
      <c r="N64" s="296">
        <f>+L64/M64</f>
        <v>10.979186679474864</v>
      </c>
      <c r="O64" s="217"/>
      <c r="P64" s="164"/>
      <c r="Q64" s="68"/>
      <c r="R64" s="68"/>
      <c r="S64" s="68"/>
      <c r="T64" s="68"/>
    </row>
    <row r="65" spans="1:20" ht="13.5" customHeight="1">
      <c r="A65" s="314">
        <v>61</v>
      </c>
      <c r="B65" s="250" t="s">
        <v>84</v>
      </c>
      <c r="C65" s="211">
        <v>40480</v>
      </c>
      <c r="D65" s="212" t="s">
        <v>27</v>
      </c>
      <c r="E65" s="212">
        <v>135</v>
      </c>
      <c r="F65" s="212">
        <v>5</v>
      </c>
      <c r="G65" s="212">
        <v>10</v>
      </c>
      <c r="H65" s="245">
        <v>604</v>
      </c>
      <c r="I65" s="221">
        <v>91</v>
      </c>
      <c r="J65" s="204">
        <f>IF(H65&lt;&gt;0,I65/F65,"")</f>
        <v>18.2</v>
      </c>
      <c r="K65" s="238">
        <f>IF(H65&lt;&gt;0,H65/I65,"")</f>
        <v>6.637362637362638</v>
      </c>
      <c r="L65" s="247">
        <f>151771.5+44278.5+20156+4831.5+5960.5+2697+3743.5+81+2518+2320+604</f>
        <v>238961.5</v>
      </c>
      <c r="M65" s="213">
        <f>19003+7410+3277+795+995+475+746+11+433+386+91</f>
        <v>33622</v>
      </c>
      <c r="N65" s="253">
        <f>IF(L65&lt;&gt;0,L65/M65,"")</f>
        <v>7.107295818214264</v>
      </c>
      <c r="O65" s="217">
        <v>1</v>
      </c>
      <c r="P65" s="164"/>
      <c r="Q65" s="68"/>
      <c r="R65" s="68"/>
      <c r="S65" s="68"/>
      <c r="T65" s="68"/>
    </row>
    <row r="66" spans="1:20" ht="13.5" customHeight="1">
      <c r="A66" s="314">
        <v>62</v>
      </c>
      <c r="B66" s="289" t="s">
        <v>84</v>
      </c>
      <c r="C66" s="198">
        <v>40480</v>
      </c>
      <c r="D66" s="205" t="s">
        <v>27</v>
      </c>
      <c r="E66" s="205">
        <v>135</v>
      </c>
      <c r="F66" s="205">
        <v>1</v>
      </c>
      <c r="G66" s="205">
        <v>11</v>
      </c>
      <c r="H66" s="269">
        <v>265</v>
      </c>
      <c r="I66" s="221">
        <v>52</v>
      </c>
      <c r="J66" s="200">
        <f>I66/F66</f>
        <v>52</v>
      </c>
      <c r="K66" s="270">
        <f>H66/I66</f>
        <v>5.096153846153846</v>
      </c>
      <c r="L66" s="271">
        <f>151771.5+44278.5+20156+4831.5+5960.5+2697+3743.5+81+2518+2320+604+265</f>
        <v>239226.5</v>
      </c>
      <c r="M66" s="200">
        <f>19003+7410+3277+795+995+475+746+11+433+386+91+52</f>
        <v>33674</v>
      </c>
      <c r="N66" s="290">
        <f>L66/M66</f>
        <v>7.10419017639722</v>
      </c>
      <c r="O66" s="217">
        <v>1</v>
      </c>
      <c r="P66" s="164"/>
      <c r="Q66" s="68"/>
      <c r="R66" s="68"/>
      <c r="S66" s="68"/>
      <c r="T66" s="68"/>
    </row>
    <row r="67" spans="1:20" ht="13.5" customHeight="1">
      <c r="A67" s="314">
        <v>63</v>
      </c>
      <c r="B67" s="252" t="s">
        <v>76</v>
      </c>
      <c r="C67" s="194">
        <v>40487</v>
      </c>
      <c r="D67" s="202" t="s">
        <v>28</v>
      </c>
      <c r="E67" s="208">
        <v>312</v>
      </c>
      <c r="F67" s="208">
        <v>86</v>
      </c>
      <c r="G67" s="208">
        <v>9</v>
      </c>
      <c r="H67" s="237">
        <v>125458</v>
      </c>
      <c r="I67" s="223">
        <v>15869</v>
      </c>
      <c r="J67" s="204">
        <f>+I67/F67</f>
        <v>184.52325581395348</v>
      </c>
      <c r="K67" s="238">
        <f>+H67/I67</f>
        <v>7.90585418110782</v>
      </c>
      <c r="L67" s="239">
        <v>31622053</v>
      </c>
      <c r="M67" s="203">
        <v>3470958</v>
      </c>
      <c r="N67" s="253">
        <f>+L67/M67</f>
        <v>9.110468349084028</v>
      </c>
      <c r="O67" s="217">
        <v>1</v>
      </c>
      <c r="P67" s="164"/>
      <c r="Q67" s="68"/>
      <c r="R67" s="68"/>
      <c r="S67" s="68"/>
      <c r="T67" s="68"/>
    </row>
    <row r="68" spans="1:20" ht="13.5" customHeight="1">
      <c r="A68" s="314">
        <v>64</v>
      </c>
      <c r="B68" s="295" t="s">
        <v>97</v>
      </c>
      <c r="C68" s="194">
        <v>40487</v>
      </c>
      <c r="D68" s="202" t="s">
        <v>28</v>
      </c>
      <c r="E68" s="208">
        <v>312</v>
      </c>
      <c r="F68" s="208">
        <v>19</v>
      </c>
      <c r="G68" s="208">
        <v>10</v>
      </c>
      <c r="H68" s="278">
        <v>12589</v>
      </c>
      <c r="I68" s="223">
        <v>1965</v>
      </c>
      <c r="J68" s="204">
        <f>+I68/F68</f>
        <v>103.42105263157895</v>
      </c>
      <c r="K68" s="279">
        <f>+H68/I68</f>
        <v>6.406615776081425</v>
      </c>
      <c r="L68" s="280">
        <v>31634642</v>
      </c>
      <c r="M68" s="203">
        <v>3472923</v>
      </c>
      <c r="N68" s="296">
        <f>+L68/M68</f>
        <v>9.108938493597469</v>
      </c>
      <c r="O68" s="217">
        <v>1</v>
      </c>
      <c r="P68" s="164"/>
      <c r="Q68" s="68"/>
      <c r="R68" s="68"/>
      <c r="S68" s="68"/>
      <c r="T68" s="68"/>
    </row>
    <row r="69" spans="1:20" ht="13.5" customHeight="1">
      <c r="A69" s="314">
        <v>65</v>
      </c>
      <c r="B69" s="295" t="s">
        <v>97</v>
      </c>
      <c r="C69" s="194">
        <v>40487</v>
      </c>
      <c r="D69" s="328" t="s">
        <v>28</v>
      </c>
      <c r="E69" s="208">
        <v>312</v>
      </c>
      <c r="F69" s="208">
        <v>12</v>
      </c>
      <c r="G69" s="208">
        <v>11</v>
      </c>
      <c r="H69" s="278">
        <v>5621</v>
      </c>
      <c r="I69" s="223">
        <v>841</v>
      </c>
      <c r="J69" s="204">
        <f>+I69/F69</f>
        <v>70.08333333333333</v>
      </c>
      <c r="K69" s="279">
        <f>+H69/I69</f>
        <v>6.683709869203329</v>
      </c>
      <c r="L69" s="280">
        <v>31640263</v>
      </c>
      <c r="M69" s="203">
        <v>3473764</v>
      </c>
      <c r="N69" s="296">
        <f>+L69/M69</f>
        <v>9.108351344535784</v>
      </c>
      <c r="O69" s="404">
        <v>1</v>
      </c>
      <c r="P69" s="164"/>
      <c r="Q69" s="68"/>
      <c r="R69" s="68"/>
      <c r="S69" s="68"/>
      <c r="T69" s="68"/>
    </row>
    <row r="70" spans="1:20" ht="13.5" customHeight="1">
      <c r="A70" s="314">
        <v>66</v>
      </c>
      <c r="B70" s="248" t="s">
        <v>86</v>
      </c>
      <c r="C70" s="198">
        <v>40473</v>
      </c>
      <c r="D70" s="205" t="s">
        <v>27</v>
      </c>
      <c r="E70" s="205">
        <v>36</v>
      </c>
      <c r="F70" s="205">
        <v>1</v>
      </c>
      <c r="G70" s="205">
        <v>8</v>
      </c>
      <c r="H70" s="234">
        <v>172</v>
      </c>
      <c r="I70" s="221">
        <v>27</v>
      </c>
      <c r="J70" s="204">
        <f>IF(H70&lt;&gt;0,I70/F70,"")</f>
        <v>27</v>
      </c>
      <c r="K70" s="238">
        <f>IF(H70&lt;&gt;0,H70/I70,"")</f>
        <v>6.37037037037037</v>
      </c>
      <c r="L70" s="236">
        <f>34961.5+23009.5+1351+805+533+530+156+172</f>
        <v>61518</v>
      </c>
      <c r="M70" s="200">
        <f>4408+3132+214+122+62+78+26+27</f>
        <v>8069</v>
      </c>
      <c r="N70" s="253">
        <f>IF(L70&lt;&gt;0,L70/M70,"")</f>
        <v>7.6239930598587184</v>
      </c>
      <c r="O70" s="216"/>
      <c r="P70" s="164"/>
      <c r="Q70" s="68"/>
      <c r="R70" s="68"/>
      <c r="S70" s="68"/>
      <c r="T70" s="68"/>
    </row>
    <row r="71" spans="1:20" ht="13.5" customHeight="1">
      <c r="A71" s="314">
        <v>67</v>
      </c>
      <c r="B71" s="248" t="s">
        <v>19</v>
      </c>
      <c r="C71" s="198">
        <v>40515</v>
      </c>
      <c r="D71" s="205" t="s">
        <v>25</v>
      </c>
      <c r="E71" s="205">
        <v>62</v>
      </c>
      <c r="F71" s="205">
        <v>62</v>
      </c>
      <c r="G71" s="205">
        <v>5</v>
      </c>
      <c r="H71" s="231">
        <v>47812</v>
      </c>
      <c r="I71" s="220">
        <v>7581</v>
      </c>
      <c r="J71" s="207">
        <f>(I71/F71)</f>
        <v>122.2741935483871</v>
      </c>
      <c r="K71" s="232">
        <f>H71/I71</f>
        <v>6.3068196807809</v>
      </c>
      <c r="L71" s="233">
        <f>353151+191248+132731.5+71376+47812</f>
        <v>796318.5</v>
      </c>
      <c r="M71" s="206">
        <f>34650+19352+14525+10591+7581</f>
        <v>86699</v>
      </c>
      <c r="N71" s="249">
        <f>L71/M71</f>
        <v>9.184863723918385</v>
      </c>
      <c r="O71" s="216">
        <v>1</v>
      </c>
      <c r="P71" s="164"/>
      <c r="Q71" s="68"/>
      <c r="R71" s="68"/>
      <c r="S71" s="68"/>
      <c r="T71" s="68"/>
    </row>
    <row r="72" spans="1:20" ht="13.5" customHeight="1">
      <c r="A72" s="314">
        <v>68</v>
      </c>
      <c r="B72" s="289" t="s">
        <v>19</v>
      </c>
      <c r="C72" s="198">
        <v>40515</v>
      </c>
      <c r="D72" s="205" t="s">
        <v>25</v>
      </c>
      <c r="E72" s="205">
        <v>62</v>
      </c>
      <c r="F72" s="205">
        <v>42</v>
      </c>
      <c r="G72" s="205">
        <v>6</v>
      </c>
      <c r="H72" s="275">
        <v>26248.5</v>
      </c>
      <c r="I72" s="220">
        <v>5012</v>
      </c>
      <c r="J72" s="207">
        <f>(I72/F72)</f>
        <v>119.33333333333333</v>
      </c>
      <c r="K72" s="276">
        <f>H72/I72</f>
        <v>5.237130885873903</v>
      </c>
      <c r="L72" s="277">
        <f>353151+191248+132731.5+71376+47862+26248.5</f>
        <v>822617</v>
      </c>
      <c r="M72" s="206">
        <f>34650+19352+14525+10591+7581+5012</f>
        <v>91711</v>
      </c>
      <c r="N72" s="294">
        <f>L72/M72</f>
        <v>8.96966557991953</v>
      </c>
      <c r="O72" s="218"/>
      <c r="P72" s="164"/>
      <c r="Q72" s="68"/>
      <c r="R72" s="68"/>
      <c r="S72" s="68"/>
      <c r="T72" s="68"/>
    </row>
    <row r="73" spans="1:20" ht="13.5" customHeight="1">
      <c r="A73" s="314">
        <v>69</v>
      </c>
      <c r="B73" s="364" t="s">
        <v>19</v>
      </c>
      <c r="C73" s="330">
        <v>40515</v>
      </c>
      <c r="D73" s="329" t="s">
        <v>25</v>
      </c>
      <c r="E73" s="409">
        <v>62</v>
      </c>
      <c r="F73" s="409">
        <v>37</v>
      </c>
      <c r="G73" s="409">
        <v>7</v>
      </c>
      <c r="H73" s="332">
        <v>19265</v>
      </c>
      <c r="I73" s="333">
        <v>3223</v>
      </c>
      <c r="J73" s="334">
        <f>(I73/F73)</f>
        <v>87.10810810810811</v>
      </c>
      <c r="K73" s="335">
        <f>H73/I73</f>
        <v>5.977350294756438</v>
      </c>
      <c r="L73" s="336">
        <f>353151+191248+132731.5+71376+47862+26248.5+19265</f>
        <v>841882</v>
      </c>
      <c r="M73" s="337">
        <f>34650+19352+14525+10591+7581+5012+3223</f>
        <v>94934</v>
      </c>
      <c r="N73" s="365">
        <f>L73/M73</f>
        <v>8.868076769123812</v>
      </c>
      <c r="O73" s="405"/>
      <c r="P73" s="164"/>
      <c r="Q73" s="68"/>
      <c r="R73" s="68"/>
      <c r="S73" s="68"/>
      <c r="T73" s="68"/>
    </row>
    <row r="74" spans="1:20" ht="13.5" customHeight="1">
      <c r="A74" s="314">
        <v>70</v>
      </c>
      <c r="B74" s="250" t="s">
        <v>80</v>
      </c>
      <c r="C74" s="198">
        <v>40487</v>
      </c>
      <c r="D74" s="199" t="s">
        <v>23</v>
      </c>
      <c r="E74" s="205">
        <v>205</v>
      </c>
      <c r="F74" s="205">
        <v>3</v>
      </c>
      <c r="G74" s="205">
        <v>9</v>
      </c>
      <c r="H74" s="234">
        <v>2650</v>
      </c>
      <c r="I74" s="221">
        <v>405</v>
      </c>
      <c r="J74" s="200">
        <f>I74/F74</f>
        <v>135</v>
      </c>
      <c r="K74" s="235">
        <f>+H74/I74</f>
        <v>6.54320987654321</v>
      </c>
      <c r="L74" s="236">
        <v>1135918</v>
      </c>
      <c r="M74" s="201">
        <v>131505</v>
      </c>
      <c r="N74" s="251">
        <f>+L74/M74</f>
        <v>8.637831261168778</v>
      </c>
      <c r="O74" s="216"/>
      <c r="P74" s="164"/>
      <c r="Q74" s="68"/>
      <c r="R74" s="68"/>
      <c r="S74" s="68"/>
      <c r="T74" s="68"/>
    </row>
    <row r="75" spans="1:20" ht="13.5" customHeight="1">
      <c r="A75" s="314">
        <v>71</v>
      </c>
      <c r="B75" s="250" t="s">
        <v>13</v>
      </c>
      <c r="C75" s="198">
        <v>40473</v>
      </c>
      <c r="D75" s="199" t="s">
        <v>23</v>
      </c>
      <c r="E75" s="205">
        <v>100</v>
      </c>
      <c r="F75" s="205">
        <v>1</v>
      </c>
      <c r="G75" s="205">
        <v>11</v>
      </c>
      <c r="H75" s="234">
        <v>846</v>
      </c>
      <c r="I75" s="221">
        <v>141</v>
      </c>
      <c r="J75" s="200">
        <f>I75/F75</f>
        <v>141</v>
      </c>
      <c r="K75" s="235">
        <f>+H75/I75</f>
        <v>6</v>
      </c>
      <c r="L75" s="236">
        <v>1818047</v>
      </c>
      <c r="M75" s="201">
        <v>188946</v>
      </c>
      <c r="N75" s="251">
        <f>+L75/M75</f>
        <v>9.622045452139766</v>
      </c>
      <c r="O75" s="218">
        <v>1</v>
      </c>
      <c r="P75" s="164"/>
      <c r="Q75" s="68"/>
      <c r="R75" s="68"/>
      <c r="S75" s="68"/>
      <c r="T75" s="68"/>
    </row>
    <row r="76" spans="1:20" ht="13.5" customHeight="1">
      <c r="A76" s="314">
        <v>72</v>
      </c>
      <c r="B76" s="300" t="s">
        <v>100</v>
      </c>
      <c r="C76" s="214">
        <v>40347</v>
      </c>
      <c r="D76" s="205" t="s">
        <v>25</v>
      </c>
      <c r="E76" s="407">
        <v>66</v>
      </c>
      <c r="F76" s="407">
        <v>3</v>
      </c>
      <c r="G76" s="407">
        <v>27</v>
      </c>
      <c r="H76" s="275">
        <v>3382</v>
      </c>
      <c r="I76" s="220">
        <v>852</v>
      </c>
      <c r="J76" s="207">
        <f>(I76/F76)</f>
        <v>284</v>
      </c>
      <c r="K76" s="276">
        <f>H76/I76</f>
        <v>3.9694835680751175</v>
      </c>
      <c r="L76" s="277">
        <f>478213+7083+3309.5+6055+4900+8378+4378.5+2349+3103+2074+7679.5+6108+2991.5+2180+2234+642+2775.5+1757+1151+3382</f>
        <v>550743.5</v>
      </c>
      <c r="M76" s="206">
        <f>55327+1259+553+1133+756+1285+650+408+682+334+1688+1394+539+483+475+201+677+260+202+852</f>
        <v>69158</v>
      </c>
      <c r="N76" s="294">
        <f>L76/M76</f>
        <v>7.963554469475693</v>
      </c>
      <c r="O76" s="218"/>
      <c r="P76" s="164"/>
      <c r="Q76" s="68"/>
      <c r="R76" s="68"/>
      <c r="S76" s="68"/>
      <c r="T76" s="68"/>
    </row>
    <row r="77" spans="1:20" ht="13.5" customHeight="1">
      <c r="A77" s="314">
        <v>73</v>
      </c>
      <c r="B77" s="370" t="s">
        <v>100</v>
      </c>
      <c r="C77" s="348">
        <v>40347</v>
      </c>
      <c r="D77" s="329" t="s">
        <v>25</v>
      </c>
      <c r="E77" s="412">
        <v>66</v>
      </c>
      <c r="F77" s="412">
        <v>1</v>
      </c>
      <c r="G77" s="412">
        <v>28</v>
      </c>
      <c r="H77" s="332">
        <v>60</v>
      </c>
      <c r="I77" s="333">
        <v>20</v>
      </c>
      <c r="J77" s="334">
        <f>(I77/F77)</f>
        <v>20</v>
      </c>
      <c r="K77" s="335">
        <f>H77/I77</f>
        <v>3</v>
      </c>
      <c r="L77" s="336">
        <f>478213+7083+3309.5+6055+4900+8378+4378.5+2349+3103+2074+7679.5+6108+2991.5+2180+2234+642+2775.5+1757+1151+3382+60</f>
        <v>550803.5</v>
      </c>
      <c r="M77" s="337">
        <f>55327+1259+553+1133+756+1285+650+408+682+334+1688+1394+539+483+475+201+677+260+202+852+20</f>
        <v>69178</v>
      </c>
      <c r="N77" s="365">
        <f>L77/M77</f>
        <v>7.962119459943913</v>
      </c>
      <c r="O77" s="405"/>
      <c r="P77" s="164"/>
      <c r="Q77" s="68"/>
      <c r="R77" s="68"/>
      <c r="S77" s="68"/>
      <c r="T77" s="68"/>
    </row>
    <row r="78" spans="1:20" ht="13.5" customHeight="1">
      <c r="A78" s="314">
        <v>74</v>
      </c>
      <c r="B78" s="254" t="s">
        <v>81</v>
      </c>
      <c r="C78" s="194">
        <v>38764</v>
      </c>
      <c r="D78" s="195" t="s">
        <v>17</v>
      </c>
      <c r="E78" s="195">
        <v>113</v>
      </c>
      <c r="F78" s="195">
        <v>1</v>
      </c>
      <c r="G78" s="195">
        <v>20</v>
      </c>
      <c r="H78" s="243">
        <v>2014</v>
      </c>
      <c r="I78" s="224">
        <v>403</v>
      </c>
      <c r="J78" s="204">
        <f>IF(H78&lt;&gt;0,I78/F78,"")</f>
        <v>403</v>
      </c>
      <c r="K78" s="238">
        <f>IF(H78&lt;&gt;0,H78/I78,"")</f>
        <v>4.997518610421836</v>
      </c>
      <c r="L78" s="244">
        <f>1551334+0+1188+H78</f>
        <v>1554536</v>
      </c>
      <c r="M78" s="200">
        <f>207370+0+238+I78</f>
        <v>208011</v>
      </c>
      <c r="N78" s="253">
        <f>IF(L78&lt;&gt;0,L78/M78,"")</f>
        <v>7.473335544754844</v>
      </c>
      <c r="O78" s="218"/>
      <c r="P78" s="164"/>
      <c r="Q78" s="68"/>
      <c r="R78" s="68"/>
      <c r="S78" s="68"/>
      <c r="T78" s="68"/>
    </row>
    <row r="79" spans="1:20" ht="13.5" customHeight="1">
      <c r="A79" s="314">
        <v>75</v>
      </c>
      <c r="B79" s="252" t="s">
        <v>69</v>
      </c>
      <c r="C79" s="194">
        <v>40501</v>
      </c>
      <c r="D79" s="208" t="s">
        <v>26</v>
      </c>
      <c r="E79" s="208">
        <v>121</v>
      </c>
      <c r="F79" s="208">
        <v>18</v>
      </c>
      <c r="G79" s="208">
        <v>7</v>
      </c>
      <c r="H79" s="240">
        <v>10646</v>
      </c>
      <c r="I79" s="222">
        <v>2164</v>
      </c>
      <c r="J79" s="210">
        <f>I79/F79</f>
        <v>120.22222222222223</v>
      </c>
      <c r="K79" s="241">
        <f>H79/I79</f>
        <v>4.919593345656192</v>
      </c>
      <c r="L79" s="242">
        <v>1582988</v>
      </c>
      <c r="M79" s="209">
        <v>158006</v>
      </c>
      <c r="N79" s="257">
        <f aca="true" t="shared" si="3" ref="N79:N90">+L79/M79</f>
        <v>10.018530941862966</v>
      </c>
      <c r="O79" s="216"/>
      <c r="P79" s="164"/>
      <c r="Q79" s="68"/>
      <c r="R79" s="68"/>
      <c r="S79" s="68"/>
      <c r="T79" s="68"/>
    </row>
    <row r="80" spans="1:20" ht="13.5" customHeight="1">
      <c r="A80" s="314">
        <v>76</v>
      </c>
      <c r="B80" s="295" t="s">
        <v>69</v>
      </c>
      <c r="C80" s="194">
        <v>40501</v>
      </c>
      <c r="D80" s="208" t="s">
        <v>26</v>
      </c>
      <c r="E80" s="208">
        <v>121</v>
      </c>
      <c r="F80" s="208">
        <v>6</v>
      </c>
      <c r="G80" s="208">
        <v>8</v>
      </c>
      <c r="H80" s="286">
        <v>6256</v>
      </c>
      <c r="I80" s="222">
        <v>1715</v>
      </c>
      <c r="J80" s="210">
        <f>I80/F80</f>
        <v>285.8333333333333</v>
      </c>
      <c r="K80" s="287">
        <f>H80/I80</f>
        <v>3.647813411078717</v>
      </c>
      <c r="L80" s="288">
        <v>1589244</v>
      </c>
      <c r="M80" s="209">
        <v>159721</v>
      </c>
      <c r="N80" s="299">
        <f t="shared" si="3"/>
        <v>9.95012553139537</v>
      </c>
      <c r="O80" s="217">
        <v>1</v>
      </c>
      <c r="P80" s="164"/>
      <c r="Q80" s="68"/>
      <c r="R80" s="68"/>
      <c r="S80" s="68"/>
      <c r="T80" s="68"/>
    </row>
    <row r="81" spans="1:20" ht="13.5" customHeight="1">
      <c r="A81" s="314">
        <v>77</v>
      </c>
      <c r="B81" s="295" t="s">
        <v>130</v>
      </c>
      <c r="C81" s="194">
        <v>40501</v>
      </c>
      <c r="D81" s="328" t="s">
        <v>26</v>
      </c>
      <c r="E81" s="208">
        <v>121</v>
      </c>
      <c r="F81" s="208">
        <v>3</v>
      </c>
      <c r="G81" s="208">
        <v>9</v>
      </c>
      <c r="H81" s="286">
        <v>1204</v>
      </c>
      <c r="I81" s="222">
        <v>296</v>
      </c>
      <c r="J81" s="210">
        <f>I81/F81</f>
        <v>98.66666666666667</v>
      </c>
      <c r="K81" s="287">
        <f>H81/I81</f>
        <v>4.0675675675675675</v>
      </c>
      <c r="L81" s="288">
        <v>1592338</v>
      </c>
      <c r="M81" s="209">
        <v>160701</v>
      </c>
      <c r="N81" s="299">
        <f t="shared" si="3"/>
        <v>9.908700008089557</v>
      </c>
      <c r="O81" s="216">
        <v>1</v>
      </c>
      <c r="P81" s="164"/>
      <c r="Q81" s="68"/>
      <c r="R81" s="68"/>
      <c r="S81" s="68"/>
      <c r="T81" s="68"/>
    </row>
    <row r="82" spans="1:20" ht="13.5" customHeight="1">
      <c r="A82" s="314">
        <v>78</v>
      </c>
      <c r="B82" s="252" t="s">
        <v>0</v>
      </c>
      <c r="C82" s="194">
        <v>40431</v>
      </c>
      <c r="D82" s="202" t="s">
        <v>28</v>
      </c>
      <c r="E82" s="208">
        <v>124</v>
      </c>
      <c r="F82" s="208">
        <v>1</v>
      </c>
      <c r="G82" s="208">
        <v>12</v>
      </c>
      <c r="H82" s="237">
        <v>567</v>
      </c>
      <c r="I82" s="223">
        <v>95</v>
      </c>
      <c r="J82" s="204">
        <f>+I82/F82</f>
        <v>95</v>
      </c>
      <c r="K82" s="238">
        <f>+H82/I82</f>
        <v>5.968421052631579</v>
      </c>
      <c r="L82" s="239">
        <v>3688296</v>
      </c>
      <c r="M82" s="203">
        <v>331614</v>
      </c>
      <c r="N82" s="253">
        <f t="shared" si="3"/>
        <v>11.12225659954043</v>
      </c>
      <c r="O82" s="218"/>
      <c r="P82" s="164"/>
      <c r="Q82" s="68"/>
      <c r="R82" s="68"/>
      <c r="S82" s="68"/>
      <c r="T82" s="68"/>
    </row>
    <row r="83" spans="1:20" ht="13.5" customHeight="1">
      <c r="A83" s="314">
        <v>79</v>
      </c>
      <c r="B83" s="250" t="s">
        <v>31</v>
      </c>
      <c r="C83" s="198">
        <v>40466</v>
      </c>
      <c r="D83" s="199" t="s">
        <v>23</v>
      </c>
      <c r="E83" s="205">
        <v>119</v>
      </c>
      <c r="F83" s="205">
        <v>3</v>
      </c>
      <c r="G83" s="205">
        <v>12</v>
      </c>
      <c r="H83" s="234">
        <v>999</v>
      </c>
      <c r="I83" s="221">
        <v>212</v>
      </c>
      <c r="J83" s="200">
        <f aca="true" t="shared" si="4" ref="J83:J90">I83/F83</f>
        <v>70.66666666666667</v>
      </c>
      <c r="K83" s="235">
        <f>+H83/I83</f>
        <v>4.712264150943396</v>
      </c>
      <c r="L83" s="236">
        <v>2010636</v>
      </c>
      <c r="M83" s="201">
        <v>174432</v>
      </c>
      <c r="N83" s="251">
        <f t="shared" si="3"/>
        <v>11.526761144744084</v>
      </c>
      <c r="O83" s="216"/>
      <c r="P83" s="164"/>
      <c r="Q83" s="68"/>
      <c r="R83" s="68"/>
      <c r="S83" s="68"/>
      <c r="T83" s="68"/>
    </row>
    <row r="84" spans="1:20" ht="13.5" customHeight="1">
      <c r="A84" s="314">
        <v>80</v>
      </c>
      <c r="B84" s="293" t="s">
        <v>31</v>
      </c>
      <c r="C84" s="198">
        <v>40466</v>
      </c>
      <c r="D84" s="199" t="s">
        <v>23</v>
      </c>
      <c r="E84" s="205">
        <v>119</v>
      </c>
      <c r="F84" s="205">
        <v>2</v>
      </c>
      <c r="G84" s="205">
        <v>13</v>
      </c>
      <c r="H84" s="269">
        <v>185</v>
      </c>
      <c r="I84" s="221">
        <v>40</v>
      </c>
      <c r="J84" s="200">
        <f t="shared" si="4"/>
        <v>20</v>
      </c>
      <c r="K84" s="270">
        <f>+H84/I84</f>
        <v>4.625</v>
      </c>
      <c r="L84" s="271">
        <v>2010821</v>
      </c>
      <c r="M84" s="201">
        <v>174472</v>
      </c>
      <c r="N84" s="290">
        <f t="shared" si="3"/>
        <v>11.525178825255628</v>
      </c>
      <c r="O84" s="303"/>
      <c r="P84" s="164"/>
      <c r="Q84" s="68"/>
      <c r="R84" s="68"/>
      <c r="S84" s="68"/>
      <c r="T84" s="68"/>
    </row>
    <row r="85" spans="1:20" ht="13.5" customHeight="1">
      <c r="A85" s="314">
        <v>81</v>
      </c>
      <c r="B85" s="362" t="s">
        <v>31</v>
      </c>
      <c r="C85" s="316">
        <v>40466</v>
      </c>
      <c r="D85" s="317" t="s">
        <v>23</v>
      </c>
      <c r="E85" s="411">
        <v>119</v>
      </c>
      <c r="F85" s="411">
        <v>1</v>
      </c>
      <c r="G85" s="411">
        <v>14</v>
      </c>
      <c r="H85" s="319">
        <v>558</v>
      </c>
      <c r="I85" s="320">
        <v>93</v>
      </c>
      <c r="J85" s="321">
        <f t="shared" si="4"/>
        <v>93</v>
      </c>
      <c r="K85" s="322">
        <f>+H85/I85</f>
        <v>6</v>
      </c>
      <c r="L85" s="323">
        <v>2011379</v>
      </c>
      <c r="M85" s="324">
        <v>174565</v>
      </c>
      <c r="N85" s="363">
        <f t="shared" si="3"/>
        <v>11.522235270529603</v>
      </c>
      <c r="O85" s="403"/>
      <c r="P85" s="164"/>
      <c r="Q85" s="68"/>
      <c r="R85" s="68"/>
      <c r="S85" s="68"/>
      <c r="T85" s="68"/>
    </row>
    <row r="86" spans="1:20" ht="13.5" customHeight="1">
      <c r="A86" s="314">
        <v>82</v>
      </c>
      <c r="B86" s="254" t="s">
        <v>30</v>
      </c>
      <c r="C86" s="194">
        <v>40494</v>
      </c>
      <c r="D86" s="195" t="s">
        <v>24</v>
      </c>
      <c r="E86" s="195">
        <v>144</v>
      </c>
      <c r="F86" s="195">
        <v>16</v>
      </c>
      <c r="G86" s="195">
        <v>8</v>
      </c>
      <c r="H86" s="228">
        <v>13943</v>
      </c>
      <c r="I86" s="219">
        <v>2193</v>
      </c>
      <c r="J86" s="197">
        <f t="shared" si="4"/>
        <v>137.0625</v>
      </c>
      <c r="K86" s="229">
        <f>H86/I86</f>
        <v>6.357957136342909</v>
      </c>
      <c r="L86" s="230">
        <v>6055992</v>
      </c>
      <c r="M86" s="196">
        <v>521768</v>
      </c>
      <c r="N86" s="255">
        <f t="shared" si="3"/>
        <v>11.606675763941062</v>
      </c>
      <c r="O86" s="218"/>
      <c r="P86" s="164"/>
      <c r="Q86" s="68"/>
      <c r="R86" s="68"/>
      <c r="S86" s="68"/>
      <c r="T86" s="68"/>
    </row>
    <row r="87" spans="1:20" ht="13.5" customHeight="1">
      <c r="A87" s="314">
        <v>83</v>
      </c>
      <c r="B87" s="291" t="s">
        <v>30</v>
      </c>
      <c r="C87" s="194">
        <v>40494</v>
      </c>
      <c r="D87" s="195" t="s">
        <v>24</v>
      </c>
      <c r="E87" s="195">
        <v>144</v>
      </c>
      <c r="F87" s="195">
        <v>3</v>
      </c>
      <c r="G87" s="195">
        <v>9</v>
      </c>
      <c r="H87" s="272">
        <v>2362</v>
      </c>
      <c r="I87" s="219">
        <v>525</v>
      </c>
      <c r="J87" s="197">
        <f t="shared" si="4"/>
        <v>175</v>
      </c>
      <c r="K87" s="273">
        <f>H87/I87</f>
        <v>4.499047619047619</v>
      </c>
      <c r="L87" s="274">
        <v>6058354</v>
      </c>
      <c r="M87" s="196">
        <v>522293</v>
      </c>
      <c r="N87" s="292">
        <f t="shared" si="3"/>
        <v>11.599531297566692</v>
      </c>
      <c r="O87" s="217"/>
      <c r="P87" s="164"/>
      <c r="Q87" s="68"/>
      <c r="R87" s="68"/>
      <c r="S87" s="68"/>
      <c r="T87" s="68"/>
    </row>
    <row r="88" spans="1:20" ht="13.5" customHeight="1">
      <c r="A88" s="314">
        <v>84</v>
      </c>
      <c r="B88" s="295" t="s">
        <v>30</v>
      </c>
      <c r="C88" s="194">
        <v>40494</v>
      </c>
      <c r="D88" s="328" t="s">
        <v>24</v>
      </c>
      <c r="E88" s="208">
        <v>144</v>
      </c>
      <c r="F88" s="208">
        <v>6</v>
      </c>
      <c r="G88" s="208">
        <v>10</v>
      </c>
      <c r="H88" s="272">
        <v>8265</v>
      </c>
      <c r="I88" s="219">
        <v>1244</v>
      </c>
      <c r="J88" s="197">
        <f t="shared" si="4"/>
        <v>207.33333333333334</v>
      </c>
      <c r="K88" s="273">
        <f>H88/I88</f>
        <v>6.643890675241158</v>
      </c>
      <c r="L88" s="274">
        <v>6066619</v>
      </c>
      <c r="M88" s="196">
        <v>523537</v>
      </c>
      <c r="N88" s="292">
        <f t="shared" si="3"/>
        <v>11.587755975222382</v>
      </c>
      <c r="O88" s="404"/>
      <c r="P88" s="164"/>
      <c r="Q88" s="68"/>
      <c r="R88" s="68"/>
      <c r="S88" s="68"/>
      <c r="T88" s="68"/>
    </row>
    <row r="89" spans="1:20" ht="13.5" customHeight="1">
      <c r="A89" s="314">
        <v>85</v>
      </c>
      <c r="B89" s="250" t="s">
        <v>53</v>
      </c>
      <c r="C89" s="198">
        <v>40494</v>
      </c>
      <c r="D89" s="199" t="s">
        <v>23</v>
      </c>
      <c r="E89" s="205">
        <v>72</v>
      </c>
      <c r="F89" s="205">
        <v>2</v>
      </c>
      <c r="G89" s="205">
        <v>8</v>
      </c>
      <c r="H89" s="234">
        <v>1110</v>
      </c>
      <c r="I89" s="221">
        <v>180</v>
      </c>
      <c r="J89" s="200">
        <f t="shared" si="4"/>
        <v>90</v>
      </c>
      <c r="K89" s="235">
        <f>+H89/I89</f>
        <v>6.166666666666667</v>
      </c>
      <c r="L89" s="236">
        <v>906333</v>
      </c>
      <c r="M89" s="201">
        <v>84860</v>
      </c>
      <c r="N89" s="251">
        <f t="shared" si="3"/>
        <v>10.680332312043365</v>
      </c>
      <c r="O89" s="216">
        <v>1</v>
      </c>
      <c r="P89" s="164"/>
      <c r="Q89" s="68"/>
      <c r="R89" s="68"/>
      <c r="S89" s="68"/>
      <c r="T89" s="68"/>
    </row>
    <row r="90" spans="1:20" ht="13.5" customHeight="1">
      <c r="A90" s="314">
        <v>86</v>
      </c>
      <c r="B90" s="293" t="s">
        <v>101</v>
      </c>
      <c r="C90" s="198">
        <v>40459</v>
      </c>
      <c r="D90" s="199" t="s">
        <v>23</v>
      </c>
      <c r="E90" s="205">
        <v>93</v>
      </c>
      <c r="F90" s="205">
        <v>1</v>
      </c>
      <c r="G90" s="205">
        <v>14</v>
      </c>
      <c r="H90" s="269">
        <v>2415</v>
      </c>
      <c r="I90" s="221">
        <v>875</v>
      </c>
      <c r="J90" s="200">
        <f t="shared" si="4"/>
        <v>875</v>
      </c>
      <c r="K90" s="270">
        <f>+H90/I90</f>
        <v>2.76</v>
      </c>
      <c r="L90" s="271">
        <v>1072374</v>
      </c>
      <c r="M90" s="200">
        <v>99383</v>
      </c>
      <c r="N90" s="290">
        <f t="shared" si="3"/>
        <v>10.790316251270339</v>
      </c>
      <c r="O90" s="303"/>
      <c r="P90" s="164"/>
      <c r="Q90" s="68"/>
      <c r="R90" s="68"/>
      <c r="S90" s="68"/>
      <c r="T90" s="68"/>
    </row>
    <row r="91" spans="1:20" ht="13.5" customHeight="1">
      <c r="A91" s="314">
        <v>87</v>
      </c>
      <c r="B91" s="254" t="s">
        <v>60</v>
      </c>
      <c r="C91" s="194">
        <v>40529</v>
      </c>
      <c r="D91" s="195" t="s">
        <v>17</v>
      </c>
      <c r="E91" s="195">
        <v>134</v>
      </c>
      <c r="F91" s="195">
        <v>121</v>
      </c>
      <c r="G91" s="195">
        <v>3</v>
      </c>
      <c r="H91" s="243">
        <v>49789.5</v>
      </c>
      <c r="I91" s="224">
        <v>7079</v>
      </c>
      <c r="J91" s="204">
        <f>IF(H91&lt;&gt;0,I91/F91,"")</f>
        <v>58.50413223140496</v>
      </c>
      <c r="K91" s="238">
        <f>IF(H91&lt;&gt;0,H91/I91,"")</f>
        <v>7.0334086735414605</v>
      </c>
      <c r="L91" s="244">
        <f>244174+121219.5+H91</f>
        <v>415183</v>
      </c>
      <c r="M91" s="200">
        <f>29518+15718+I91</f>
        <v>52315</v>
      </c>
      <c r="N91" s="253">
        <f>IF(L91&lt;&gt;0,L91/M91,"")</f>
        <v>7.936213323138679</v>
      </c>
      <c r="O91" s="216"/>
      <c r="P91" s="164"/>
      <c r="Q91" s="68"/>
      <c r="R91" s="68"/>
      <c r="S91" s="68"/>
      <c r="T91" s="68"/>
    </row>
    <row r="92" spans="1:20" ht="13.5" customHeight="1">
      <c r="A92" s="314">
        <v>88</v>
      </c>
      <c r="B92" s="291" t="s">
        <v>99</v>
      </c>
      <c r="C92" s="194">
        <v>40529</v>
      </c>
      <c r="D92" s="195" t="s">
        <v>17</v>
      </c>
      <c r="E92" s="195">
        <v>134</v>
      </c>
      <c r="F92" s="195">
        <v>12</v>
      </c>
      <c r="G92" s="195">
        <v>4</v>
      </c>
      <c r="H92" s="281">
        <v>3929</v>
      </c>
      <c r="I92" s="224">
        <v>638</v>
      </c>
      <c r="J92" s="204">
        <f>IF(H92&lt;&gt;0,I92/F92,"")</f>
        <v>53.166666666666664</v>
      </c>
      <c r="K92" s="279">
        <f>IF(H92&lt;&gt;0,H92/I92,"")</f>
        <v>6.158307210031348</v>
      </c>
      <c r="L92" s="282">
        <f>415183+3929</f>
        <v>419112</v>
      </c>
      <c r="M92" s="200">
        <f>52315+638</f>
        <v>52953</v>
      </c>
      <c r="N92" s="296">
        <f>IF(L92&lt;&gt;0,L92/M92,"")</f>
        <v>7.914792363038921</v>
      </c>
      <c r="O92" s="217">
        <v>1</v>
      </c>
      <c r="P92" s="164"/>
      <c r="Q92" s="68"/>
      <c r="R92" s="68"/>
      <c r="S92" s="68"/>
      <c r="T92" s="68"/>
    </row>
    <row r="93" spans="1:20" ht="13.5" customHeight="1">
      <c r="A93" s="314">
        <v>89</v>
      </c>
      <c r="B93" s="295" t="s">
        <v>99</v>
      </c>
      <c r="C93" s="194">
        <v>40529</v>
      </c>
      <c r="D93" s="328" t="s">
        <v>17</v>
      </c>
      <c r="E93" s="208">
        <v>134</v>
      </c>
      <c r="F93" s="208">
        <v>8</v>
      </c>
      <c r="G93" s="208">
        <v>5</v>
      </c>
      <c r="H93" s="281">
        <v>3246</v>
      </c>
      <c r="I93" s="224">
        <v>476</v>
      </c>
      <c r="J93" s="204">
        <f>IF(H93&lt;&gt;0,I93/F93,"")</f>
        <v>59.5</v>
      </c>
      <c r="K93" s="279">
        <f>IF(H93&lt;&gt;0,H93/I93,"")</f>
        <v>6.819327731092437</v>
      </c>
      <c r="L93" s="282">
        <f>415183+3929+3246</f>
        <v>422358</v>
      </c>
      <c r="M93" s="200">
        <f>52315+638+476</f>
        <v>53429</v>
      </c>
      <c r="N93" s="296">
        <f>IF(L93&lt;&gt;0,L93/M93,"")</f>
        <v>7.9050328473301015</v>
      </c>
      <c r="O93" s="404">
        <v>1</v>
      </c>
      <c r="P93" s="164"/>
      <c r="Q93" s="68"/>
      <c r="R93" s="68"/>
      <c r="S93" s="68"/>
      <c r="T93" s="68"/>
    </row>
    <row r="94" spans="1:20" ht="13.5" customHeight="1">
      <c r="A94" s="314">
        <v>90</v>
      </c>
      <c r="B94" s="252" t="s">
        <v>83</v>
      </c>
      <c r="C94" s="194">
        <v>40529</v>
      </c>
      <c r="D94" s="202" t="s">
        <v>28</v>
      </c>
      <c r="E94" s="208">
        <v>32</v>
      </c>
      <c r="F94" s="208">
        <v>5</v>
      </c>
      <c r="G94" s="208">
        <v>3</v>
      </c>
      <c r="H94" s="237">
        <v>964</v>
      </c>
      <c r="I94" s="223">
        <v>140</v>
      </c>
      <c r="J94" s="204">
        <f>+I94/F94</f>
        <v>28</v>
      </c>
      <c r="K94" s="238">
        <f>+H94/I94</f>
        <v>6.885714285714286</v>
      </c>
      <c r="L94" s="239">
        <v>18563</v>
      </c>
      <c r="M94" s="203">
        <v>1767</v>
      </c>
      <c r="N94" s="253">
        <f>+L94/M94</f>
        <v>10.505376344086022</v>
      </c>
      <c r="O94" s="218"/>
      <c r="P94" s="164"/>
      <c r="Q94" s="68"/>
      <c r="R94" s="68"/>
      <c r="S94" s="68"/>
      <c r="T94" s="68"/>
    </row>
    <row r="95" spans="1:20" ht="13.5" customHeight="1">
      <c r="A95" s="314">
        <v>91</v>
      </c>
      <c r="B95" s="295" t="s">
        <v>108</v>
      </c>
      <c r="C95" s="194">
        <v>40529</v>
      </c>
      <c r="D95" s="202" t="s">
        <v>28</v>
      </c>
      <c r="E95" s="208">
        <v>32</v>
      </c>
      <c r="F95" s="208">
        <v>1</v>
      </c>
      <c r="G95" s="208">
        <v>4</v>
      </c>
      <c r="H95" s="278">
        <v>523</v>
      </c>
      <c r="I95" s="223">
        <v>92</v>
      </c>
      <c r="J95" s="204">
        <f>+I95/F95</f>
        <v>92</v>
      </c>
      <c r="K95" s="279">
        <f>+H95/I95</f>
        <v>5.684782608695652</v>
      </c>
      <c r="L95" s="280">
        <v>19085</v>
      </c>
      <c r="M95" s="203">
        <v>1859</v>
      </c>
      <c r="N95" s="296">
        <f>+L95/M95</f>
        <v>10.266272189349113</v>
      </c>
      <c r="O95" s="217">
        <v>1</v>
      </c>
      <c r="P95" s="164"/>
      <c r="Q95" s="68"/>
      <c r="R95" s="68"/>
      <c r="S95" s="68"/>
      <c r="T95" s="68"/>
    </row>
    <row r="96" spans="1:20" ht="13.5" customHeight="1">
      <c r="A96" s="314">
        <v>92</v>
      </c>
      <c r="B96" s="248" t="s">
        <v>8</v>
      </c>
      <c r="C96" s="198">
        <v>40347</v>
      </c>
      <c r="D96" s="205" t="s">
        <v>25</v>
      </c>
      <c r="E96" s="205">
        <v>2</v>
      </c>
      <c r="F96" s="205">
        <v>1</v>
      </c>
      <c r="G96" s="205">
        <v>20</v>
      </c>
      <c r="H96" s="231">
        <v>713</v>
      </c>
      <c r="I96" s="220">
        <v>178</v>
      </c>
      <c r="J96" s="207">
        <f>(I96/F96)</f>
        <v>178</v>
      </c>
      <c r="K96" s="232">
        <f>H96/I96</f>
        <v>4.00561797752809</v>
      </c>
      <c r="L96" s="233">
        <f>15693+762+1031+1133+707+492+1323.5+1397+447+357+524+229+713</f>
        <v>24808.5</v>
      </c>
      <c r="M96" s="206">
        <f>1559+119+194+179+86+57+150+195+165+58+85+48+178</f>
        <v>3073</v>
      </c>
      <c r="N96" s="249">
        <f>L96/M96</f>
        <v>8.073055645948584</v>
      </c>
      <c r="O96" s="216">
        <v>1</v>
      </c>
      <c r="P96" s="164"/>
      <c r="Q96" s="68"/>
      <c r="R96" s="68"/>
      <c r="S96" s="68"/>
      <c r="T96" s="68"/>
    </row>
    <row r="97" spans="1:20" ht="13.5" customHeight="1">
      <c r="A97" s="314">
        <v>93</v>
      </c>
      <c r="B97" s="250" t="s">
        <v>72</v>
      </c>
      <c r="C97" s="198">
        <v>40536</v>
      </c>
      <c r="D97" s="199" t="s">
        <v>23</v>
      </c>
      <c r="E97" s="205">
        <v>112</v>
      </c>
      <c r="F97" s="205">
        <v>116</v>
      </c>
      <c r="G97" s="205">
        <v>2</v>
      </c>
      <c r="H97" s="234">
        <v>694227</v>
      </c>
      <c r="I97" s="221">
        <v>58647</v>
      </c>
      <c r="J97" s="200">
        <f>I97/F97</f>
        <v>505.57758620689657</v>
      </c>
      <c r="K97" s="235">
        <f>+H97/I97</f>
        <v>11.837382986342012</v>
      </c>
      <c r="L97" s="236">
        <v>1663782</v>
      </c>
      <c r="M97" s="201">
        <v>141056</v>
      </c>
      <c r="N97" s="251">
        <f>+L97/M97</f>
        <v>11.795187726860254</v>
      </c>
      <c r="O97" s="217"/>
      <c r="P97" s="164"/>
      <c r="Q97" s="68"/>
      <c r="R97" s="68"/>
      <c r="S97" s="68"/>
      <c r="T97" s="68"/>
    </row>
    <row r="98" spans="1:20" ht="13.5" customHeight="1">
      <c r="A98" s="314">
        <v>94</v>
      </c>
      <c r="B98" s="293" t="s">
        <v>72</v>
      </c>
      <c r="C98" s="198">
        <v>40536</v>
      </c>
      <c r="D98" s="199" t="s">
        <v>23</v>
      </c>
      <c r="E98" s="205">
        <v>112</v>
      </c>
      <c r="F98" s="205">
        <v>114</v>
      </c>
      <c r="G98" s="205">
        <v>3</v>
      </c>
      <c r="H98" s="269">
        <v>439081</v>
      </c>
      <c r="I98" s="221">
        <v>38093</v>
      </c>
      <c r="J98" s="200">
        <f>I98/F98</f>
        <v>334.14912280701753</v>
      </c>
      <c r="K98" s="270">
        <f>+H98/I98</f>
        <v>11.526553435014307</v>
      </c>
      <c r="L98" s="271">
        <v>2102863</v>
      </c>
      <c r="M98" s="201">
        <v>179149</v>
      </c>
      <c r="N98" s="290">
        <f>+L98/M98</f>
        <v>11.738067195462994</v>
      </c>
      <c r="O98" s="303"/>
      <c r="P98" s="164"/>
      <c r="Q98" s="68"/>
      <c r="R98" s="68"/>
      <c r="S98" s="68"/>
      <c r="T98" s="68"/>
    </row>
    <row r="99" spans="1:20" ht="13.5" customHeight="1">
      <c r="A99" s="314">
        <v>95</v>
      </c>
      <c r="B99" s="362" t="s">
        <v>72</v>
      </c>
      <c r="C99" s="316">
        <v>40536</v>
      </c>
      <c r="D99" s="317" t="s">
        <v>23</v>
      </c>
      <c r="E99" s="411">
        <v>112</v>
      </c>
      <c r="F99" s="411">
        <v>51</v>
      </c>
      <c r="G99" s="411">
        <v>4</v>
      </c>
      <c r="H99" s="319">
        <v>136869</v>
      </c>
      <c r="I99" s="320">
        <v>12796</v>
      </c>
      <c r="J99" s="321">
        <f>I99/F99</f>
        <v>250.90196078431373</v>
      </c>
      <c r="K99" s="322">
        <f>+H99/I99</f>
        <v>10.696233197874335</v>
      </c>
      <c r="L99" s="323">
        <v>2239732</v>
      </c>
      <c r="M99" s="324">
        <v>191945</v>
      </c>
      <c r="N99" s="363">
        <f>+L99/M99</f>
        <v>11.668613404881606</v>
      </c>
      <c r="O99" s="403"/>
      <c r="P99" s="164"/>
      <c r="Q99" s="68"/>
      <c r="R99" s="68"/>
      <c r="S99" s="68"/>
      <c r="T99" s="68"/>
    </row>
    <row r="100" spans="1:20" ht="13.5" customHeight="1">
      <c r="A100" s="314">
        <v>96</v>
      </c>
      <c r="B100" s="248" t="s">
        <v>64</v>
      </c>
      <c r="C100" s="198">
        <v>40529</v>
      </c>
      <c r="D100" s="205" t="s">
        <v>27</v>
      </c>
      <c r="E100" s="205">
        <v>5</v>
      </c>
      <c r="F100" s="205">
        <v>3</v>
      </c>
      <c r="G100" s="205">
        <v>3</v>
      </c>
      <c r="H100" s="234">
        <v>2915</v>
      </c>
      <c r="I100" s="221">
        <v>305</v>
      </c>
      <c r="J100" s="204">
        <f>IF(H100&lt;&gt;0,I100/F100,"")</f>
        <v>101.66666666666667</v>
      </c>
      <c r="K100" s="238">
        <f>IF(H100&lt;&gt;0,H100/I100,"")</f>
        <v>9.557377049180328</v>
      </c>
      <c r="L100" s="236">
        <f>9892.5+4913+2915</f>
        <v>17720.5</v>
      </c>
      <c r="M100" s="200">
        <f>1037+523+305</f>
        <v>1865</v>
      </c>
      <c r="N100" s="253">
        <f>IF(L100&lt;&gt;0,L100/M100,"")</f>
        <v>9.501608579088472</v>
      </c>
      <c r="O100" s="216"/>
      <c r="P100" s="164"/>
      <c r="Q100" s="68"/>
      <c r="R100" s="68"/>
      <c r="S100" s="68"/>
      <c r="T100" s="68"/>
    </row>
    <row r="101" spans="1:20" ht="13.5" customHeight="1">
      <c r="A101" s="314">
        <v>97</v>
      </c>
      <c r="B101" s="289" t="s">
        <v>105</v>
      </c>
      <c r="C101" s="198">
        <v>40410</v>
      </c>
      <c r="D101" s="205" t="s">
        <v>25</v>
      </c>
      <c r="E101" s="205">
        <v>100</v>
      </c>
      <c r="F101" s="205">
        <v>1</v>
      </c>
      <c r="G101" s="205">
        <v>17</v>
      </c>
      <c r="H101" s="275">
        <v>950.5</v>
      </c>
      <c r="I101" s="220">
        <v>238</v>
      </c>
      <c r="J101" s="207">
        <f>(I101/F101)</f>
        <v>238</v>
      </c>
      <c r="K101" s="276">
        <f aca="true" t="shared" si="5" ref="K101:K106">H101/I101</f>
        <v>3.9936974789915967</v>
      </c>
      <c r="L101" s="277">
        <f>4793.5+233907+173006+95171+69286+22212.5+11921.5+10683+6473+5548+3621+5930+360+5346+2138.5+6058.5+4752+950.5</f>
        <v>662158</v>
      </c>
      <c r="M101" s="206">
        <f>312+25267+17706+10642+10638+3791+2335+2134+1501+1673+635+1434+72+1336+534+1515+1188+238</f>
        <v>82951</v>
      </c>
      <c r="N101" s="294">
        <f>L101/M101</f>
        <v>7.9825198008462825</v>
      </c>
      <c r="O101" s="218"/>
      <c r="P101" s="164"/>
      <c r="Q101" s="68"/>
      <c r="R101" s="68"/>
      <c r="S101" s="68"/>
      <c r="T101" s="68"/>
    </row>
    <row r="102" spans="1:20" ht="13.5" customHeight="1">
      <c r="A102" s="314">
        <v>98</v>
      </c>
      <c r="B102" s="256" t="s">
        <v>2</v>
      </c>
      <c r="C102" s="198">
        <v>40522</v>
      </c>
      <c r="D102" s="205" t="s">
        <v>25</v>
      </c>
      <c r="E102" s="205">
        <v>127</v>
      </c>
      <c r="F102" s="205">
        <v>65</v>
      </c>
      <c r="G102" s="205">
        <v>4</v>
      </c>
      <c r="H102" s="231">
        <v>70165.5</v>
      </c>
      <c r="I102" s="220">
        <v>8841</v>
      </c>
      <c r="J102" s="207">
        <f>(I102/F102)</f>
        <v>136.01538461538462</v>
      </c>
      <c r="K102" s="232">
        <f t="shared" si="5"/>
        <v>7.9363759755683745</v>
      </c>
      <c r="L102" s="233">
        <f>1048675+809166.5+457718.5+70165.5</f>
        <v>2385725.5</v>
      </c>
      <c r="M102" s="206">
        <f>92481+73795+43350+8841</f>
        <v>218467</v>
      </c>
      <c r="N102" s="249">
        <f>L102/M102</f>
        <v>10.92030146429438</v>
      </c>
      <c r="O102" s="218">
        <v>1</v>
      </c>
      <c r="P102" s="164"/>
      <c r="Q102" s="68"/>
      <c r="R102" s="68"/>
      <c r="S102" s="68"/>
      <c r="T102" s="68"/>
    </row>
    <row r="103" spans="1:20" ht="13.5" customHeight="1">
      <c r="A103" s="314">
        <v>99</v>
      </c>
      <c r="B103" s="297" t="s">
        <v>2</v>
      </c>
      <c r="C103" s="198">
        <v>40522</v>
      </c>
      <c r="D103" s="205" t="s">
        <v>25</v>
      </c>
      <c r="E103" s="205">
        <v>127</v>
      </c>
      <c r="F103" s="205">
        <v>10</v>
      </c>
      <c r="G103" s="205">
        <v>5</v>
      </c>
      <c r="H103" s="275">
        <v>7102</v>
      </c>
      <c r="I103" s="220">
        <v>1153</v>
      </c>
      <c r="J103" s="207">
        <f>(I103/F103)</f>
        <v>115.3</v>
      </c>
      <c r="K103" s="276">
        <f t="shared" si="5"/>
        <v>6.159583694709454</v>
      </c>
      <c r="L103" s="277">
        <f>1048675+809166.5+457718.5+70165.5+7102</f>
        <v>2392827.5</v>
      </c>
      <c r="M103" s="206">
        <f>92481+73795+43350+8841+1153</f>
        <v>219620</v>
      </c>
      <c r="N103" s="294">
        <f>L103/M103</f>
        <v>10.8953078043894</v>
      </c>
      <c r="O103" s="218"/>
      <c r="P103" s="164"/>
      <c r="Q103" s="68"/>
      <c r="R103" s="68"/>
      <c r="S103" s="68"/>
      <c r="T103" s="68"/>
    </row>
    <row r="104" spans="1:20" ht="13.5" customHeight="1">
      <c r="A104" s="314">
        <v>100</v>
      </c>
      <c r="B104" s="297" t="s">
        <v>2</v>
      </c>
      <c r="C104" s="330">
        <v>40522</v>
      </c>
      <c r="D104" s="329" t="s">
        <v>25</v>
      </c>
      <c r="E104" s="409">
        <v>127</v>
      </c>
      <c r="F104" s="409">
        <v>11</v>
      </c>
      <c r="G104" s="409">
        <v>6</v>
      </c>
      <c r="H104" s="332">
        <v>12164</v>
      </c>
      <c r="I104" s="333">
        <v>2869</v>
      </c>
      <c r="J104" s="334">
        <f>(I104/F104)</f>
        <v>260.8181818181818</v>
      </c>
      <c r="K104" s="335">
        <f t="shared" si="5"/>
        <v>4.239804810038341</v>
      </c>
      <c r="L104" s="336">
        <f>1048675+809166.5+457718.5+70165.5+7102+12164</f>
        <v>2404991.5</v>
      </c>
      <c r="M104" s="337">
        <f>92481+73795+43350+8841+1153+2869</f>
        <v>222489</v>
      </c>
      <c r="N104" s="365">
        <f>L104/M104</f>
        <v>10.809484963301557</v>
      </c>
      <c r="O104" s="405"/>
      <c r="P104" s="164"/>
      <c r="Q104" s="68"/>
      <c r="R104" s="68"/>
      <c r="S104" s="68"/>
      <c r="T104" s="68"/>
    </row>
    <row r="105" spans="1:20" ht="13.5" customHeight="1">
      <c r="A105" s="314">
        <v>101</v>
      </c>
      <c r="B105" s="364" t="s">
        <v>123</v>
      </c>
      <c r="C105" s="330">
        <v>40529</v>
      </c>
      <c r="D105" s="329" t="s">
        <v>25</v>
      </c>
      <c r="E105" s="409">
        <v>27</v>
      </c>
      <c r="F105" s="409">
        <v>4</v>
      </c>
      <c r="G105" s="409">
        <v>4</v>
      </c>
      <c r="H105" s="275">
        <v>5233</v>
      </c>
      <c r="I105" s="220">
        <v>1185</v>
      </c>
      <c r="J105" s="207">
        <f>(I105/F105)</f>
        <v>296.25</v>
      </c>
      <c r="K105" s="276">
        <f t="shared" si="5"/>
        <v>4.4160337552742615</v>
      </c>
      <c r="L105" s="277">
        <f>68045+25663+7073.5+5233</f>
        <v>106014.5</v>
      </c>
      <c r="M105" s="206">
        <f>5442+2277+920+1185</f>
        <v>9824</v>
      </c>
      <c r="N105" s="294">
        <f>L105/M105</f>
        <v>10.79137825732899</v>
      </c>
      <c r="O105" s="218"/>
      <c r="P105" s="164"/>
      <c r="Q105" s="68"/>
      <c r="R105" s="68"/>
      <c r="S105" s="68"/>
      <c r="T105" s="68"/>
    </row>
    <row r="106" spans="1:20" ht="13.5" customHeight="1">
      <c r="A106" s="314">
        <v>102</v>
      </c>
      <c r="B106" s="295" t="s">
        <v>132</v>
      </c>
      <c r="C106" s="194">
        <v>40417</v>
      </c>
      <c r="D106" s="328" t="s">
        <v>24</v>
      </c>
      <c r="E106" s="208">
        <v>119</v>
      </c>
      <c r="F106" s="208">
        <v>1</v>
      </c>
      <c r="G106" s="208">
        <v>15</v>
      </c>
      <c r="H106" s="272">
        <v>941</v>
      </c>
      <c r="I106" s="219">
        <v>843</v>
      </c>
      <c r="J106" s="197">
        <f>I106/F106</f>
        <v>843</v>
      </c>
      <c r="K106" s="273">
        <f t="shared" si="5"/>
        <v>1.1162514827995256</v>
      </c>
      <c r="L106" s="274">
        <v>859853</v>
      </c>
      <c r="M106" s="196">
        <v>97516</v>
      </c>
      <c r="N106" s="292">
        <f aca="true" t="shared" si="6" ref="N106:N114">+L106/M106</f>
        <v>8.817558144304524</v>
      </c>
      <c r="O106" s="404"/>
      <c r="P106" s="164"/>
      <c r="Q106" s="68"/>
      <c r="R106" s="68"/>
      <c r="S106" s="68"/>
      <c r="T106" s="68"/>
    </row>
    <row r="107" spans="1:20" ht="13.5" customHeight="1">
      <c r="A107" s="314">
        <v>103</v>
      </c>
      <c r="B107" s="252" t="s">
        <v>38</v>
      </c>
      <c r="C107" s="194">
        <v>40480</v>
      </c>
      <c r="D107" s="202" t="s">
        <v>28</v>
      </c>
      <c r="E107" s="208">
        <v>21</v>
      </c>
      <c r="F107" s="208">
        <v>12</v>
      </c>
      <c r="G107" s="208">
        <v>10</v>
      </c>
      <c r="H107" s="237">
        <v>8985</v>
      </c>
      <c r="I107" s="223">
        <v>1356</v>
      </c>
      <c r="J107" s="204">
        <f>+I107/F107</f>
        <v>113</v>
      </c>
      <c r="K107" s="238">
        <f aca="true" t="shared" si="7" ref="K107:K112">+H107/I107</f>
        <v>6.626106194690266</v>
      </c>
      <c r="L107" s="239">
        <v>295457</v>
      </c>
      <c r="M107" s="203">
        <v>26551</v>
      </c>
      <c r="N107" s="253">
        <f t="shared" si="6"/>
        <v>11.127904787013671</v>
      </c>
      <c r="O107" s="218"/>
      <c r="P107" s="164"/>
      <c r="Q107" s="68"/>
      <c r="R107" s="68"/>
      <c r="S107" s="68"/>
      <c r="T107" s="68"/>
    </row>
    <row r="108" spans="1:20" ht="13.5" customHeight="1">
      <c r="A108" s="314">
        <v>104</v>
      </c>
      <c r="B108" s="295" t="s">
        <v>126</v>
      </c>
      <c r="C108" s="194">
        <v>37193</v>
      </c>
      <c r="D108" s="328" t="s">
        <v>28</v>
      </c>
      <c r="E108" s="208">
        <v>21</v>
      </c>
      <c r="F108" s="208">
        <v>1</v>
      </c>
      <c r="G108" s="208">
        <v>11</v>
      </c>
      <c r="H108" s="278">
        <v>2506</v>
      </c>
      <c r="I108" s="223">
        <v>283</v>
      </c>
      <c r="J108" s="204">
        <f>+I108/F108</f>
        <v>283</v>
      </c>
      <c r="K108" s="279">
        <f t="shared" si="7"/>
        <v>8.855123674911662</v>
      </c>
      <c r="L108" s="280">
        <v>297963</v>
      </c>
      <c r="M108" s="203">
        <v>26834</v>
      </c>
      <c r="N108" s="296">
        <f t="shared" si="6"/>
        <v>11.103935305955131</v>
      </c>
      <c r="O108" s="404"/>
      <c r="P108" s="164"/>
      <c r="Q108" s="68"/>
      <c r="R108" s="68"/>
      <c r="S108" s="68"/>
      <c r="T108" s="68"/>
    </row>
    <row r="109" spans="1:20" ht="13.5" customHeight="1">
      <c r="A109" s="314">
        <v>105</v>
      </c>
      <c r="B109" s="252" t="s">
        <v>1</v>
      </c>
      <c r="C109" s="194">
        <v>40522</v>
      </c>
      <c r="D109" s="202" t="s">
        <v>28</v>
      </c>
      <c r="E109" s="208">
        <v>110</v>
      </c>
      <c r="F109" s="208">
        <v>110</v>
      </c>
      <c r="G109" s="208">
        <v>4</v>
      </c>
      <c r="H109" s="237">
        <v>694041</v>
      </c>
      <c r="I109" s="223">
        <v>64977</v>
      </c>
      <c r="J109" s="204">
        <f>+I109/F109</f>
        <v>590.7</v>
      </c>
      <c r="K109" s="238">
        <f t="shared" si="7"/>
        <v>10.681333394893578</v>
      </c>
      <c r="L109" s="239">
        <v>4602088</v>
      </c>
      <c r="M109" s="203">
        <v>434759</v>
      </c>
      <c r="N109" s="253">
        <f t="shared" si="6"/>
        <v>10.5853771859812</v>
      </c>
      <c r="O109" s="218"/>
      <c r="P109" s="164"/>
      <c r="Q109" s="68"/>
      <c r="R109" s="68"/>
      <c r="S109" s="68"/>
      <c r="T109" s="68"/>
    </row>
    <row r="110" spans="1:20" ht="13.5" customHeight="1">
      <c r="A110" s="314">
        <v>106</v>
      </c>
      <c r="B110" s="295" t="s">
        <v>1</v>
      </c>
      <c r="C110" s="194">
        <v>40522</v>
      </c>
      <c r="D110" s="202" t="s">
        <v>28</v>
      </c>
      <c r="E110" s="208">
        <v>110</v>
      </c>
      <c r="F110" s="208">
        <v>71</v>
      </c>
      <c r="G110" s="208">
        <v>5</v>
      </c>
      <c r="H110" s="278">
        <v>224162</v>
      </c>
      <c r="I110" s="223">
        <v>19224</v>
      </c>
      <c r="J110" s="204">
        <f>+I110/F110</f>
        <v>270.76056338028167</v>
      </c>
      <c r="K110" s="279">
        <f t="shared" si="7"/>
        <v>11.660528506034124</v>
      </c>
      <c r="L110" s="280">
        <v>4826250</v>
      </c>
      <c r="M110" s="203">
        <v>453983</v>
      </c>
      <c r="N110" s="296">
        <f t="shared" si="6"/>
        <v>10.63090468145283</v>
      </c>
      <c r="O110" s="217"/>
      <c r="P110" s="164"/>
      <c r="Q110" s="68"/>
      <c r="R110" s="68"/>
      <c r="S110" s="68"/>
      <c r="T110" s="68"/>
    </row>
    <row r="111" spans="1:20" ht="13.5" customHeight="1">
      <c r="A111" s="314">
        <v>107</v>
      </c>
      <c r="B111" s="295" t="s">
        <v>1</v>
      </c>
      <c r="C111" s="194">
        <v>40522</v>
      </c>
      <c r="D111" s="328" t="s">
        <v>28</v>
      </c>
      <c r="E111" s="208">
        <v>110</v>
      </c>
      <c r="F111" s="208">
        <v>66</v>
      </c>
      <c r="G111" s="208">
        <v>6</v>
      </c>
      <c r="H111" s="278">
        <v>118638</v>
      </c>
      <c r="I111" s="223">
        <v>12477</v>
      </c>
      <c r="J111" s="204">
        <f>+I111/F111</f>
        <v>189.04545454545453</v>
      </c>
      <c r="K111" s="279">
        <f t="shared" si="7"/>
        <v>9.508535705698485</v>
      </c>
      <c r="L111" s="280">
        <v>4944888</v>
      </c>
      <c r="M111" s="203">
        <v>466460</v>
      </c>
      <c r="N111" s="296">
        <f t="shared" si="6"/>
        <v>10.600883248295673</v>
      </c>
      <c r="O111" s="404"/>
      <c r="P111" s="164"/>
      <c r="Q111" s="68"/>
      <c r="R111" s="68"/>
      <c r="S111" s="68"/>
      <c r="T111" s="68"/>
    </row>
    <row r="112" spans="1:20" ht="13.5" customHeight="1">
      <c r="A112" s="314">
        <v>108</v>
      </c>
      <c r="B112" s="254" t="s">
        <v>74</v>
      </c>
      <c r="C112" s="194">
        <v>40536</v>
      </c>
      <c r="D112" s="195" t="s">
        <v>24</v>
      </c>
      <c r="E112" s="195">
        <v>48</v>
      </c>
      <c r="F112" s="195">
        <v>48</v>
      </c>
      <c r="G112" s="195">
        <v>2</v>
      </c>
      <c r="H112" s="228">
        <v>281047</v>
      </c>
      <c r="I112" s="219">
        <v>23436</v>
      </c>
      <c r="J112" s="197">
        <f>I112/F112</f>
        <v>488.25</v>
      </c>
      <c r="K112" s="235">
        <f t="shared" si="7"/>
        <v>11.992106161461</v>
      </c>
      <c r="L112" s="230">
        <v>605758</v>
      </c>
      <c r="M112" s="196">
        <v>52142</v>
      </c>
      <c r="N112" s="255">
        <f t="shared" si="6"/>
        <v>11.61746768440029</v>
      </c>
      <c r="O112" s="225"/>
      <c r="P112" s="164"/>
      <c r="Q112" s="68"/>
      <c r="R112" s="68"/>
      <c r="S112" s="68"/>
      <c r="T112" s="68"/>
    </row>
    <row r="113" spans="1:20" ht="13.5" customHeight="1">
      <c r="A113" s="314">
        <v>109</v>
      </c>
      <c r="B113" s="291" t="s">
        <v>74</v>
      </c>
      <c r="C113" s="194">
        <v>40536</v>
      </c>
      <c r="D113" s="195" t="s">
        <v>24</v>
      </c>
      <c r="E113" s="195">
        <v>48</v>
      </c>
      <c r="F113" s="195">
        <v>36</v>
      </c>
      <c r="G113" s="195">
        <v>3</v>
      </c>
      <c r="H113" s="272">
        <v>66790</v>
      </c>
      <c r="I113" s="219">
        <v>5435</v>
      </c>
      <c r="J113" s="197">
        <f>I113/F113</f>
        <v>150.97222222222223</v>
      </c>
      <c r="K113" s="273">
        <f aca="true" t="shared" si="8" ref="K113:K123">H113/I113</f>
        <v>12.288868445262189</v>
      </c>
      <c r="L113" s="274">
        <v>672548</v>
      </c>
      <c r="M113" s="196">
        <v>57577</v>
      </c>
      <c r="N113" s="292">
        <f t="shared" si="6"/>
        <v>11.6808447817705</v>
      </c>
      <c r="O113" s="217"/>
      <c r="P113" s="164"/>
      <c r="Q113" s="68"/>
      <c r="R113" s="68"/>
      <c r="S113" s="68"/>
      <c r="T113" s="68"/>
    </row>
    <row r="114" spans="1:20" ht="13.5" customHeight="1">
      <c r="A114" s="314">
        <v>110</v>
      </c>
      <c r="B114" s="295" t="s">
        <v>74</v>
      </c>
      <c r="C114" s="194">
        <v>40536</v>
      </c>
      <c r="D114" s="328" t="s">
        <v>24</v>
      </c>
      <c r="E114" s="208">
        <v>48</v>
      </c>
      <c r="F114" s="208">
        <v>7</v>
      </c>
      <c r="G114" s="208">
        <v>4</v>
      </c>
      <c r="H114" s="272">
        <v>8376</v>
      </c>
      <c r="I114" s="219">
        <v>1059</v>
      </c>
      <c r="J114" s="197">
        <f>I114/F114</f>
        <v>151.28571428571428</v>
      </c>
      <c r="K114" s="273">
        <f t="shared" si="8"/>
        <v>7.909348441926346</v>
      </c>
      <c r="L114" s="274">
        <v>680924</v>
      </c>
      <c r="M114" s="196">
        <v>58636</v>
      </c>
      <c r="N114" s="292">
        <f t="shared" si="6"/>
        <v>11.612729381267481</v>
      </c>
      <c r="O114" s="404"/>
      <c r="P114" s="164"/>
      <c r="Q114" s="68"/>
      <c r="R114" s="68"/>
      <c r="S114" s="68"/>
      <c r="T114" s="68"/>
    </row>
    <row r="115" spans="1:20" ht="13.5" customHeight="1">
      <c r="A115" s="314">
        <v>111</v>
      </c>
      <c r="B115" s="248" t="s">
        <v>66</v>
      </c>
      <c r="C115" s="198">
        <v>40508</v>
      </c>
      <c r="D115" s="205" t="s">
        <v>25</v>
      </c>
      <c r="E115" s="205">
        <v>44</v>
      </c>
      <c r="F115" s="205">
        <v>2</v>
      </c>
      <c r="G115" s="205">
        <v>6</v>
      </c>
      <c r="H115" s="231">
        <v>1171.5</v>
      </c>
      <c r="I115" s="220">
        <v>282</v>
      </c>
      <c r="J115" s="207">
        <f aca="true" t="shared" si="9" ref="J115:J123">(I115/F115)</f>
        <v>141</v>
      </c>
      <c r="K115" s="232">
        <f t="shared" si="8"/>
        <v>4.154255319148936</v>
      </c>
      <c r="L115" s="233">
        <f>49086+11854+1926+2212.5+1180+1171.5</f>
        <v>67430</v>
      </c>
      <c r="M115" s="206">
        <f>5689+1635+274+420+165+282</f>
        <v>8465</v>
      </c>
      <c r="N115" s="249">
        <f aca="true" t="shared" si="10" ref="N115:N123">L115/M115</f>
        <v>7.96574128765505</v>
      </c>
      <c r="O115" s="218"/>
      <c r="P115" s="164"/>
      <c r="Q115" s="68"/>
      <c r="R115" s="68"/>
      <c r="S115" s="68"/>
      <c r="T115" s="68"/>
    </row>
    <row r="116" spans="1:20" ht="13.5" customHeight="1">
      <c r="A116" s="314">
        <v>112</v>
      </c>
      <c r="B116" s="300" t="s">
        <v>3</v>
      </c>
      <c r="C116" s="214">
        <v>40473</v>
      </c>
      <c r="D116" s="205" t="s">
        <v>25</v>
      </c>
      <c r="E116" s="407">
        <v>2</v>
      </c>
      <c r="F116" s="407">
        <v>1</v>
      </c>
      <c r="G116" s="407">
        <v>7</v>
      </c>
      <c r="H116" s="275">
        <v>396</v>
      </c>
      <c r="I116" s="220">
        <v>89</v>
      </c>
      <c r="J116" s="207">
        <f t="shared" si="9"/>
        <v>89</v>
      </c>
      <c r="K116" s="276">
        <f t="shared" si="8"/>
        <v>4.449438202247191</v>
      </c>
      <c r="L116" s="277">
        <f>6832+2665+3612+1330+1973+129+396</f>
        <v>16937</v>
      </c>
      <c r="M116" s="206">
        <f>659+312+817+151+365+14+89</f>
        <v>2407</v>
      </c>
      <c r="N116" s="294">
        <f t="shared" si="10"/>
        <v>7.036560033236394</v>
      </c>
      <c r="O116" s="218"/>
      <c r="P116" s="164"/>
      <c r="Q116" s="68"/>
      <c r="R116" s="68"/>
      <c r="S116" s="68"/>
      <c r="T116" s="68"/>
    </row>
    <row r="117" spans="1:20" ht="13.5" customHeight="1">
      <c r="A117" s="314">
        <v>113</v>
      </c>
      <c r="B117" s="259" t="s">
        <v>3</v>
      </c>
      <c r="C117" s="214">
        <v>40473</v>
      </c>
      <c r="D117" s="205" t="s">
        <v>25</v>
      </c>
      <c r="E117" s="407">
        <v>2</v>
      </c>
      <c r="F117" s="407">
        <v>1</v>
      </c>
      <c r="G117" s="407">
        <v>6</v>
      </c>
      <c r="H117" s="231">
        <v>129</v>
      </c>
      <c r="I117" s="220">
        <v>14</v>
      </c>
      <c r="J117" s="207">
        <f t="shared" si="9"/>
        <v>14</v>
      </c>
      <c r="K117" s="232">
        <f t="shared" si="8"/>
        <v>9.214285714285714</v>
      </c>
      <c r="L117" s="233">
        <f>6832+2665+3612+1330+1973+129</f>
        <v>16541</v>
      </c>
      <c r="M117" s="206">
        <f>659+312+817+151+365+14</f>
        <v>2318</v>
      </c>
      <c r="N117" s="249">
        <f t="shared" si="10"/>
        <v>7.135893011216566</v>
      </c>
      <c r="O117" s="216"/>
      <c r="P117" s="164"/>
      <c r="Q117" s="68"/>
      <c r="R117" s="68"/>
      <c r="S117" s="68"/>
      <c r="T117" s="68"/>
    </row>
    <row r="118" spans="1:20" ht="13.5" customHeight="1">
      <c r="A118" s="314">
        <v>114</v>
      </c>
      <c r="B118" s="248" t="s">
        <v>54</v>
      </c>
      <c r="C118" s="198">
        <v>40494</v>
      </c>
      <c r="D118" s="205" t="s">
        <v>25</v>
      </c>
      <c r="E118" s="205">
        <v>80</v>
      </c>
      <c r="F118" s="205">
        <v>13</v>
      </c>
      <c r="G118" s="205">
        <v>8</v>
      </c>
      <c r="H118" s="231">
        <v>11751.5</v>
      </c>
      <c r="I118" s="220">
        <v>2055</v>
      </c>
      <c r="J118" s="207">
        <f t="shared" si="9"/>
        <v>158.07692307692307</v>
      </c>
      <c r="K118" s="232">
        <f t="shared" si="8"/>
        <v>5.718491484184915</v>
      </c>
      <c r="L118" s="233">
        <f>400584.5+260220.5+91588.5+26738.5+6598.5+10112.5+8832+11751.5</f>
        <v>816426.5</v>
      </c>
      <c r="M118" s="206">
        <f>34427+24318+9929+5066+1310+1866+1322+2055</f>
        <v>80293</v>
      </c>
      <c r="N118" s="249">
        <f t="shared" si="10"/>
        <v>10.168090618111167</v>
      </c>
      <c r="O118" s="218"/>
      <c r="P118" s="164"/>
      <c r="Q118" s="68"/>
      <c r="R118" s="68"/>
      <c r="S118" s="68"/>
      <c r="T118" s="68"/>
    </row>
    <row r="119" spans="1:20" ht="13.5" customHeight="1">
      <c r="A119" s="314">
        <v>115</v>
      </c>
      <c r="B119" s="289" t="s">
        <v>54</v>
      </c>
      <c r="C119" s="198">
        <v>40494</v>
      </c>
      <c r="D119" s="205" t="s">
        <v>25</v>
      </c>
      <c r="E119" s="205">
        <v>80</v>
      </c>
      <c r="F119" s="205">
        <v>1</v>
      </c>
      <c r="G119" s="205">
        <v>9</v>
      </c>
      <c r="H119" s="275">
        <v>1782</v>
      </c>
      <c r="I119" s="220">
        <v>445</v>
      </c>
      <c r="J119" s="207">
        <f t="shared" si="9"/>
        <v>445</v>
      </c>
      <c r="K119" s="276">
        <f t="shared" si="8"/>
        <v>4.004494382022472</v>
      </c>
      <c r="L119" s="277">
        <f>400584.5+260220.5+91588.5+26738.5+6598.5+10112.5+8832+11751.5+1782</f>
        <v>818208.5</v>
      </c>
      <c r="M119" s="206">
        <f>34427+24318+9929+5066+1310+1866+1322+2055+445</f>
        <v>80738</v>
      </c>
      <c r="N119" s="294">
        <f t="shared" si="10"/>
        <v>10.134119002204661</v>
      </c>
      <c r="O119" s="218"/>
      <c r="P119" s="164"/>
      <c r="Q119" s="68"/>
      <c r="R119" s="68"/>
      <c r="S119" s="68"/>
      <c r="T119" s="68"/>
    </row>
    <row r="120" spans="1:20" ht="13.5" customHeight="1">
      <c r="A120" s="314">
        <v>116</v>
      </c>
      <c r="B120" s="364" t="s">
        <v>54</v>
      </c>
      <c r="C120" s="330">
        <v>40494</v>
      </c>
      <c r="D120" s="329" t="s">
        <v>25</v>
      </c>
      <c r="E120" s="409">
        <v>80</v>
      </c>
      <c r="F120" s="409">
        <v>2</v>
      </c>
      <c r="G120" s="409">
        <v>10</v>
      </c>
      <c r="H120" s="332">
        <v>1570.5</v>
      </c>
      <c r="I120" s="333">
        <v>470</v>
      </c>
      <c r="J120" s="334">
        <f t="shared" si="9"/>
        <v>235</v>
      </c>
      <c r="K120" s="335">
        <f t="shared" si="8"/>
        <v>3.3414893617021275</v>
      </c>
      <c r="L120" s="336">
        <f>400584.5+260220.5+91588.5+26738.5+6598.5+10112.5+8832+11751.5+1782+1570.5</f>
        <v>819779</v>
      </c>
      <c r="M120" s="337">
        <f>34427+24318+9929+5066+1310+1866+1322+2055+445+470</f>
        <v>81208</v>
      </c>
      <c r="N120" s="365">
        <f t="shared" si="10"/>
        <v>10.094805930450201</v>
      </c>
      <c r="O120" s="405"/>
      <c r="P120" s="164"/>
      <c r="Q120" s="68"/>
      <c r="R120" s="68"/>
      <c r="S120" s="68"/>
      <c r="T120" s="68"/>
    </row>
    <row r="121" spans="1:20" ht="13.5" customHeight="1">
      <c r="A121" s="314">
        <v>117</v>
      </c>
      <c r="B121" s="289" t="s">
        <v>107</v>
      </c>
      <c r="C121" s="198">
        <v>40445</v>
      </c>
      <c r="D121" s="205" t="s">
        <v>25</v>
      </c>
      <c r="E121" s="205">
        <v>99</v>
      </c>
      <c r="F121" s="205">
        <v>1</v>
      </c>
      <c r="G121" s="205">
        <v>12</v>
      </c>
      <c r="H121" s="275">
        <v>594</v>
      </c>
      <c r="I121" s="220">
        <v>115</v>
      </c>
      <c r="J121" s="207">
        <f t="shared" si="9"/>
        <v>115</v>
      </c>
      <c r="K121" s="276">
        <f t="shared" si="8"/>
        <v>5.165217391304348</v>
      </c>
      <c r="L121" s="277">
        <f>321502+248658+168337.5+120626.5+93787.5+82596.5+8900+14133+4789+1421+2440+594</f>
        <v>1067785</v>
      </c>
      <c r="M121" s="206">
        <f>37510+29635+22309+17930+15012+11746+1292+2243+804+260+600+115</f>
        <v>139456</v>
      </c>
      <c r="N121" s="294">
        <f t="shared" si="10"/>
        <v>7.65678780403855</v>
      </c>
      <c r="O121" s="218">
        <v>1</v>
      </c>
      <c r="P121" s="164"/>
      <c r="Q121" s="68"/>
      <c r="R121" s="68"/>
      <c r="S121" s="68"/>
      <c r="T121" s="68"/>
    </row>
    <row r="122" spans="1:20" ht="13.5" customHeight="1">
      <c r="A122" s="314">
        <v>118</v>
      </c>
      <c r="B122" s="248" t="s">
        <v>36</v>
      </c>
      <c r="C122" s="198">
        <v>40508</v>
      </c>
      <c r="D122" s="205" t="s">
        <v>25</v>
      </c>
      <c r="E122" s="205">
        <v>34</v>
      </c>
      <c r="F122" s="205">
        <v>17</v>
      </c>
      <c r="G122" s="205">
        <v>6</v>
      </c>
      <c r="H122" s="231">
        <v>14630.5</v>
      </c>
      <c r="I122" s="220">
        <v>2283</v>
      </c>
      <c r="J122" s="207">
        <f t="shared" si="9"/>
        <v>134.2941176470588</v>
      </c>
      <c r="K122" s="232">
        <f t="shared" si="8"/>
        <v>6.408453788874288</v>
      </c>
      <c r="L122" s="233">
        <f>122173+87330+23120+25637+29159.5+14630.5</f>
        <v>302050</v>
      </c>
      <c r="M122" s="206">
        <f>10588+8153+2702+3877+4807+2283</f>
        <v>32410</v>
      </c>
      <c r="N122" s="249">
        <f t="shared" si="10"/>
        <v>9.319654427645789</v>
      </c>
      <c r="O122" s="217"/>
      <c r="P122" s="164"/>
      <c r="Q122" s="68"/>
      <c r="R122" s="68"/>
      <c r="S122" s="68"/>
      <c r="T122" s="68"/>
    </row>
    <row r="123" spans="1:20" ht="13.5" customHeight="1">
      <c r="A123" s="314">
        <v>119</v>
      </c>
      <c r="B123" s="289" t="s">
        <v>36</v>
      </c>
      <c r="C123" s="198">
        <v>40508</v>
      </c>
      <c r="D123" s="205" t="s">
        <v>25</v>
      </c>
      <c r="E123" s="205">
        <v>34</v>
      </c>
      <c r="F123" s="205">
        <v>1</v>
      </c>
      <c r="G123" s="205">
        <v>7</v>
      </c>
      <c r="H123" s="275">
        <v>403</v>
      </c>
      <c r="I123" s="220">
        <v>58</v>
      </c>
      <c r="J123" s="207">
        <f t="shared" si="9"/>
        <v>58</v>
      </c>
      <c r="K123" s="276">
        <f t="shared" si="8"/>
        <v>6.948275862068965</v>
      </c>
      <c r="L123" s="277">
        <f>122173+87330+23120+25637+29159.5+14630.5+403</f>
        <v>302453</v>
      </c>
      <c r="M123" s="206">
        <f>10588+8153+2702+3877+4807+2283+58</f>
        <v>32468</v>
      </c>
      <c r="N123" s="294">
        <f t="shared" si="10"/>
        <v>9.315418257977084</v>
      </c>
      <c r="O123" s="218"/>
      <c r="P123" s="164"/>
      <c r="Q123" s="68"/>
      <c r="R123" s="68"/>
      <c r="S123" s="68"/>
      <c r="T123" s="68"/>
    </row>
    <row r="124" spans="1:20" ht="13.5" customHeight="1">
      <c r="A124" s="314">
        <v>120</v>
      </c>
      <c r="B124" s="361" t="s">
        <v>128</v>
      </c>
      <c r="C124" s="198">
        <v>40487</v>
      </c>
      <c r="D124" s="325" t="s">
        <v>27</v>
      </c>
      <c r="E124" s="410">
        <v>162</v>
      </c>
      <c r="F124" s="410">
        <v>2</v>
      </c>
      <c r="G124" s="410">
        <v>10</v>
      </c>
      <c r="H124" s="269">
        <v>1340</v>
      </c>
      <c r="I124" s="221">
        <v>198</v>
      </c>
      <c r="J124" s="204">
        <f>IF(H124&lt;&gt;0,I124/F124,"")</f>
        <v>99</v>
      </c>
      <c r="K124" s="279">
        <f>IF(H124&lt;&gt;0,H124/I124,"")</f>
        <v>6.767676767676767</v>
      </c>
      <c r="L124" s="271">
        <f>525983.5+915356-20+520720.5+229861+37809.5+41066.5+9062.5+5020+8527+1340</f>
        <v>2294726.5</v>
      </c>
      <c r="M124" s="200">
        <f>56225+93965-2+58841+28041+5233+5910+1474+785+1182+198</f>
        <v>251852</v>
      </c>
      <c r="N124" s="296">
        <f>IF(L124&lt;&gt;0,L124/M124,"")</f>
        <v>9.111408684465479</v>
      </c>
      <c r="O124" s="404"/>
      <c r="P124" s="164"/>
      <c r="Q124" s="68"/>
      <c r="R124" s="68"/>
      <c r="S124" s="68"/>
      <c r="T124" s="68"/>
    </row>
    <row r="125" spans="1:20" ht="13.5" customHeight="1">
      <c r="A125" s="314">
        <v>121</v>
      </c>
      <c r="B125" s="248" t="s">
        <v>78</v>
      </c>
      <c r="C125" s="198">
        <v>40487</v>
      </c>
      <c r="D125" s="205" t="s">
        <v>27</v>
      </c>
      <c r="E125" s="205">
        <v>162</v>
      </c>
      <c r="F125" s="205">
        <v>8</v>
      </c>
      <c r="G125" s="205">
        <v>9</v>
      </c>
      <c r="H125" s="234">
        <v>8527</v>
      </c>
      <c r="I125" s="221">
        <v>1182</v>
      </c>
      <c r="J125" s="204">
        <f>IF(H125&lt;&gt;0,I125/F125,"")</f>
        <v>147.75</v>
      </c>
      <c r="K125" s="238">
        <f>IF(H125&lt;&gt;0,H125/I125,"")</f>
        <v>7.214043993231811</v>
      </c>
      <c r="L125" s="236">
        <f>525983.5+915356-20+520720.5+229861+37809.5+41066.5+9062.5+5020+8527</f>
        <v>2293386.5</v>
      </c>
      <c r="M125" s="200">
        <f>56225+93965-2+58841+28041+5233+5910+1474+785+1182</f>
        <v>251654</v>
      </c>
      <c r="N125" s="253">
        <f>IF(L125&lt;&gt;0,L125/M125,"")</f>
        <v>9.11325272000445</v>
      </c>
      <c r="O125" s="216"/>
      <c r="P125" s="164"/>
      <c r="Q125" s="68"/>
      <c r="R125" s="68"/>
      <c r="S125" s="68"/>
      <c r="T125" s="68"/>
    </row>
    <row r="126" spans="1:20" ht="13.5" customHeight="1">
      <c r="A126" s="314">
        <v>122</v>
      </c>
      <c r="B126" s="248" t="s">
        <v>21</v>
      </c>
      <c r="C126" s="198">
        <v>40480</v>
      </c>
      <c r="D126" s="205" t="s">
        <v>25</v>
      </c>
      <c r="E126" s="205">
        <v>100</v>
      </c>
      <c r="F126" s="205">
        <v>11</v>
      </c>
      <c r="G126" s="205">
        <v>10</v>
      </c>
      <c r="H126" s="231">
        <v>4160</v>
      </c>
      <c r="I126" s="220">
        <v>850</v>
      </c>
      <c r="J126" s="207">
        <f>(I126/F126)</f>
        <v>77.27272727272727</v>
      </c>
      <c r="K126" s="232">
        <f>H126/I126</f>
        <v>4.894117647058824</v>
      </c>
      <c r="L126" s="233">
        <f>1221166+429124.5+378100+240009.5+108018.5+26890.5+15319+16968+7345.5+4160</f>
        <v>2447101.5</v>
      </c>
      <c r="M126" s="206">
        <f>114702+40612+35598+23284+12543+4168+3055+2661+1161+850</f>
        <v>238634</v>
      </c>
      <c r="N126" s="249">
        <f>L126/M126</f>
        <v>10.254622141019302</v>
      </c>
      <c r="O126" s="216">
        <v>1</v>
      </c>
      <c r="P126" s="164"/>
      <c r="Q126" s="68"/>
      <c r="R126" s="68"/>
      <c r="S126" s="68"/>
      <c r="T126" s="68"/>
    </row>
    <row r="127" spans="1:20" ht="13.5" customHeight="1">
      <c r="A127" s="314">
        <v>123</v>
      </c>
      <c r="B127" s="289" t="s">
        <v>21</v>
      </c>
      <c r="C127" s="198">
        <v>40480</v>
      </c>
      <c r="D127" s="205" t="s">
        <v>25</v>
      </c>
      <c r="E127" s="205">
        <v>100</v>
      </c>
      <c r="F127" s="205">
        <v>2</v>
      </c>
      <c r="G127" s="205">
        <v>11</v>
      </c>
      <c r="H127" s="275">
        <v>1262</v>
      </c>
      <c r="I127" s="220">
        <v>210</v>
      </c>
      <c r="J127" s="207">
        <f>(I127/F127)</f>
        <v>105</v>
      </c>
      <c r="K127" s="276">
        <f>H127/I127</f>
        <v>6.0095238095238095</v>
      </c>
      <c r="L127" s="277">
        <f>1221166+429124.5+378100+240009.5+108018.5+26890.5+15319+16968+7345.5+4160+1262</f>
        <v>2448363.5</v>
      </c>
      <c r="M127" s="206">
        <f>114702+40612+35598+23284+12543+4168+3055+2661+1161+850+210</f>
        <v>238844</v>
      </c>
      <c r="N127" s="294">
        <f>L127/M127</f>
        <v>10.250889702064946</v>
      </c>
      <c r="O127" s="218"/>
      <c r="P127" s="164"/>
      <c r="Q127" s="68"/>
      <c r="R127" s="68"/>
      <c r="S127" s="68"/>
      <c r="T127" s="68"/>
    </row>
    <row r="128" spans="1:20" ht="13.5" customHeight="1">
      <c r="A128" s="314">
        <v>124</v>
      </c>
      <c r="B128" s="364" t="s">
        <v>21</v>
      </c>
      <c r="C128" s="330">
        <v>40480</v>
      </c>
      <c r="D128" s="329" t="s">
        <v>25</v>
      </c>
      <c r="E128" s="409">
        <v>100</v>
      </c>
      <c r="F128" s="409">
        <v>1</v>
      </c>
      <c r="G128" s="409">
        <v>12</v>
      </c>
      <c r="H128" s="332">
        <v>1510</v>
      </c>
      <c r="I128" s="333">
        <v>377</v>
      </c>
      <c r="J128" s="334">
        <f>(I128/F128)</f>
        <v>377</v>
      </c>
      <c r="K128" s="335">
        <f>H128/I128</f>
        <v>4.005305039787799</v>
      </c>
      <c r="L128" s="336">
        <f>1221166+429124.5+378100+240009.5+108018.5+26890.5+15319+16968+7345.5+4160+1262+1510</f>
        <v>2449873.5</v>
      </c>
      <c r="M128" s="337">
        <f>114702+40612+35598+23284+12543+4168+3055+2661+1161+850+210+377</f>
        <v>239221</v>
      </c>
      <c r="N128" s="365">
        <f>L128/M128</f>
        <v>10.24104698166131</v>
      </c>
      <c r="O128" s="405"/>
      <c r="P128" s="164"/>
      <c r="Q128" s="68"/>
      <c r="R128" s="68"/>
      <c r="S128" s="68"/>
      <c r="T128" s="68"/>
    </row>
    <row r="129" spans="1:20" ht="13.5" customHeight="1">
      <c r="A129" s="314">
        <v>125</v>
      </c>
      <c r="B129" s="250" t="s">
        <v>37</v>
      </c>
      <c r="C129" s="198">
        <v>40508</v>
      </c>
      <c r="D129" s="199" t="s">
        <v>23</v>
      </c>
      <c r="E129" s="205">
        <v>11</v>
      </c>
      <c r="F129" s="205">
        <v>3</v>
      </c>
      <c r="G129" s="205">
        <v>6</v>
      </c>
      <c r="H129" s="234">
        <v>3343</v>
      </c>
      <c r="I129" s="221">
        <v>754</v>
      </c>
      <c r="J129" s="200">
        <f>I129/F129</f>
        <v>251.33333333333334</v>
      </c>
      <c r="K129" s="235">
        <f>+H129/I129</f>
        <v>4.43368700265252</v>
      </c>
      <c r="L129" s="236">
        <v>107677</v>
      </c>
      <c r="M129" s="201">
        <v>8838</v>
      </c>
      <c r="N129" s="251">
        <f>+L129/M129</f>
        <v>12.183412536773025</v>
      </c>
      <c r="O129" s="216">
        <v>1</v>
      </c>
      <c r="P129" s="164"/>
      <c r="Q129" s="68"/>
      <c r="R129" s="68"/>
      <c r="S129" s="68"/>
      <c r="T129" s="68"/>
    </row>
    <row r="130" spans="1:20" ht="13.5" customHeight="1" thickBot="1">
      <c r="A130" s="314">
        <v>126</v>
      </c>
      <c r="B130" s="423" t="s">
        <v>37</v>
      </c>
      <c r="C130" s="424">
        <v>40508</v>
      </c>
      <c r="D130" s="425" t="s">
        <v>23</v>
      </c>
      <c r="E130" s="426">
        <v>11</v>
      </c>
      <c r="F130" s="426">
        <v>1</v>
      </c>
      <c r="G130" s="426">
        <v>9</v>
      </c>
      <c r="H130" s="427">
        <v>1240</v>
      </c>
      <c r="I130" s="428">
        <v>164</v>
      </c>
      <c r="J130" s="429">
        <f>I130/F130</f>
        <v>164</v>
      </c>
      <c r="K130" s="430">
        <f>+H130/I130</f>
        <v>7.560975609756097</v>
      </c>
      <c r="L130" s="431">
        <v>108917</v>
      </c>
      <c r="M130" s="432">
        <v>9002</v>
      </c>
      <c r="N130" s="433">
        <f>+L130/M130</f>
        <v>12.09920017773828</v>
      </c>
      <c r="O130" s="403"/>
      <c r="P130" s="164"/>
      <c r="Q130" s="68"/>
      <c r="R130" s="68"/>
      <c r="S130" s="68"/>
      <c r="T130" s="68"/>
    </row>
    <row r="131" spans="1:20" ht="15">
      <c r="A131" s="157"/>
      <c r="B131" s="168"/>
      <c r="C131" s="89"/>
      <c r="D131" s="169"/>
      <c r="E131" s="420"/>
      <c r="F131" s="421"/>
      <c r="G131" s="422"/>
      <c r="H131" s="181"/>
      <c r="I131" s="182"/>
      <c r="J131" s="170"/>
      <c r="K131" s="171"/>
      <c r="L131" s="172"/>
      <c r="M131" s="170"/>
      <c r="N131" s="173"/>
      <c r="O131" s="163"/>
      <c r="P131" s="164"/>
      <c r="Q131" s="68"/>
      <c r="R131" s="68"/>
      <c r="S131" s="68"/>
      <c r="T131" s="68"/>
    </row>
    <row r="132" spans="1:20" ht="15">
      <c r="A132" s="157"/>
      <c r="B132" s="34"/>
      <c r="C132" s="158"/>
      <c r="D132" s="69"/>
      <c r="E132" s="414"/>
      <c r="F132" s="415"/>
      <c r="G132" s="416"/>
      <c r="H132" s="183"/>
      <c r="I132" s="184"/>
      <c r="J132" s="159"/>
      <c r="K132" s="160"/>
      <c r="L132" s="161"/>
      <c r="M132" s="159"/>
      <c r="N132" s="162"/>
      <c r="O132" s="163"/>
      <c r="P132" s="164"/>
      <c r="Q132" s="68"/>
      <c r="R132" s="68"/>
      <c r="S132" s="68"/>
      <c r="T132" s="68"/>
    </row>
    <row r="133" spans="1:20" ht="15">
      <c r="A133" s="157"/>
      <c r="B133" s="34"/>
      <c r="C133" s="158"/>
      <c r="D133" s="69"/>
      <c r="E133" s="414"/>
      <c r="F133" s="415"/>
      <c r="G133" s="416"/>
      <c r="H133" s="183"/>
      <c r="I133" s="184"/>
      <c r="J133" s="159"/>
      <c r="K133" s="160"/>
      <c r="L133" s="161"/>
      <c r="M133" s="159"/>
      <c r="N133" s="162"/>
      <c r="O133" s="163"/>
      <c r="P133" s="164"/>
      <c r="Q133" s="68"/>
      <c r="R133" s="68"/>
      <c r="S133" s="68"/>
      <c r="T133" s="68"/>
    </row>
    <row r="134" spans="1:20" ht="15">
      <c r="A134" s="157"/>
      <c r="B134" s="34"/>
      <c r="C134" s="158"/>
      <c r="D134" s="69"/>
      <c r="E134" s="414"/>
      <c r="F134" s="415"/>
      <c r="G134" s="416"/>
      <c r="H134" s="183"/>
      <c r="I134" s="184"/>
      <c r="J134" s="159"/>
      <c r="K134" s="160"/>
      <c r="L134" s="161"/>
      <c r="M134" s="159"/>
      <c r="N134" s="162"/>
      <c r="O134" s="163"/>
      <c r="P134" s="164"/>
      <c r="Q134" s="68"/>
      <c r="R134" s="68"/>
      <c r="S134" s="68"/>
      <c r="T134" s="68"/>
    </row>
    <row r="135" spans="1:20" ht="15">
      <c r="A135" s="157"/>
      <c r="B135" s="34"/>
      <c r="C135" s="158"/>
      <c r="D135" s="69"/>
      <c r="E135" s="414"/>
      <c r="F135" s="415"/>
      <c r="G135" s="416"/>
      <c r="H135" s="183"/>
      <c r="I135" s="184"/>
      <c r="J135" s="159"/>
      <c r="K135" s="160"/>
      <c r="L135" s="161"/>
      <c r="M135" s="159"/>
      <c r="N135" s="162"/>
      <c r="O135" s="163"/>
      <c r="P135" s="164"/>
      <c r="Q135" s="68"/>
      <c r="R135" s="68"/>
      <c r="S135" s="68"/>
      <c r="T135" s="68"/>
    </row>
    <row r="136" spans="1:20" ht="15">
      <c r="A136" s="157"/>
      <c r="B136" s="34"/>
      <c r="C136" s="158"/>
      <c r="D136" s="69"/>
      <c r="E136" s="414"/>
      <c r="F136" s="415"/>
      <c r="G136" s="416"/>
      <c r="H136" s="183"/>
      <c r="I136" s="184"/>
      <c r="J136" s="159"/>
      <c r="K136" s="160"/>
      <c r="L136" s="161"/>
      <c r="M136" s="159"/>
      <c r="N136" s="162"/>
      <c r="O136" s="163"/>
      <c r="P136" s="164"/>
      <c r="Q136" s="68"/>
      <c r="R136" s="68"/>
      <c r="S136" s="68"/>
      <c r="T136" s="68"/>
    </row>
    <row r="137" spans="1:20" ht="15">
      <c r="A137" s="157"/>
      <c r="B137" s="34"/>
      <c r="C137" s="158"/>
      <c r="D137" s="69"/>
      <c r="E137" s="414"/>
      <c r="F137" s="415"/>
      <c r="G137" s="416"/>
      <c r="H137" s="183"/>
      <c r="I137" s="184"/>
      <c r="J137" s="159"/>
      <c r="K137" s="160"/>
      <c r="L137" s="161"/>
      <c r="M137" s="159"/>
      <c r="N137" s="162"/>
      <c r="O137" s="163"/>
      <c r="P137" s="164"/>
      <c r="Q137" s="68"/>
      <c r="R137" s="68"/>
      <c r="S137" s="68"/>
      <c r="T137" s="68"/>
    </row>
    <row r="138" spans="1:20" ht="15">
      <c r="A138" s="157"/>
      <c r="B138" s="34"/>
      <c r="C138" s="158"/>
      <c r="D138" s="69"/>
      <c r="E138" s="414"/>
      <c r="F138" s="415"/>
      <c r="G138" s="416"/>
      <c r="H138" s="183"/>
      <c r="I138" s="184"/>
      <c r="J138" s="159"/>
      <c r="K138" s="160"/>
      <c r="L138" s="161"/>
      <c r="M138" s="159"/>
      <c r="N138" s="162"/>
      <c r="O138" s="163"/>
      <c r="P138" s="164"/>
      <c r="Q138" s="68"/>
      <c r="R138" s="68"/>
      <c r="S138" s="68"/>
      <c r="T138" s="68"/>
    </row>
    <row r="139" spans="1:20" ht="15">
      <c r="A139" s="157"/>
      <c r="B139" s="34"/>
      <c r="C139" s="158"/>
      <c r="D139" s="69"/>
      <c r="E139" s="414"/>
      <c r="F139" s="415"/>
      <c r="G139" s="416"/>
      <c r="H139" s="183"/>
      <c r="I139" s="184"/>
      <c r="J139" s="159"/>
      <c r="K139" s="160"/>
      <c r="L139" s="161"/>
      <c r="M139" s="159"/>
      <c r="N139" s="162"/>
      <c r="O139" s="163"/>
      <c r="P139" s="164"/>
      <c r="Q139" s="68"/>
      <c r="R139" s="68"/>
      <c r="S139" s="68"/>
      <c r="T139" s="68"/>
    </row>
    <row r="140" spans="1:20" ht="15">
      <c r="A140" s="157"/>
      <c r="B140" s="34"/>
      <c r="C140" s="158"/>
      <c r="D140" s="69"/>
      <c r="E140" s="414"/>
      <c r="F140" s="415"/>
      <c r="G140" s="416"/>
      <c r="H140" s="183"/>
      <c r="I140" s="184"/>
      <c r="J140" s="159"/>
      <c r="K140" s="160"/>
      <c r="L140" s="161"/>
      <c r="M140" s="159"/>
      <c r="N140" s="162"/>
      <c r="O140" s="163"/>
      <c r="P140" s="164"/>
      <c r="Q140" s="68"/>
      <c r="R140" s="68"/>
      <c r="S140" s="68"/>
      <c r="T140" s="68"/>
    </row>
    <row r="141" spans="1:20" ht="15">
      <c r="A141" s="157"/>
      <c r="B141" s="34"/>
      <c r="C141" s="158"/>
      <c r="D141" s="69"/>
      <c r="E141" s="414"/>
      <c r="F141" s="415"/>
      <c r="G141" s="416"/>
      <c r="H141" s="183"/>
      <c r="I141" s="184"/>
      <c r="J141" s="159"/>
      <c r="K141" s="160"/>
      <c r="L141" s="161"/>
      <c r="M141" s="159"/>
      <c r="N141" s="162"/>
      <c r="O141" s="163"/>
      <c r="P141" s="164"/>
      <c r="Q141" s="68"/>
      <c r="R141" s="68"/>
      <c r="S141" s="68"/>
      <c r="T141" s="68"/>
    </row>
    <row r="142" spans="1:20" ht="15">
      <c r="A142" s="157"/>
      <c r="B142" s="34"/>
      <c r="C142" s="158"/>
      <c r="D142" s="69"/>
      <c r="E142" s="414"/>
      <c r="F142" s="415"/>
      <c r="G142" s="416"/>
      <c r="H142" s="183"/>
      <c r="I142" s="184"/>
      <c r="J142" s="159"/>
      <c r="K142" s="160"/>
      <c r="L142" s="161"/>
      <c r="M142" s="159"/>
      <c r="N142" s="162"/>
      <c r="O142" s="163"/>
      <c r="P142" s="164"/>
      <c r="Q142" s="68"/>
      <c r="R142" s="68"/>
      <c r="S142" s="68"/>
      <c r="T142" s="68"/>
    </row>
    <row r="143" spans="1:20" ht="15">
      <c r="A143" s="157"/>
      <c r="B143" s="34"/>
      <c r="C143" s="158"/>
      <c r="D143" s="69"/>
      <c r="E143" s="414"/>
      <c r="F143" s="415"/>
      <c r="G143" s="416"/>
      <c r="H143" s="183"/>
      <c r="I143" s="184"/>
      <c r="J143" s="159"/>
      <c r="K143" s="160"/>
      <c r="L143" s="161"/>
      <c r="M143" s="159"/>
      <c r="N143" s="162"/>
      <c r="O143" s="163"/>
      <c r="P143" s="164"/>
      <c r="Q143" s="68"/>
      <c r="R143" s="68"/>
      <c r="S143" s="68"/>
      <c r="T143" s="68"/>
    </row>
    <row r="144" spans="1:20" ht="15">
      <c r="A144" s="157"/>
      <c r="B144" s="34"/>
      <c r="C144" s="158"/>
      <c r="D144" s="69"/>
      <c r="E144" s="414"/>
      <c r="F144" s="415"/>
      <c r="G144" s="416"/>
      <c r="H144" s="183"/>
      <c r="I144" s="184"/>
      <c r="J144" s="159"/>
      <c r="K144" s="160"/>
      <c r="L144" s="161"/>
      <c r="M144" s="159"/>
      <c r="N144" s="162"/>
      <c r="O144" s="163"/>
      <c r="P144" s="164"/>
      <c r="Q144" s="68"/>
      <c r="R144" s="68"/>
      <c r="S144" s="68"/>
      <c r="T144" s="68"/>
    </row>
    <row r="145" spans="1:20" ht="15">
      <c r="A145" s="157"/>
      <c r="B145" s="34"/>
      <c r="C145" s="158"/>
      <c r="D145" s="69"/>
      <c r="E145" s="414"/>
      <c r="F145" s="415"/>
      <c r="G145" s="416"/>
      <c r="H145" s="183"/>
      <c r="I145" s="184"/>
      <c r="J145" s="159"/>
      <c r="K145" s="160"/>
      <c r="L145" s="161"/>
      <c r="M145" s="159"/>
      <c r="N145" s="162"/>
      <c r="O145" s="163"/>
      <c r="P145" s="164"/>
      <c r="Q145" s="68"/>
      <c r="R145" s="68"/>
      <c r="S145" s="68"/>
      <c r="T145" s="68"/>
    </row>
    <row r="146" spans="1:20" ht="15">
      <c r="A146" s="157"/>
      <c r="B146" s="34"/>
      <c r="C146" s="158"/>
      <c r="D146" s="69"/>
      <c r="E146" s="414"/>
      <c r="F146" s="415"/>
      <c r="G146" s="416"/>
      <c r="H146" s="183"/>
      <c r="I146" s="184"/>
      <c r="J146" s="159"/>
      <c r="K146" s="160"/>
      <c r="L146" s="161"/>
      <c r="M146" s="159"/>
      <c r="N146" s="162"/>
      <c r="O146" s="163"/>
      <c r="P146" s="164"/>
      <c r="Q146" s="68"/>
      <c r="R146" s="68"/>
      <c r="S146" s="68"/>
      <c r="T146" s="68"/>
    </row>
    <row r="147" spans="1:20" ht="15">
      <c r="A147" s="157"/>
      <c r="B147" s="34"/>
      <c r="C147" s="158"/>
      <c r="D147" s="69"/>
      <c r="E147" s="414"/>
      <c r="F147" s="415"/>
      <c r="G147" s="416"/>
      <c r="H147" s="183"/>
      <c r="I147" s="184"/>
      <c r="J147" s="159"/>
      <c r="K147" s="160"/>
      <c r="L147" s="161"/>
      <c r="M147" s="159"/>
      <c r="N147" s="162"/>
      <c r="O147" s="163"/>
      <c r="P147" s="164"/>
      <c r="Q147" s="68"/>
      <c r="R147" s="68"/>
      <c r="S147" s="68"/>
      <c r="T147" s="68"/>
    </row>
    <row r="148" spans="1:20" ht="15">
      <c r="A148" s="157"/>
      <c r="B148" s="34"/>
      <c r="C148" s="158"/>
      <c r="D148" s="69"/>
      <c r="E148" s="414"/>
      <c r="F148" s="415"/>
      <c r="G148" s="416"/>
      <c r="H148" s="183"/>
      <c r="I148" s="184"/>
      <c r="J148" s="159"/>
      <c r="K148" s="160"/>
      <c r="L148" s="161"/>
      <c r="M148" s="159"/>
      <c r="N148" s="162"/>
      <c r="O148" s="163"/>
      <c r="P148" s="164"/>
      <c r="Q148" s="68"/>
      <c r="R148" s="68"/>
      <c r="S148" s="68"/>
      <c r="T148" s="68"/>
    </row>
    <row r="149" spans="1:20" ht="15">
      <c r="A149" s="157"/>
      <c r="B149" s="34"/>
      <c r="C149" s="158"/>
      <c r="D149" s="69"/>
      <c r="E149" s="414"/>
      <c r="F149" s="415"/>
      <c r="G149" s="416"/>
      <c r="H149" s="183"/>
      <c r="I149" s="184"/>
      <c r="J149" s="159"/>
      <c r="K149" s="160"/>
      <c r="L149" s="161"/>
      <c r="M149" s="159"/>
      <c r="N149" s="162"/>
      <c r="O149" s="163"/>
      <c r="P149" s="164"/>
      <c r="Q149" s="68"/>
      <c r="R149" s="68"/>
      <c r="S149" s="68"/>
      <c r="T149" s="68"/>
    </row>
    <row r="150" spans="1:20" ht="15">
      <c r="A150" s="157"/>
      <c r="B150" s="34"/>
      <c r="C150" s="158"/>
      <c r="D150" s="69"/>
      <c r="E150" s="414"/>
      <c r="F150" s="415"/>
      <c r="G150" s="416"/>
      <c r="H150" s="183"/>
      <c r="I150" s="184"/>
      <c r="J150" s="159"/>
      <c r="K150" s="160"/>
      <c r="L150" s="161"/>
      <c r="M150" s="159"/>
      <c r="N150" s="162"/>
      <c r="O150" s="163"/>
      <c r="P150" s="164"/>
      <c r="Q150" s="68"/>
      <c r="R150" s="68"/>
      <c r="S150" s="68"/>
      <c r="T150" s="68"/>
    </row>
    <row r="151" spans="1:20" ht="15">
      <c r="A151" s="157"/>
      <c r="B151" s="34"/>
      <c r="C151" s="158"/>
      <c r="D151" s="69"/>
      <c r="E151" s="414"/>
      <c r="F151" s="415"/>
      <c r="G151" s="416"/>
      <c r="H151" s="183"/>
      <c r="I151" s="184"/>
      <c r="J151" s="159"/>
      <c r="K151" s="160"/>
      <c r="L151" s="161"/>
      <c r="M151" s="159"/>
      <c r="N151" s="162"/>
      <c r="O151" s="163"/>
      <c r="P151" s="164"/>
      <c r="Q151" s="68"/>
      <c r="R151" s="68"/>
      <c r="S151" s="68"/>
      <c r="T151" s="68"/>
    </row>
    <row r="152" spans="1:20" ht="15">
      <c r="A152" s="157"/>
      <c r="B152" s="34"/>
      <c r="C152" s="158"/>
      <c r="D152" s="69"/>
      <c r="E152" s="414"/>
      <c r="F152" s="415"/>
      <c r="G152" s="416"/>
      <c r="H152" s="183"/>
      <c r="I152" s="184"/>
      <c r="J152" s="159"/>
      <c r="K152" s="160"/>
      <c r="L152" s="161"/>
      <c r="M152" s="159"/>
      <c r="N152" s="162"/>
      <c r="O152" s="163"/>
      <c r="P152" s="164"/>
      <c r="Q152" s="68"/>
      <c r="R152" s="68"/>
      <c r="S152" s="68"/>
      <c r="T152" s="68"/>
    </row>
    <row r="153" spans="1:20" ht="15">
      <c r="A153" s="157"/>
      <c r="B153" s="34"/>
      <c r="C153" s="158"/>
      <c r="D153" s="69"/>
      <c r="E153" s="414"/>
      <c r="F153" s="415"/>
      <c r="G153" s="416"/>
      <c r="H153" s="183"/>
      <c r="I153" s="184"/>
      <c r="J153" s="159"/>
      <c r="K153" s="160"/>
      <c r="L153" s="161"/>
      <c r="M153" s="159"/>
      <c r="N153" s="162"/>
      <c r="O153" s="163"/>
      <c r="P153" s="164"/>
      <c r="Q153" s="68"/>
      <c r="R153" s="68"/>
      <c r="S153" s="68"/>
      <c r="T153" s="68"/>
    </row>
    <row r="154" spans="1:20" ht="15">
      <c r="A154" s="157"/>
      <c r="B154" s="34"/>
      <c r="C154" s="158"/>
      <c r="D154" s="69"/>
      <c r="E154" s="414"/>
      <c r="F154" s="415"/>
      <c r="G154" s="416"/>
      <c r="H154" s="183"/>
      <c r="I154" s="184"/>
      <c r="J154" s="159"/>
      <c r="K154" s="160"/>
      <c r="L154" s="161"/>
      <c r="M154" s="159"/>
      <c r="N154" s="162"/>
      <c r="O154" s="163"/>
      <c r="P154" s="164"/>
      <c r="Q154" s="68"/>
      <c r="R154" s="68"/>
      <c r="S154" s="68"/>
      <c r="T154" s="68"/>
    </row>
    <row r="155" spans="1:20" ht="15">
      <c r="A155" s="157"/>
      <c r="B155" s="34"/>
      <c r="C155" s="158"/>
      <c r="D155" s="69"/>
      <c r="E155" s="414"/>
      <c r="F155" s="415"/>
      <c r="G155" s="416"/>
      <c r="H155" s="183"/>
      <c r="I155" s="184"/>
      <c r="J155" s="159"/>
      <c r="K155" s="160"/>
      <c r="L155" s="161"/>
      <c r="M155" s="159"/>
      <c r="N155" s="162"/>
      <c r="O155" s="163"/>
      <c r="P155" s="164"/>
      <c r="Q155" s="68"/>
      <c r="R155" s="68"/>
      <c r="S155" s="68"/>
      <c r="T155" s="68"/>
    </row>
    <row r="156" spans="1:20" ht="15">
      <c r="A156" s="157"/>
      <c r="B156" s="34"/>
      <c r="C156" s="158"/>
      <c r="D156" s="69"/>
      <c r="E156" s="414"/>
      <c r="F156" s="415"/>
      <c r="G156" s="416"/>
      <c r="H156" s="183"/>
      <c r="I156" s="184"/>
      <c r="J156" s="159"/>
      <c r="K156" s="160"/>
      <c r="L156" s="161"/>
      <c r="M156" s="159"/>
      <c r="N156" s="162"/>
      <c r="O156" s="163"/>
      <c r="P156" s="164"/>
      <c r="Q156" s="68"/>
      <c r="R156" s="68"/>
      <c r="S156" s="68"/>
      <c r="T156" s="68"/>
    </row>
    <row r="157" spans="1:20" ht="15">
      <c r="A157" s="157"/>
      <c r="B157" s="34"/>
      <c r="C157" s="158"/>
      <c r="D157" s="69"/>
      <c r="E157" s="414"/>
      <c r="F157" s="415"/>
      <c r="G157" s="416"/>
      <c r="H157" s="183"/>
      <c r="I157" s="184"/>
      <c r="J157" s="159"/>
      <c r="K157" s="160"/>
      <c r="L157" s="161"/>
      <c r="M157" s="159"/>
      <c r="N157" s="162"/>
      <c r="O157" s="163"/>
      <c r="P157" s="164"/>
      <c r="Q157" s="68"/>
      <c r="R157" s="68"/>
      <c r="S157" s="68"/>
      <c r="T157" s="68"/>
    </row>
    <row r="158" spans="1:20" ht="15">
      <c r="A158" s="157"/>
      <c r="B158" s="34"/>
      <c r="C158" s="158"/>
      <c r="D158" s="69"/>
      <c r="E158" s="414"/>
      <c r="F158" s="415"/>
      <c r="G158" s="416"/>
      <c r="H158" s="183"/>
      <c r="I158" s="184"/>
      <c r="J158" s="159"/>
      <c r="K158" s="160"/>
      <c r="L158" s="161"/>
      <c r="M158" s="159"/>
      <c r="N158" s="162"/>
      <c r="O158" s="163"/>
      <c r="P158" s="164"/>
      <c r="Q158" s="68"/>
      <c r="R158" s="68"/>
      <c r="S158" s="68"/>
      <c r="T158" s="68"/>
    </row>
    <row r="159" spans="1:20" ht="15">
      <c r="A159" s="157"/>
      <c r="B159" s="34"/>
      <c r="C159" s="158"/>
      <c r="D159" s="69"/>
      <c r="E159" s="414"/>
      <c r="F159" s="415"/>
      <c r="G159" s="416"/>
      <c r="H159" s="183"/>
      <c r="I159" s="184"/>
      <c r="J159" s="159"/>
      <c r="K159" s="160"/>
      <c r="L159" s="161"/>
      <c r="M159" s="159"/>
      <c r="N159" s="162"/>
      <c r="O159" s="163"/>
      <c r="P159" s="164"/>
      <c r="Q159" s="68"/>
      <c r="R159" s="68"/>
      <c r="S159" s="68"/>
      <c r="T159" s="68"/>
    </row>
    <row r="160" spans="1:20" ht="15">
      <c r="A160" s="157"/>
      <c r="B160" s="34"/>
      <c r="C160" s="158"/>
      <c r="D160" s="69"/>
      <c r="E160" s="414"/>
      <c r="F160" s="415"/>
      <c r="G160" s="416"/>
      <c r="H160" s="183"/>
      <c r="I160" s="184"/>
      <c r="J160" s="159"/>
      <c r="K160" s="160"/>
      <c r="L160" s="161"/>
      <c r="M160" s="159"/>
      <c r="N160" s="162"/>
      <c r="O160" s="163"/>
      <c r="P160" s="164"/>
      <c r="Q160" s="68"/>
      <c r="R160" s="68"/>
      <c r="S160" s="68"/>
      <c r="T160" s="68"/>
    </row>
    <row r="161" spans="1:20" ht="15">
      <c r="A161" s="157"/>
      <c r="B161" s="34"/>
      <c r="C161" s="158"/>
      <c r="D161" s="69"/>
      <c r="E161" s="414"/>
      <c r="F161" s="415"/>
      <c r="G161" s="416"/>
      <c r="H161" s="183"/>
      <c r="I161" s="184"/>
      <c r="J161" s="159"/>
      <c r="K161" s="160"/>
      <c r="L161" s="161"/>
      <c r="M161" s="159"/>
      <c r="N161" s="162"/>
      <c r="O161" s="163"/>
      <c r="P161" s="164"/>
      <c r="Q161" s="68"/>
      <c r="R161" s="68"/>
      <c r="S161" s="68"/>
      <c r="T161" s="68"/>
    </row>
    <row r="162" spans="1:20" ht="15">
      <c r="A162" s="157"/>
      <c r="B162" s="34"/>
      <c r="C162" s="158"/>
      <c r="D162" s="69"/>
      <c r="E162" s="414"/>
      <c r="F162" s="415"/>
      <c r="G162" s="416"/>
      <c r="H162" s="183"/>
      <c r="I162" s="184"/>
      <c r="J162" s="159"/>
      <c r="K162" s="160"/>
      <c r="L162" s="161"/>
      <c r="M162" s="159"/>
      <c r="N162" s="162"/>
      <c r="O162" s="163"/>
      <c r="P162" s="164"/>
      <c r="Q162" s="68"/>
      <c r="R162" s="68"/>
      <c r="S162" s="68"/>
      <c r="T162" s="68"/>
    </row>
    <row r="163" spans="1:20" ht="15">
      <c r="A163" s="157"/>
      <c r="B163" s="34"/>
      <c r="C163" s="158"/>
      <c r="D163" s="69"/>
      <c r="E163" s="414"/>
      <c r="F163" s="415"/>
      <c r="G163" s="416"/>
      <c r="H163" s="183"/>
      <c r="I163" s="184"/>
      <c r="J163" s="159"/>
      <c r="K163" s="160"/>
      <c r="L163" s="161"/>
      <c r="M163" s="159"/>
      <c r="N163" s="162"/>
      <c r="O163" s="163"/>
      <c r="P163" s="164"/>
      <c r="Q163" s="68"/>
      <c r="R163" s="68"/>
      <c r="S163" s="68"/>
      <c r="T163" s="68"/>
    </row>
    <row r="164" spans="1:20" ht="15">
      <c r="A164" s="157"/>
      <c r="B164" s="34"/>
      <c r="C164" s="158"/>
      <c r="D164" s="69"/>
      <c r="E164" s="414"/>
      <c r="F164" s="415"/>
      <c r="G164" s="416"/>
      <c r="H164" s="183"/>
      <c r="I164" s="184"/>
      <c r="J164" s="159"/>
      <c r="K164" s="160"/>
      <c r="L164" s="161"/>
      <c r="M164" s="159"/>
      <c r="N164" s="162"/>
      <c r="O164" s="163"/>
      <c r="P164" s="164"/>
      <c r="Q164" s="68"/>
      <c r="R164" s="68"/>
      <c r="S164" s="68"/>
      <c r="T164" s="68"/>
    </row>
    <row r="165" spans="1:20" ht="15">
      <c r="A165" s="157"/>
      <c r="B165" s="34"/>
      <c r="C165" s="158"/>
      <c r="D165" s="69"/>
      <c r="E165" s="414"/>
      <c r="F165" s="415"/>
      <c r="G165" s="416"/>
      <c r="H165" s="183"/>
      <c r="I165" s="184"/>
      <c r="J165" s="159"/>
      <c r="K165" s="160"/>
      <c r="L165" s="161"/>
      <c r="M165" s="159"/>
      <c r="N165" s="162"/>
      <c r="O165" s="163"/>
      <c r="P165" s="164"/>
      <c r="Q165" s="68"/>
      <c r="R165" s="68"/>
      <c r="S165" s="68"/>
      <c r="T165" s="68"/>
    </row>
    <row r="166" spans="1:20" ht="15">
      <c r="A166" s="157"/>
      <c r="B166" s="34"/>
      <c r="C166" s="158"/>
      <c r="D166" s="69"/>
      <c r="E166" s="414"/>
      <c r="F166" s="415"/>
      <c r="G166" s="416"/>
      <c r="H166" s="183"/>
      <c r="I166" s="184"/>
      <c r="J166" s="159"/>
      <c r="K166" s="160"/>
      <c r="L166" s="161"/>
      <c r="M166" s="159"/>
      <c r="N166" s="162"/>
      <c r="O166" s="163"/>
      <c r="P166" s="164"/>
      <c r="Q166" s="68"/>
      <c r="R166" s="68"/>
      <c r="S166" s="68"/>
      <c r="T166" s="68"/>
    </row>
    <row r="167" spans="1:20" ht="15">
      <c r="A167" s="157"/>
      <c r="B167" s="34"/>
      <c r="C167" s="158"/>
      <c r="D167" s="69"/>
      <c r="E167" s="414"/>
      <c r="F167" s="415"/>
      <c r="G167" s="416"/>
      <c r="H167" s="183"/>
      <c r="I167" s="184"/>
      <c r="J167" s="159"/>
      <c r="K167" s="160"/>
      <c r="L167" s="161"/>
      <c r="M167" s="159"/>
      <c r="N167" s="162"/>
      <c r="O167" s="163"/>
      <c r="P167" s="164"/>
      <c r="Q167" s="68"/>
      <c r="R167" s="68"/>
      <c r="S167" s="68"/>
      <c r="T167" s="68"/>
    </row>
    <row r="168" spans="1:20" ht="15">
      <c r="A168" s="157"/>
      <c r="B168" s="34"/>
      <c r="C168" s="158"/>
      <c r="D168" s="69"/>
      <c r="E168" s="414"/>
      <c r="F168" s="415"/>
      <c r="G168" s="416"/>
      <c r="H168" s="183"/>
      <c r="I168" s="184"/>
      <c r="J168" s="159"/>
      <c r="K168" s="160"/>
      <c r="L168" s="161"/>
      <c r="M168" s="159"/>
      <c r="N168" s="162"/>
      <c r="O168" s="163"/>
      <c r="P168" s="164"/>
      <c r="Q168" s="68"/>
      <c r="R168" s="68"/>
      <c r="S168" s="68"/>
      <c r="T168" s="68"/>
    </row>
    <row r="169" spans="1:20" ht="15">
      <c r="A169" s="157"/>
      <c r="B169" s="34"/>
      <c r="C169" s="158"/>
      <c r="D169" s="69"/>
      <c r="E169" s="414"/>
      <c r="F169" s="415"/>
      <c r="G169" s="416"/>
      <c r="H169" s="183"/>
      <c r="I169" s="184"/>
      <c r="J169" s="159"/>
      <c r="K169" s="160"/>
      <c r="L169" s="161"/>
      <c r="M169" s="159"/>
      <c r="N169" s="162"/>
      <c r="O169" s="163"/>
      <c r="P169" s="164"/>
      <c r="Q169" s="68"/>
      <c r="R169" s="68"/>
      <c r="S169" s="68"/>
      <c r="T169" s="68"/>
    </row>
    <row r="170" spans="1:20" ht="15">
      <c r="A170" s="157"/>
      <c r="B170" s="34"/>
      <c r="C170" s="158"/>
      <c r="D170" s="69"/>
      <c r="E170" s="414"/>
      <c r="F170" s="415"/>
      <c r="G170" s="416"/>
      <c r="H170" s="183"/>
      <c r="I170" s="184"/>
      <c r="J170" s="159"/>
      <c r="K170" s="160"/>
      <c r="L170" s="161"/>
      <c r="M170" s="159"/>
      <c r="N170" s="162"/>
      <c r="O170" s="163"/>
      <c r="P170" s="164"/>
      <c r="Q170" s="68"/>
      <c r="R170" s="68"/>
      <c r="S170" s="68"/>
      <c r="T170" s="68"/>
    </row>
    <row r="171" spans="1:20" ht="15">
      <c r="A171" s="157"/>
      <c r="B171" s="34"/>
      <c r="C171" s="158"/>
      <c r="D171" s="69"/>
      <c r="E171" s="414"/>
      <c r="F171" s="415"/>
      <c r="G171" s="416"/>
      <c r="H171" s="183"/>
      <c r="I171" s="184"/>
      <c r="J171" s="159"/>
      <c r="K171" s="160"/>
      <c r="L171" s="161"/>
      <c r="M171" s="159"/>
      <c r="N171" s="162"/>
      <c r="O171" s="163"/>
      <c r="P171" s="164"/>
      <c r="Q171" s="68"/>
      <c r="R171" s="68"/>
      <c r="S171" s="68"/>
      <c r="T171" s="68"/>
    </row>
    <row r="172" spans="1:20" ht="15">
      <c r="A172" s="157"/>
      <c r="B172" s="34"/>
      <c r="C172" s="158"/>
      <c r="D172" s="69"/>
      <c r="E172" s="414"/>
      <c r="F172" s="415"/>
      <c r="G172" s="416"/>
      <c r="H172" s="183"/>
      <c r="I172" s="184"/>
      <c r="J172" s="159"/>
      <c r="K172" s="160"/>
      <c r="L172" s="161"/>
      <c r="M172" s="159"/>
      <c r="N172" s="162"/>
      <c r="O172" s="163"/>
      <c r="P172" s="164"/>
      <c r="Q172" s="68"/>
      <c r="R172" s="68"/>
      <c r="S172" s="68"/>
      <c r="T172" s="68"/>
    </row>
    <row r="173" spans="1:20" ht="15">
      <c r="A173" s="157"/>
      <c r="B173" s="34"/>
      <c r="C173" s="158"/>
      <c r="D173" s="69"/>
      <c r="E173" s="414"/>
      <c r="F173" s="415"/>
      <c r="G173" s="416"/>
      <c r="H173" s="183"/>
      <c r="I173" s="184"/>
      <c r="J173" s="159"/>
      <c r="K173" s="160"/>
      <c r="L173" s="161"/>
      <c r="M173" s="159"/>
      <c r="N173" s="162"/>
      <c r="O173" s="163"/>
      <c r="P173" s="164"/>
      <c r="Q173" s="68"/>
      <c r="R173" s="68"/>
      <c r="S173" s="68"/>
      <c r="T173" s="68"/>
    </row>
    <row r="174" spans="1:20" ht="15">
      <c r="A174" s="157"/>
      <c r="B174" s="34"/>
      <c r="C174" s="158"/>
      <c r="D174" s="69"/>
      <c r="E174" s="414"/>
      <c r="F174" s="415"/>
      <c r="G174" s="416"/>
      <c r="H174" s="183"/>
      <c r="I174" s="184"/>
      <c r="J174" s="159"/>
      <c r="K174" s="160"/>
      <c r="L174" s="161"/>
      <c r="M174" s="159"/>
      <c r="N174" s="162"/>
      <c r="O174" s="163"/>
      <c r="P174" s="164"/>
      <c r="Q174" s="68"/>
      <c r="R174" s="68"/>
      <c r="S174" s="68"/>
      <c r="T174" s="68"/>
    </row>
    <row r="175" spans="1:20" ht="15">
      <c r="A175" s="157"/>
      <c r="B175" s="34"/>
      <c r="C175" s="158"/>
      <c r="D175" s="69"/>
      <c r="E175" s="414"/>
      <c r="F175" s="415"/>
      <c r="G175" s="416"/>
      <c r="H175" s="183"/>
      <c r="I175" s="184"/>
      <c r="J175" s="159"/>
      <c r="K175" s="160"/>
      <c r="L175" s="161"/>
      <c r="M175" s="159"/>
      <c r="N175" s="162"/>
      <c r="O175" s="163"/>
      <c r="P175" s="164"/>
      <c r="Q175" s="68"/>
      <c r="R175" s="68"/>
      <c r="S175" s="68"/>
      <c r="T175" s="68"/>
    </row>
    <row r="176" spans="1:20" ht="15">
      <c r="A176" s="157"/>
      <c r="B176" s="34"/>
      <c r="C176" s="158"/>
      <c r="D176" s="69"/>
      <c r="E176" s="414"/>
      <c r="F176" s="415"/>
      <c r="G176" s="416"/>
      <c r="H176" s="183"/>
      <c r="I176" s="184"/>
      <c r="J176" s="159"/>
      <c r="K176" s="160"/>
      <c r="L176" s="161"/>
      <c r="M176" s="159"/>
      <c r="N176" s="162"/>
      <c r="O176" s="163"/>
      <c r="P176" s="164"/>
      <c r="Q176" s="68"/>
      <c r="R176" s="68"/>
      <c r="S176" s="68"/>
      <c r="T176" s="68"/>
    </row>
    <row r="177" spans="1:20" ht="15">
      <c r="A177" s="157"/>
      <c r="B177" s="34"/>
      <c r="C177" s="158"/>
      <c r="D177" s="69"/>
      <c r="E177" s="414"/>
      <c r="F177" s="415"/>
      <c r="G177" s="416"/>
      <c r="H177" s="183"/>
      <c r="I177" s="184"/>
      <c r="J177" s="159"/>
      <c r="K177" s="160"/>
      <c r="L177" s="161"/>
      <c r="M177" s="159"/>
      <c r="N177" s="162"/>
      <c r="O177" s="163"/>
      <c r="P177" s="164"/>
      <c r="Q177" s="68"/>
      <c r="R177" s="68"/>
      <c r="S177" s="68"/>
      <c r="T177" s="68"/>
    </row>
    <row r="178" spans="1:20" ht="15">
      <c r="A178" s="157"/>
      <c r="B178" s="34"/>
      <c r="C178" s="158"/>
      <c r="D178" s="69"/>
      <c r="E178" s="414"/>
      <c r="F178" s="415"/>
      <c r="G178" s="416"/>
      <c r="H178" s="183"/>
      <c r="I178" s="184"/>
      <c r="J178" s="159"/>
      <c r="K178" s="160"/>
      <c r="L178" s="161"/>
      <c r="M178" s="159"/>
      <c r="N178" s="162"/>
      <c r="O178" s="163"/>
      <c r="P178" s="164"/>
      <c r="Q178" s="68"/>
      <c r="R178" s="68"/>
      <c r="S178" s="68"/>
      <c r="T178" s="68"/>
    </row>
    <row r="179" spans="1:20" ht="15">
      <c r="A179" s="157"/>
      <c r="B179" s="34"/>
      <c r="C179" s="158"/>
      <c r="D179" s="69"/>
      <c r="E179" s="414"/>
      <c r="F179" s="415"/>
      <c r="G179" s="416"/>
      <c r="H179" s="183"/>
      <c r="I179" s="184"/>
      <c r="J179" s="159"/>
      <c r="K179" s="160"/>
      <c r="L179" s="161"/>
      <c r="M179" s="159"/>
      <c r="N179" s="162"/>
      <c r="O179" s="163"/>
      <c r="P179" s="164"/>
      <c r="Q179" s="68"/>
      <c r="R179" s="68"/>
      <c r="S179" s="68"/>
      <c r="T179" s="68"/>
    </row>
    <row r="180" spans="1:20" ht="15">
      <c r="A180" s="157"/>
      <c r="B180" s="34"/>
      <c r="C180" s="158"/>
      <c r="D180" s="69"/>
      <c r="E180" s="414"/>
      <c r="F180" s="415"/>
      <c r="G180" s="416"/>
      <c r="H180" s="183"/>
      <c r="I180" s="184"/>
      <c r="J180" s="159"/>
      <c r="K180" s="160"/>
      <c r="L180" s="161"/>
      <c r="M180" s="159"/>
      <c r="N180" s="162"/>
      <c r="O180" s="163"/>
      <c r="P180" s="164"/>
      <c r="Q180" s="68"/>
      <c r="R180" s="68"/>
      <c r="S180" s="68"/>
      <c r="T180" s="68"/>
    </row>
    <row r="181" spans="1:20" ht="15">
      <c r="A181" s="157"/>
      <c r="B181" s="34"/>
      <c r="C181" s="158"/>
      <c r="D181" s="69"/>
      <c r="E181" s="414"/>
      <c r="F181" s="415"/>
      <c r="G181" s="416"/>
      <c r="H181" s="183"/>
      <c r="I181" s="184"/>
      <c r="J181" s="159"/>
      <c r="K181" s="160"/>
      <c r="L181" s="161"/>
      <c r="M181" s="159"/>
      <c r="N181" s="162"/>
      <c r="O181" s="163"/>
      <c r="P181" s="164"/>
      <c r="Q181" s="68"/>
      <c r="R181" s="68"/>
      <c r="S181" s="68"/>
      <c r="T181" s="68"/>
    </row>
    <row r="182" spans="1:20" ht="15">
      <c r="A182" s="157"/>
      <c r="B182" s="34"/>
      <c r="C182" s="158"/>
      <c r="D182" s="69"/>
      <c r="E182" s="414"/>
      <c r="F182" s="415"/>
      <c r="G182" s="416"/>
      <c r="H182" s="183"/>
      <c r="I182" s="184"/>
      <c r="J182" s="159"/>
      <c r="K182" s="160"/>
      <c r="L182" s="161"/>
      <c r="M182" s="159"/>
      <c r="N182" s="162"/>
      <c r="O182" s="163"/>
      <c r="P182" s="164"/>
      <c r="Q182" s="68"/>
      <c r="R182" s="68"/>
      <c r="S182" s="68"/>
      <c r="T182" s="68"/>
    </row>
    <row r="183" spans="1:20" ht="15">
      <c r="A183" s="157"/>
      <c r="B183" s="34"/>
      <c r="C183" s="158"/>
      <c r="D183" s="69"/>
      <c r="E183" s="414"/>
      <c r="F183" s="415"/>
      <c r="G183" s="416"/>
      <c r="H183" s="183"/>
      <c r="I183" s="184"/>
      <c r="J183" s="159"/>
      <c r="K183" s="160"/>
      <c r="L183" s="161"/>
      <c r="M183" s="159"/>
      <c r="N183" s="162"/>
      <c r="O183" s="163"/>
      <c r="P183" s="164"/>
      <c r="Q183" s="68"/>
      <c r="R183" s="68"/>
      <c r="S183" s="68"/>
      <c r="T183" s="68"/>
    </row>
    <row r="184" spans="1:20" ht="15">
      <c r="A184" s="157"/>
      <c r="B184" s="34"/>
      <c r="C184" s="158"/>
      <c r="D184" s="69"/>
      <c r="E184" s="414"/>
      <c r="F184" s="415"/>
      <c r="G184" s="416"/>
      <c r="H184" s="183"/>
      <c r="I184" s="184"/>
      <c r="J184" s="159"/>
      <c r="K184" s="160"/>
      <c r="L184" s="161"/>
      <c r="M184" s="159"/>
      <c r="N184" s="162"/>
      <c r="O184" s="163"/>
      <c r="P184" s="164"/>
      <c r="Q184" s="68"/>
      <c r="R184" s="68"/>
      <c r="S184" s="68"/>
      <c r="T184" s="68"/>
    </row>
    <row r="185" spans="1:20" ht="15">
      <c r="A185" s="157"/>
      <c r="B185" s="34"/>
      <c r="C185" s="158"/>
      <c r="D185" s="69"/>
      <c r="E185" s="414"/>
      <c r="F185" s="415"/>
      <c r="G185" s="416"/>
      <c r="H185" s="183"/>
      <c r="I185" s="184"/>
      <c r="J185" s="159"/>
      <c r="K185" s="160"/>
      <c r="L185" s="161"/>
      <c r="M185" s="159"/>
      <c r="N185" s="162"/>
      <c r="O185" s="163"/>
      <c r="P185" s="164"/>
      <c r="Q185" s="68"/>
      <c r="R185" s="68"/>
      <c r="S185" s="68"/>
      <c r="T185" s="68"/>
    </row>
    <row r="186" spans="1:20" ht="15">
      <c r="A186" s="157"/>
      <c r="B186" s="34"/>
      <c r="C186" s="158"/>
      <c r="D186" s="69"/>
      <c r="E186" s="414"/>
      <c r="F186" s="415"/>
      <c r="G186" s="416"/>
      <c r="H186" s="183"/>
      <c r="I186" s="184"/>
      <c r="J186" s="159"/>
      <c r="K186" s="160"/>
      <c r="L186" s="161"/>
      <c r="M186" s="159"/>
      <c r="N186" s="162"/>
      <c r="O186" s="163"/>
      <c r="P186" s="164"/>
      <c r="Q186" s="68"/>
      <c r="R186" s="68"/>
      <c r="S186" s="68"/>
      <c r="T186" s="68"/>
    </row>
    <row r="187" spans="1:20" ht="15">
      <c r="A187" s="157"/>
      <c r="B187" s="34"/>
      <c r="C187" s="158"/>
      <c r="D187" s="69"/>
      <c r="E187" s="414"/>
      <c r="F187" s="415"/>
      <c r="G187" s="416"/>
      <c r="H187" s="183"/>
      <c r="I187" s="184"/>
      <c r="J187" s="159"/>
      <c r="K187" s="160"/>
      <c r="L187" s="161"/>
      <c r="M187" s="159"/>
      <c r="N187" s="162"/>
      <c r="O187" s="163"/>
      <c r="P187" s="164"/>
      <c r="Q187" s="68"/>
      <c r="R187" s="68"/>
      <c r="S187" s="68"/>
      <c r="T187" s="68"/>
    </row>
    <row r="188" spans="1:20" ht="15">
      <c r="A188" s="157"/>
      <c r="B188" s="34"/>
      <c r="C188" s="158"/>
      <c r="D188" s="69"/>
      <c r="E188" s="414"/>
      <c r="F188" s="415"/>
      <c r="G188" s="416"/>
      <c r="H188" s="183"/>
      <c r="I188" s="184"/>
      <c r="J188" s="159"/>
      <c r="K188" s="160"/>
      <c r="L188" s="161"/>
      <c r="M188" s="159"/>
      <c r="N188" s="162"/>
      <c r="O188" s="163"/>
      <c r="P188" s="164"/>
      <c r="Q188" s="68"/>
      <c r="R188" s="68"/>
      <c r="S188" s="68"/>
      <c r="T188" s="68"/>
    </row>
    <row r="189" spans="1:20" ht="15">
      <c r="A189" s="157"/>
      <c r="B189" s="34"/>
      <c r="C189" s="158"/>
      <c r="D189" s="69"/>
      <c r="E189" s="414"/>
      <c r="F189" s="415"/>
      <c r="G189" s="416"/>
      <c r="H189" s="183"/>
      <c r="I189" s="184"/>
      <c r="J189" s="159"/>
      <c r="K189" s="160"/>
      <c r="L189" s="161"/>
      <c r="M189" s="159"/>
      <c r="N189" s="162"/>
      <c r="O189" s="163"/>
      <c r="P189" s="164"/>
      <c r="Q189" s="68"/>
      <c r="R189" s="68"/>
      <c r="S189" s="68"/>
      <c r="T189" s="68"/>
    </row>
    <row r="190" spans="1:20" ht="15">
      <c r="A190" s="157"/>
      <c r="B190" s="34"/>
      <c r="C190" s="158"/>
      <c r="D190" s="69"/>
      <c r="E190" s="414"/>
      <c r="F190" s="415"/>
      <c r="G190" s="416"/>
      <c r="H190" s="183"/>
      <c r="I190" s="184"/>
      <c r="J190" s="159"/>
      <c r="K190" s="160"/>
      <c r="L190" s="161"/>
      <c r="M190" s="159"/>
      <c r="N190" s="162"/>
      <c r="O190" s="163"/>
      <c r="P190" s="164"/>
      <c r="Q190" s="68"/>
      <c r="R190" s="68"/>
      <c r="S190" s="68"/>
      <c r="T190" s="68"/>
    </row>
    <row r="191" spans="1:20" ht="15">
      <c r="A191" s="157"/>
      <c r="B191" s="34"/>
      <c r="C191" s="158"/>
      <c r="D191" s="69"/>
      <c r="E191" s="414"/>
      <c r="F191" s="415"/>
      <c r="G191" s="416"/>
      <c r="H191" s="183"/>
      <c r="I191" s="184"/>
      <c r="J191" s="159"/>
      <c r="K191" s="160"/>
      <c r="L191" s="161"/>
      <c r="M191" s="159"/>
      <c r="N191" s="162"/>
      <c r="O191" s="163"/>
      <c r="P191" s="164"/>
      <c r="Q191" s="68"/>
      <c r="R191" s="68"/>
      <c r="S191" s="68"/>
      <c r="T191" s="68"/>
    </row>
    <row r="192" spans="1:20" ht="15">
      <c r="A192" s="157"/>
      <c r="B192" s="34"/>
      <c r="C192" s="158"/>
      <c r="D192" s="69"/>
      <c r="E192" s="414"/>
      <c r="F192" s="415"/>
      <c r="G192" s="416"/>
      <c r="H192" s="183"/>
      <c r="I192" s="184"/>
      <c r="J192" s="159"/>
      <c r="K192" s="160"/>
      <c r="L192" s="161"/>
      <c r="M192" s="159"/>
      <c r="N192" s="162"/>
      <c r="O192" s="163"/>
      <c r="P192" s="164"/>
      <c r="Q192" s="68"/>
      <c r="R192" s="68"/>
      <c r="S192" s="68"/>
      <c r="T192" s="68"/>
    </row>
    <row r="193" spans="1:20" ht="15">
      <c r="A193" s="157"/>
      <c r="B193" s="34"/>
      <c r="C193" s="158"/>
      <c r="D193" s="69"/>
      <c r="E193" s="414"/>
      <c r="F193" s="415"/>
      <c r="G193" s="416"/>
      <c r="H193" s="183"/>
      <c r="I193" s="184"/>
      <c r="J193" s="159"/>
      <c r="K193" s="160"/>
      <c r="L193" s="161"/>
      <c r="M193" s="159"/>
      <c r="N193" s="162"/>
      <c r="O193" s="163"/>
      <c r="P193" s="164"/>
      <c r="Q193" s="68"/>
      <c r="R193" s="68"/>
      <c r="S193" s="68"/>
      <c r="T193" s="68"/>
    </row>
    <row r="194" spans="1:20" ht="15">
      <c r="A194" s="157"/>
      <c r="B194" s="34"/>
      <c r="C194" s="158"/>
      <c r="D194" s="69"/>
      <c r="E194" s="414"/>
      <c r="F194" s="415"/>
      <c r="G194" s="416"/>
      <c r="H194" s="183"/>
      <c r="I194" s="184"/>
      <c r="J194" s="159"/>
      <c r="K194" s="160"/>
      <c r="L194" s="161"/>
      <c r="M194" s="159"/>
      <c r="N194" s="162"/>
      <c r="O194" s="163"/>
      <c r="P194" s="164"/>
      <c r="Q194" s="68"/>
      <c r="R194" s="68"/>
      <c r="S194" s="68"/>
      <c r="T194" s="68"/>
    </row>
    <row r="195" spans="1:20" ht="15">
      <c r="A195" s="157"/>
      <c r="B195" s="34"/>
      <c r="C195" s="158"/>
      <c r="D195" s="69"/>
      <c r="E195" s="414"/>
      <c r="F195" s="415"/>
      <c r="G195" s="416"/>
      <c r="H195" s="183"/>
      <c r="I195" s="184"/>
      <c r="J195" s="159"/>
      <c r="K195" s="160"/>
      <c r="L195" s="161"/>
      <c r="M195" s="159"/>
      <c r="N195" s="162"/>
      <c r="O195" s="163"/>
      <c r="P195" s="164"/>
      <c r="Q195" s="68"/>
      <c r="R195" s="68"/>
      <c r="S195" s="68"/>
      <c r="T195" s="68"/>
    </row>
    <row r="196" spans="1:20" ht="15">
      <c r="A196" s="157"/>
      <c r="B196" s="34"/>
      <c r="C196" s="158"/>
      <c r="D196" s="69"/>
      <c r="E196" s="414"/>
      <c r="F196" s="415"/>
      <c r="G196" s="416"/>
      <c r="H196" s="183"/>
      <c r="I196" s="184"/>
      <c r="J196" s="159"/>
      <c r="K196" s="160"/>
      <c r="L196" s="161"/>
      <c r="M196" s="159"/>
      <c r="N196" s="162"/>
      <c r="O196" s="163"/>
      <c r="P196" s="164"/>
      <c r="Q196" s="68"/>
      <c r="R196" s="68"/>
      <c r="S196" s="68"/>
      <c r="T196" s="68"/>
    </row>
    <row r="197" spans="1:20" ht="15">
      <c r="A197" s="157"/>
      <c r="B197" s="34"/>
      <c r="C197" s="158"/>
      <c r="D197" s="69"/>
      <c r="E197" s="414"/>
      <c r="F197" s="415"/>
      <c r="G197" s="416"/>
      <c r="H197" s="183"/>
      <c r="I197" s="184"/>
      <c r="J197" s="159"/>
      <c r="K197" s="160"/>
      <c r="L197" s="161"/>
      <c r="M197" s="159"/>
      <c r="N197" s="162"/>
      <c r="O197" s="163"/>
      <c r="P197" s="164"/>
      <c r="Q197" s="68"/>
      <c r="R197" s="68"/>
      <c r="S197" s="68"/>
      <c r="T197" s="68"/>
    </row>
    <row r="198" spans="1:20" ht="15">
      <c r="A198" s="157"/>
      <c r="B198" s="34"/>
      <c r="C198" s="158"/>
      <c r="D198" s="69"/>
      <c r="E198" s="414"/>
      <c r="F198" s="415"/>
      <c r="G198" s="416"/>
      <c r="H198" s="183"/>
      <c r="I198" s="184"/>
      <c r="J198" s="159"/>
      <c r="K198" s="160"/>
      <c r="L198" s="161"/>
      <c r="M198" s="159"/>
      <c r="N198" s="162"/>
      <c r="O198" s="163"/>
      <c r="P198" s="164"/>
      <c r="Q198" s="68"/>
      <c r="R198" s="68"/>
      <c r="S198" s="68"/>
      <c r="T198" s="68"/>
    </row>
    <row r="199" spans="1:20" ht="15">
      <c r="A199" s="157"/>
      <c r="B199" s="34"/>
      <c r="C199" s="158"/>
      <c r="D199" s="69"/>
      <c r="E199" s="414"/>
      <c r="F199" s="415"/>
      <c r="G199" s="416"/>
      <c r="H199" s="183"/>
      <c r="I199" s="184"/>
      <c r="J199" s="159"/>
      <c r="K199" s="160"/>
      <c r="L199" s="161"/>
      <c r="M199" s="159"/>
      <c r="N199" s="162"/>
      <c r="O199" s="163"/>
      <c r="P199" s="164"/>
      <c r="Q199" s="68"/>
      <c r="R199" s="68"/>
      <c r="S199" s="68"/>
      <c r="T199" s="68"/>
    </row>
    <row r="200" spans="1:20" ht="15">
      <c r="A200" s="157"/>
      <c r="B200" s="34"/>
      <c r="C200" s="158"/>
      <c r="D200" s="69"/>
      <c r="E200" s="414"/>
      <c r="F200" s="415"/>
      <c r="G200" s="416"/>
      <c r="H200" s="183"/>
      <c r="I200" s="184"/>
      <c r="J200" s="159"/>
      <c r="K200" s="160"/>
      <c r="L200" s="161"/>
      <c r="M200" s="159"/>
      <c r="N200" s="162"/>
      <c r="O200" s="163"/>
      <c r="P200" s="164"/>
      <c r="Q200" s="68"/>
      <c r="R200" s="68"/>
      <c r="S200" s="68"/>
      <c r="T200" s="68"/>
    </row>
    <row r="201" spans="1:20" ht="15">
      <c r="A201" s="157"/>
      <c r="B201" s="34"/>
      <c r="C201" s="158"/>
      <c r="D201" s="69"/>
      <c r="E201" s="414"/>
      <c r="F201" s="415"/>
      <c r="G201" s="416"/>
      <c r="H201" s="183"/>
      <c r="I201" s="184"/>
      <c r="J201" s="159"/>
      <c r="K201" s="160"/>
      <c r="L201" s="161"/>
      <c r="M201" s="159"/>
      <c r="N201" s="162"/>
      <c r="O201" s="163"/>
      <c r="P201" s="164"/>
      <c r="Q201" s="68"/>
      <c r="R201" s="68"/>
      <c r="S201" s="68"/>
      <c r="T201" s="68"/>
    </row>
    <row r="202" spans="1:20" ht="15">
      <c r="A202" s="157"/>
      <c r="B202" s="34"/>
      <c r="C202" s="158"/>
      <c r="D202" s="69"/>
      <c r="E202" s="414"/>
      <c r="F202" s="415"/>
      <c r="G202" s="416"/>
      <c r="H202" s="183"/>
      <c r="I202" s="184"/>
      <c r="J202" s="159"/>
      <c r="K202" s="160"/>
      <c r="L202" s="161"/>
      <c r="M202" s="159"/>
      <c r="N202" s="162"/>
      <c r="O202" s="163"/>
      <c r="P202" s="164"/>
      <c r="Q202" s="68"/>
      <c r="R202" s="68"/>
      <c r="S202" s="68"/>
      <c r="T202" s="68"/>
    </row>
    <row r="203" spans="1:20" ht="15">
      <c r="A203" s="157"/>
      <c r="B203" s="34"/>
      <c r="C203" s="158"/>
      <c r="D203" s="69"/>
      <c r="E203" s="414"/>
      <c r="F203" s="415"/>
      <c r="G203" s="416"/>
      <c r="H203" s="183"/>
      <c r="I203" s="184"/>
      <c r="J203" s="159"/>
      <c r="K203" s="160"/>
      <c r="L203" s="161"/>
      <c r="M203" s="159"/>
      <c r="N203" s="162"/>
      <c r="O203" s="163"/>
      <c r="P203" s="164"/>
      <c r="Q203" s="68"/>
      <c r="R203" s="68"/>
      <c r="S203" s="68"/>
      <c r="T203" s="68"/>
    </row>
    <row r="204" spans="1:20" ht="15">
      <c r="A204" s="157"/>
      <c r="B204" s="34"/>
      <c r="C204" s="158"/>
      <c r="D204" s="69"/>
      <c r="E204" s="414"/>
      <c r="F204" s="415"/>
      <c r="G204" s="416"/>
      <c r="H204" s="183"/>
      <c r="I204" s="184"/>
      <c r="J204" s="159"/>
      <c r="K204" s="160"/>
      <c r="L204" s="161"/>
      <c r="M204" s="159"/>
      <c r="N204" s="162"/>
      <c r="O204" s="163"/>
      <c r="P204" s="164"/>
      <c r="Q204" s="68"/>
      <c r="R204" s="68"/>
      <c r="S204" s="68"/>
      <c r="T204" s="68"/>
    </row>
    <row r="205" spans="1:20" ht="15">
      <c r="A205" s="157"/>
      <c r="B205" s="34"/>
      <c r="C205" s="158"/>
      <c r="D205" s="69"/>
      <c r="E205" s="414"/>
      <c r="F205" s="415"/>
      <c r="G205" s="416"/>
      <c r="H205" s="183"/>
      <c r="I205" s="184"/>
      <c r="J205" s="159"/>
      <c r="K205" s="160"/>
      <c r="L205" s="161"/>
      <c r="M205" s="159"/>
      <c r="N205" s="162"/>
      <c r="O205" s="163"/>
      <c r="P205" s="164"/>
      <c r="Q205" s="68"/>
      <c r="R205" s="68"/>
      <c r="S205" s="68"/>
      <c r="T205" s="68"/>
    </row>
    <row r="206" spans="1:20" ht="15">
      <c r="A206" s="157"/>
      <c r="B206" s="34"/>
      <c r="C206" s="158"/>
      <c r="D206" s="69"/>
      <c r="E206" s="414"/>
      <c r="F206" s="415"/>
      <c r="G206" s="416"/>
      <c r="H206" s="183"/>
      <c r="I206" s="184"/>
      <c r="J206" s="159"/>
      <c r="K206" s="160"/>
      <c r="L206" s="161"/>
      <c r="M206" s="159"/>
      <c r="N206" s="162"/>
      <c r="O206" s="163"/>
      <c r="P206" s="164"/>
      <c r="Q206" s="68"/>
      <c r="R206" s="68"/>
      <c r="S206" s="68"/>
      <c r="T206" s="68"/>
    </row>
    <row r="207" spans="1:20" ht="15">
      <c r="A207" s="157"/>
      <c r="B207" s="34"/>
      <c r="C207" s="158"/>
      <c r="D207" s="69"/>
      <c r="E207" s="414"/>
      <c r="F207" s="415"/>
      <c r="G207" s="416"/>
      <c r="H207" s="183"/>
      <c r="I207" s="184"/>
      <c r="J207" s="159"/>
      <c r="K207" s="160"/>
      <c r="L207" s="161"/>
      <c r="M207" s="159"/>
      <c r="N207" s="162"/>
      <c r="O207" s="163"/>
      <c r="P207" s="164"/>
      <c r="Q207" s="68"/>
      <c r="R207" s="68"/>
      <c r="S207" s="68"/>
      <c r="T207" s="68"/>
    </row>
    <row r="208" spans="1:20" ht="15">
      <c r="A208" s="157"/>
      <c r="B208" s="34"/>
      <c r="C208" s="158"/>
      <c r="D208" s="69"/>
      <c r="E208" s="414"/>
      <c r="F208" s="415"/>
      <c r="G208" s="416"/>
      <c r="H208" s="183"/>
      <c r="I208" s="184"/>
      <c r="J208" s="159"/>
      <c r="K208" s="160"/>
      <c r="L208" s="161"/>
      <c r="M208" s="159"/>
      <c r="N208" s="162"/>
      <c r="O208" s="163"/>
      <c r="P208" s="164"/>
      <c r="Q208" s="68"/>
      <c r="R208" s="68"/>
      <c r="S208" s="68"/>
      <c r="T208" s="68"/>
    </row>
  </sheetData>
  <sheetProtection/>
  <mergeCells count="9">
    <mergeCell ref="H3:K3"/>
    <mergeCell ref="L3:N3"/>
    <mergeCell ref="A2:N2"/>
    <mergeCell ref="E3:E4"/>
    <mergeCell ref="B3:B4"/>
    <mergeCell ref="C3:C4"/>
    <mergeCell ref="D3:D4"/>
    <mergeCell ref="F3:F4"/>
    <mergeCell ref="G3:G4"/>
  </mergeCells>
  <printOptions/>
  <pageMargins left="0.75" right="0.75" top="1" bottom="1" header="0.5" footer="0.5"/>
  <pageSetup orientation="portrait" paperSize="9"/>
  <ignoredErrors>
    <ignoredError sqref="R25:S25 R5:S8 R4:S4 L5:M26 M31:M55 L31:L42" unlockedFormula="1"/>
    <ignoredError sqref="R27:S27 R31:S31 R32:S32 R26:S26 L27:M27 L43:L55" formula="1" unlockedFormula="1"/>
    <ignoredError sqref="K27:K28 N27:N28 L28:M28 K43:K56 L56 J4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ao</cp:lastModifiedBy>
  <cp:lastPrinted>2010-11-23T10:11:42Z</cp:lastPrinted>
  <dcterms:created xsi:type="dcterms:W3CDTF">2006-03-17T12:24:26Z</dcterms:created>
  <dcterms:modified xsi:type="dcterms:W3CDTF">2011-01-21T18:12:22Z</dcterms:modified>
  <cp:category/>
  <cp:version/>
  <cp:contentType/>
  <cp:contentStatus/>
</cp:coreProperties>
</file>